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2760" yWindow="32760" windowWidth="11400" windowHeight="5895"/>
  </bookViews>
  <sheets>
    <sheet name="TDSheet" sheetId="1" r:id="rId1"/>
  </sheets>
  <definedNames>
    <definedName name="_xlnm._FilterDatabase" localSheetId="0" hidden="1">TDSheet!$A$1:$AO$166</definedName>
  </definedNames>
  <calcPr calcId="144525" refMode="R1C1"/>
</workbook>
</file>

<file path=xl/calcChain.xml><?xml version="1.0" encoding="utf-8"?>
<calcChain xmlns="http://schemas.openxmlformats.org/spreadsheetml/2006/main">
  <c r="Q10" i="1" l="1"/>
  <c r="S10" i="1" s="1"/>
  <c r="T10" i="1"/>
  <c r="U10" i="1"/>
  <c r="AD10" i="1"/>
  <c r="Q12" i="1"/>
  <c r="S12" i="1" s="1"/>
  <c r="T12" i="1"/>
  <c r="U12" i="1"/>
  <c r="AD12" i="1"/>
  <c r="Q15" i="1"/>
  <c r="S15" i="1" s="1"/>
  <c r="T15" i="1"/>
  <c r="U15" i="1"/>
  <c r="AD15" i="1"/>
  <c r="Q16" i="1"/>
  <c r="S16" i="1" s="1"/>
  <c r="T16" i="1"/>
  <c r="U16" i="1"/>
  <c r="AD16" i="1"/>
  <c r="Q17" i="1"/>
  <c r="S17" i="1" s="1"/>
  <c r="T17" i="1"/>
  <c r="U17" i="1"/>
  <c r="AD17" i="1"/>
  <c r="Q18" i="1"/>
  <c r="S18" i="1" s="1"/>
  <c r="T18" i="1"/>
  <c r="U18" i="1"/>
  <c r="AD18" i="1"/>
  <c r="Q19" i="1"/>
  <c r="S19" i="1" s="1"/>
  <c r="T19" i="1"/>
  <c r="U19" i="1"/>
  <c r="AD19" i="1"/>
  <c r="Q20" i="1"/>
  <c r="S20" i="1" s="1"/>
  <c r="T20" i="1"/>
  <c r="U20" i="1"/>
  <c r="AD20" i="1"/>
  <c r="Q21" i="1"/>
  <c r="S21" i="1"/>
  <c r="T21" i="1"/>
  <c r="U21" i="1"/>
  <c r="AD21" i="1"/>
  <c r="Q22" i="1"/>
  <c r="S22" i="1" s="1"/>
  <c r="T22" i="1"/>
  <c r="U22" i="1"/>
  <c r="AD22" i="1"/>
  <c r="Q24" i="1"/>
  <c r="S24" i="1" s="1"/>
  <c r="T24" i="1"/>
  <c r="U24" i="1"/>
  <c r="AD24" i="1"/>
  <c r="Q25" i="1"/>
  <c r="S25" i="1"/>
  <c r="T25" i="1"/>
  <c r="U25" i="1"/>
  <c r="AD25" i="1"/>
  <c r="Q26" i="1"/>
  <c r="S26" i="1" s="1"/>
  <c r="AD26" i="1"/>
  <c r="Q27" i="1"/>
  <c r="S27" i="1"/>
  <c r="T27" i="1"/>
  <c r="U27" i="1"/>
  <c r="AD27" i="1"/>
  <c r="Q28" i="1"/>
  <c r="S28" i="1" s="1"/>
  <c r="T28" i="1"/>
  <c r="U28" i="1"/>
  <c r="AD28" i="1"/>
  <c r="Q29" i="1"/>
  <c r="S29" i="1"/>
  <c r="T29" i="1"/>
  <c r="U29" i="1"/>
  <c r="AD29" i="1"/>
  <c r="Q31" i="1"/>
  <c r="S31" i="1" s="1"/>
  <c r="T31" i="1"/>
  <c r="U31" i="1"/>
  <c r="AD31" i="1"/>
  <c r="Q32" i="1"/>
  <c r="S32" i="1"/>
  <c r="T32" i="1"/>
  <c r="U32" i="1"/>
  <c r="AD32" i="1"/>
  <c r="Q33" i="1"/>
  <c r="S33" i="1" s="1"/>
  <c r="T33" i="1"/>
  <c r="U33" i="1"/>
  <c r="AD33" i="1"/>
  <c r="Q34" i="1"/>
  <c r="S34" i="1"/>
  <c r="T34" i="1"/>
  <c r="U34" i="1"/>
  <c r="AD34" i="1"/>
  <c r="Q35" i="1"/>
  <c r="S35" i="1" s="1"/>
  <c r="T35" i="1"/>
  <c r="U35" i="1"/>
  <c r="AD35" i="1"/>
  <c r="Q36" i="1"/>
  <c r="S36" i="1"/>
  <c r="T36" i="1"/>
  <c r="U36" i="1"/>
  <c r="AD36" i="1"/>
  <c r="Q38" i="1"/>
  <c r="S38" i="1" s="1"/>
  <c r="T38" i="1"/>
  <c r="U38" i="1"/>
  <c r="AD38" i="1"/>
  <c r="Q39" i="1"/>
  <c r="S39" i="1"/>
  <c r="T39" i="1"/>
  <c r="U39" i="1"/>
  <c r="AD39" i="1"/>
  <c r="Q40" i="1"/>
  <c r="S40" i="1" s="1"/>
  <c r="T40" i="1"/>
  <c r="U40" i="1"/>
  <c r="AD40" i="1"/>
  <c r="Q41" i="1"/>
  <c r="S41" i="1" s="1"/>
  <c r="T41" i="1"/>
  <c r="U41" i="1"/>
  <c r="AD41" i="1"/>
  <c r="Q42" i="1"/>
  <c r="S42" i="1" s="1"/>
  <c r="T42" i="1"/>
  <c r="U42" i="1"/>
  <c r="AD42" i="1"/>
  <c r="Q43" i="1"/>
  <c r="S43" i="1"/>
  <c r="T43" i="1"/>
  <c r="U43" i="1"/>
  <c r="AD43" i="1"/>
  <c r="Q44" i="1"/>
  <c r="S44" i="1" s="1"/>
  <c r="T44" i="1"/>
  <c r="U44" i="1"/>
  <c r="AD44" i="1"/>
  <c r="Q45" i="1"/>
  <c r="S45" i="1" s="1"/>
  <c r="T45" i="1"/>
  <c r="U45" i="1"/>
  <c r="AD45" i="1"/>
  <c r="Q46" i="1"/>
  <c r="S46" i="1" s="1"/>
  <c r="T46" i="1"/>
  <c r="U46" i="1"/>
  <c r="AD46" i="1"/>
  <c r="Q47" i="1"/>
  <c r="S47" i="1"/>
  <c r="T47" i="1"/>
  <c r="U47" i="1"/>
  <c r="AD47" i="1"/>
  <c r="Q48" i="1"/>
  <c r="S48" i="1" s="1"/>
  <c r="T48" i="1"/>
  <c r="U48" i="1"/>
  <c r="AD48" i="1"/>
  <c r="Q49" i="1"/>
  <c r="S49" i="1" s="1"/>
  <c r="T49" i="1"/>
  <c r="U49" i="1"/>
  <c r="AD49" i="1"/>
  <c r="Q51" i="1"/>
  <c r="S51" i="1" s="1"/>
  <c r="T51" i="1"/>
  <c r="U51" i="1"/>
  <c r="AD51" i="1"/>
  <c r="Q52" i="1"/>
  <c r="S52" i="1"/>
  <c r="T52" i="1"/>
  <c r="U52" i="1"/>
  <c r="AD52" i="1"/>
  <c r="Q53" i="1"/>
  <c r="S53" i="1" s="1"/>
  <c r="T53" i="1"/>
  <c r="U53" i="1"/>
  <c r="AD53" i="1"/>
  <c r="Q54" i="1"/>
  <c r="S54" i="1" s="1"/>
  <c r="T54" i="1"/>
  <c r="U54" i="1"/>
  <c r="AD54" i="1"/>
  <c r="Q55" i="1"/>
  <c r="S55" i="1" s="1"/>
  <c r="T55" i="1"/>
  <c r="U55" i="1"/>
  <c r="AD55" i="1"/>
  <c r="Q56" i="1"/>
  <c r="S56" i="1" s="1"/>
  <c r="T56" i="1"/>
  <c r="U56" i="1"/>
  <c r="AD56" i="1"/>
  <c r="Q57" i="1"/>
  <c r="S57" i="1" s="1"/>
  <c r="T57" i="1"/>
  <c r="U57" i="1"/>
  <c r="AD57" i="1"/>
  <c r="Q58" i="1"/>
  <c r="S58" i="1" s="1"/>
  <c r="T58" i="1"/>
  <c r="U58" i="1"/>
  <c r="AD58" i="1"/>
  <c r="Q59" i="1"/>
  <c r="S59" i="1" s="1"/>
  <c r="T59" i="1"/>
  <c r="U59" i="1"/>
  <c r="AD59" i="1"/>
  <c r="Q61" i="1"/>
  <c r="S61" i="1"/>
  <c r="T61" i="1"/>
  <c r="U61" i="1"/>
  <c r="AD61" i="1"/>
  <c r="Q62" i="1"/>
  <c r="S62" i="1" s="1"/>
  <c r="T62" i="1"/>
  <c r="U62" i="1"/>
  <c r="AD62" i="1"/>
  <c r="Q63" i="1"/>
  <c r="S63" i="1" s="1"/>
  <c r="T63" i="1"/>
  <c r="U63" i="1"/>
  <c r="AD63" i="1"/>
  <c r="Q64" i="1"/>
  <c r="S64" i="1" s="1"/>
  <c r="T64" i="1"/>
  <c r="U64" i="1"/>
  <c r="AD64" i="1"/>
  <c r="Q66" i="1"/>
  <c r="S66" i="1" s="1"/>
  <c r="T66" i="1"/>
  <c r="U66" i="1"/>
  <c r="AD66" i="1"/>
  <c r="Q67" i="1"/>
  <c r="S67" i="1"/>
  <c r="T67" i="1"/>
  <c r="U67" i="1"/>
  <c r="AD67" i="1"/>
  <c r="Q68" i="1"/>
  <c r="S68" i="1" s="1"/>
  <c r="T68" i="1"/>
  <c r="U68" i="1"/>
  <c r="AD68" i="1"/>
  <c r="Q69" i="1"/>
  <c r="S69" i="1" s="1"/>
  <c r="T69" i="1"/>
  <c r="U69" i="1"/>
  <c r="AD69" i="1"/>
  <c r="Q70" i="1"/>
  <c r="S70" i="1" s="1"/>
  <c r="T70" i="1"/>
  <c r="U70" i="1"/>
  <c r="AD70" i="1"/>
  <c r="Q71" i="1"/>
  <c r="S71" i="1" s="1"/>
  <c r="T71" i="1"/>
  <c r="U71" i="1"/>
  <c r="AD71" i="1"/>
  <c r="Q73" i="1"/>
  <c r="S73" i="1" s="1"/>
  <c r="T73" i="1"/>
  <c r="U73" i="1"/>
  <c r="AD73" i="1"/>
  <c r="Q75" i="1"/>
  <c r="S75" i="1" s="1"/>
  <c r="T75" i="1"/>
  <c r="U75" i="1"/>
  <c r="AD75" i="1"/>
  <c r="Q76" i="1"/>
  <c r="S76" i="1"/>
  <c r="T76" i="1"/>
  <c r="U76" i="1"/>
  <c r="AD76" i="1"/>
  <c r="Q77" i="1"/>
  <c r="S77" i="1" s="1"/>
  <c r="T77" i="1"/>
  <c r="U77" i="1"/>
  <c r="AD77" i="1"/>
  <c r="Q78" i="1"/>
  <c r="S78" i="1" s="1"/>
  <c r="T78" i="1"/>
  <c r="U78" i="1"/>
  <c r="AD78" i="1"/>
  <c r="Q80" i="1"/>
  <c r="S80" i="1" s="1"/>
  <c r="T80" i="1"/>
  <c r="U80" i="1"/>
  <c r="AD80" i="1"/>
  <c r="Q81" i="1"/>
  <c r="S81" i="1" s="1"/>
  <c r="T81" i="1"/>
  <c r="U81" i="1"/>
  <c r="AD81" i="1"/>
  <c r="Q83" i="1"/>
  <c r="S83" i="1" s="1"/>
  <c r="T83" i="1"/>
  <c r="U83" i="1"/>
  <c r="AD83" i="1"/>
  <c r="Q84" i="1"/>
  <c r="S84" i="1" s="1"/>
  <c r="T84" i="1"/>
  <c r="U84" i="1"/>
  <c r="AD84" i="1"/>
  <c r="Q85" i="1"/>
  <c r="S85" i="1" s="1"/>
  <c r="T85" i="1"/>
  <c r="U85" i="1"/>
  <c r="AD85" i="1"/>
  <c r="Q86" i="1"/>
  <c r="S86" i="1"/>
  <c r="T86" i="1"/>
  <c r="U86" i="1"/>
  <c r="AD86" i="1"/>
  <c r="Q88" i="1"/>
  <c r="S88" i="1" s="1"/>
  <c r="T88" i="1"/>
  <c r="U88" i="1"/>
  <c r="AD88" i="1"/>
  <c r="Q90" i="1"/>
  <c r="S90" i="1" s="1"/>
  <c r="T90" i="1"/>
  <c r="U90" i="1"/>
  <c r="AD90" i="1"/>
  <c r="Q92" i="1"/>
  <c r="S92" i="1" s="1"/>
  <c r="T92" i="1"/>
  <c r="U92" i="1"/>
  <c r="AD92" i="1"/>
  <c r="Q93" i="1"/>
  <c r="S93" i="1" s="1"/>
  <c r="T93" i="1"/>
  <c r="U93" i="1"/>
  <c r="AD93" i="1"/>
  <c r="Q95" i="1"/>
  <c r="S95" i="1" s="1"/>
  <c r="T95" i="1"/>
  <c r="U95" i="1"/>
  <c r="AD95" i="1"/>
  <c r="Q97" i="1"/>
  <c r="S97" i="1" s="1"/>
  <c r="T97" i="1"/>
  <c r="U97" i="1"/>
  <c r="AD97" i="1"/>
  <c r="Q99" i="1"/>
  <c r="S99" i="1" s="1"/>
  <c r="T99" i="1"/>
  <c r="U99" i="1"/>
  <c r="AD99" i="1"/>
  <c r="Q100" i="1"/>
  <c r="S100" i="1"/>
  <c r="T100" i="1"/>
  <c r="U100" i="1"/>
  <c r="AD100" i="1"/>
  <c r="Q102" i="1"/>
  <c r="S102" i="1" s="1"/>
  <c r="T102" i="1"/>
  <c r="U102" i="1"/>
  <c r="AD102" i="1"/>
  <c r="Q103" i="1"/>
  <c r="S103" i="1" s="1"/>
  <c r="T103" i="1"/>
  <c r="U103" i="1"/>
  <c r="AD103" i="1"/>
  <c r="Q105" i="1"/>
  <c r="S105" i="1" s="1"/>
  <c r="T105" i="1"/>
  <c r="U105" i="1"/>
  <c r="AD105" i="1"/>
  <c r="Q107" i="1"/>
  <c r="S107" i="1" s="1"/>
  <c r="T107" i="1"/>
  <c r="U107" i="1"/>
  <c r="AD107" i="1"/>
  <c r="Q108" i="1"/>
  <c r="S108" i="1" s="1"/>
  <c r="T108" i="1"/>
  <c r="U108" i="1"/>
  <c r="AD108" i="1"/>
  <c r="Q109" i="1"/>
  <c r="S109" i="1" s="1"/>
  <c r="T109" i="1"/>
  <c r="U109" i="1"/>
  <c r="AD109" i="1"/>
  <c r="Q110" i="1"/>
  <c r="S110" i="1" s="1"/>
  <c r="T110" i="1"/>
  <c r="U110" i="1"/>
  <c r="AD110" i="1"/>
  <c r="Q112" i="1"/>
  <c r="S112" i="1"/>
  <c r="T112" i="1"/>
  <c r="U112" i="1"/>
  <c r="AD112" i="1"/>
  <c r="Q113" i="1"/>
  <c r="S113" i="1" s="1"/>
  <c r="T113" i="1"/>
  <c r="U113" i="1"/>
  <c r="AD113" i="1"/>
  <c r="Q114" i="1"/>
  <c r="S114" i="1" s="1"/>
  <c r="T114" i="1"/>
  <c r="U114" i="1"/>
  <c r="AD114" i="1"/>
  <c r="Q115" i="1"/>
  <c r="S115" i="1" s="1"/>
  <c r="T115" i="1"/>
  <c r="U115" i="1"/>
  <c r="AD115" i="1"/>
  <c r="Q117" i="1"/>
  <c r="S117" i="1" s="1"/>
  <c r="T117" i="1"/>
  <c r="U117" i="1"/>
  <c r="AD117" i="1"/>
  <c r="Q118" i="1"/>
  <c r="S118" i="1" s="1"/>
  <c r="T118" i="1"/>
  <c r="U118" i="1"/>
  <c r="AD118" i="1"/>
  <c r="Q119" i="1"/>
  <c r="S119" i="1" s="1"/>
  <c r="T119" i="1"/>
  <c r="U119" i="1"/>
  <c r="AD119" i="1"/>
  <c r="Q120" i="1"/>
  <c r="S120" i="1" s="1"/>
  <c r="T120" i="1"/>
  <c r="U120" i="1"/>
  <c r="AD120" i="1"/>
  <c r="Q122" i="1"/>
  <c r="S122" i="1"/>
  <c r="T122" i="1"/>
  <c r="U122" i="1"/>
  <c r="AD122" i="1"/>
  <c r="Q123" i="1"/>
  <c r="S123" i="1" s="1"/>
  <c r="T123" i="1"/>
  <c r="U123" i="1"/>
  <c r="AD123" i="1"/>
  <c r="Q125" i="1"/>
  <c r="S125" i="1" s="1"/>
  <c r="T125" i="1"/>
  <c r="U125" i="1"/>
  <c r="AD125" i="1"/>
  <c r="Q126" i="1"/>
  <c r="S126" i="1" s="1"/>
  <c r="T126" i="1"/>
  <c r="U126" i="1"/>
  <c r="AD126" i="1"/>
  <c r="Q127" i="1"/>
  <c r="S127" i="1" s="1"/>
  <c r="T127" i="1"/>
  <c r="U127" i="1"/>
  <c r="AD127" i="1"/>
  <c r="Q128" i="1"/>
  <c r="S128" i="1" s="1"/>
  <c r="T128" i="1"/>
  <c r="U128" i="1"/>
  <c r="AD128" i="1"/>
  <c r="Q130" i="1"/>
  <c r="S130" i="1" s="1"/>
  <c r="T130" i="1"/>
  <c r="U130" i="1"/>
  <c r="AD130" i="1"/>
  <c r="Q131" i="1"/>
  <c r="S131" i="1" s="1"/>
  <c r="T131" i="1"/>
  <c r="U131" i="1"/>
  <c r="AD131" i="1"/>
  <c r="Q133" i="1"/>
  <c r="S133" i="1"/>
  <c r="T133" i="1"/>
  <c r="U133" i="1"/>
  <c r="AD133" i="1"/>
  <c r="Q134" i="1"/>
  <c r="S134" i="1" s="1"/>
  <c r="T134" i="1"/>
  <c r="U134" i="1"/>
  <c r="AD134" i="1"/>
  <c r="Q136" i="1"/>
  <c r="S136" i="1" s="1"/>
  <c r="T136" i="1"/>
  <c r="U136" i="1"/>
  <c r="AD136" i="1"/>
  <c r="Q137" i="1"/>
  <c r="S137" i="1" s="1"/>
  <c r="T137" i="1"/>
  <c r="U137" i="1"/>
  <c r="AD137" i="1"/>
  <c r="Q139" i="1"/>
  <c r="S139" i="1" s="1"/>
  <c r="T139" i="1"/>
  <c r="U139" i="1"/>
  <c r="AD139" i="1"/>
  <c r="Q141" i="1"/>
  <c r="S141" i="1" s="1"/>
  <c r="T141" i="1"/>
  <c r="U141" i="1"/>
  <c r="AD141" i="1"/>
  <c r="Q145" i="1"/>
  <c r="S145" i="1" s="1"/>
  <c r="T145" i="1"/>
  <c r="U145" i="1"/>
  <c r="AD145" i="1"/>
  <c r="Q146" i="1"/>
  <c r="S146" i="1" s="1"/>
  <c r="T146" i="1"/>
  <c r="U146" i="1"/>
  <c r="AD146" i="1"/>
  <c r="Q148" i="1"/>
  <c r="S148" i="1"/>
  <c r="T148" i="1"/>
  <c r="U148" i="1"/>
  <c r="AD148" i="1"/>
  <c r="Q150" i="1"/>
  <c r="S150" i="1" s="1"/>
  <c r="T150" i="1"/>
  <c r="U150" i="1"/>
  <c r="AD150" i="1"/>
  <c r="Q151" i="1"/>
  <c r="S151" i="1" s="1"/>
  <c r="T151" i="1"/>
  <c r="U151" i="1"/>
  <c r="AD151" i="1"/>
  <c r="Q153" i="1"/>
  <c r="S153" i="1" s="1"/>
  <c r="T153" i="1"/>
  <c r="U153" i="1"/>
  <c r="AD153" i="1"/>
  <c r="Q154" i="1"/>
  <c r="S154" i="1" s="1"/>
  <c r="T154" i="1"/>
  <c r="U154" i="1"/>
  <c r="AD154" i="1"/>
  <c r="Q157" i="1"/>
  <c r="S157" i="1" s="1"/>
  <c r="T157" i="1"/>
  <c r="U157" i="1"/>
  <c r="AD157" i="1"/>
  <c r="Q158" i="1"/>
  <c r="S158" i="1" s="1"/>
  <c r="T158" i="1"/>
  <c r="U158" i="1"/>
  <c r="AD158" i="1"/>
</calcChain>
</file>

<file path=xl/sharedStrings.xml><?xml version="1.0" encoding="utf-8"?>
<sst xmlns="http://schemas.openxmlformats.org/spreadsheetml/2006/main" count="1562" uniqueCount="798">
  <si>
    <t xml:space="preserve">Прайс-лист </t>
  </si>
  <si>
    <t>02.11.2026</t>
  </si>
  <si>
    <t>ООО "Издательский Дом "Проф-Пресс"</t>
  </si>
  <si>
    <t>Скидка клиента:</t>
  </si>
  <si>
    <t>Номер</t>
  </si>
  <si>
    <t>Код</t>
  </si>
  <si>
    <t>Наименование</t>
  </si>
  <si>
    <t>ISBN</t>
  </si>
  <si>
    <t>Маркировка</t>
  </si>
  <si>
    <t>Текстовое описание</t>
  </si>
  <si>
    <t>Стандарт Паллеты</t>
  </si>
  <si>
    <t>Стандарт коробки</t>
  </si>
  <si>
    <t>Стандарт спайки</t>
  </si>
  <si>
    <t>Кол-во на складах</t>
  </si>
  <si>
    <t>Изображение</t>
  </si>
  <si>
    <t>Старая цена</t>
  </si>
  <si>
    <t>Минимальный Заказ</t>
  </si>
  <si>
    <t>Цена</t>
  </si>
  <si>
    <t>ЗАКАЗ</t>
  </si>
  <si>
    <t>Сумма заказа</t>
  </si>
  <si>
    <t>Масса</t>
  </si>
  <si>
    <t>Объем</t>
  </si>
  <si>
    <t>Новинка</t>
  </si>
  <si>
    <t>Штрихкод</t>
  </si>
  <si>
    <t>Ставка НДС</t>
  </si>
  <si>
    <t>Авторы</t>
  </si>
  <si>
    <t>Видео Rutube</t>
  </si>
  <si>
    <t>Возрастные ограничения</t>
  </si>
  <si>
    <t>Дата тиража</t>
  </si>
  <si>
    <t>Жанр</t>
  </si>
  <si>
    <t>Картинка на сайте</t>
  </si>
  <si>
    <t>Ключевые слова</t>
  </si>
  <si>
    <t>Количество страниц</t>
  </si>
  <si>
    <t>Отделка</t>
  </si>
  <si>
    <t>Переплет</t>
  </si>
  <si>
    <t>Плотность блока</t>
  </si>
  <si>
    <t>Подлежит маркировке Честный знак</t>
  </si>
  <si>
    <t>Пол</t>
  </si>
  <si>
    <t>Серия (доп. реквизит)</t>
  </si>
  <si>
    <t>Формат (строкой)</t>
  </si>
  <si>
    <t>07. Издательский Дом Проф-Пресс</t>
  </si>
  <si>
    <t xml:space="preserve"> CЕРИЯ: ТРЕНДХАУС</t>
  </si>
  <si>
    <t>КОМИКСЫ</t>
  </si>
  <si>
    <t>СЕРИЯ: ТРЕНДХАУС. КАПИБАРА И ГУСЬ, глянц.ламин, КБС, 165х240</t>
  </si>
  <si>
    <t>284617</t>
  </si>
  <si>
    <t>КНИЖКА-КОМИКС. ТРЕНДХАУС. Капибара и Гусь. Том 12. СуперДетективы спасают Новый Год. 165х240</t>
  </si>
  <si>
    <t>978-5-378-36314-8</t>
  </si>
  <si>
    <t>Снег падает хлопьями, укрывая пушистыми шапками здания и наряжая деревья в искрящиеся белые одежды. На витринах магазинов и окнах домов блестят нарисованные морозом узоры и мигают яркими огоньками гирлянды. Все в предвкушении волшебного праздника, тем более что новогоднюю ёлку должны зажечь Капи, Гусь и Чихуашка. Вот только у загадочного мистера Дрынча другой план. План мести! Когда-то супергерои помешали ему заполучить редкую игрушку в свою коллекцию — пришло время ответить за это.</t>
  </si>
  <si>
    <t>&gt;400</t>
  </si>
  <si>
    <t>НОВИНКА</t>
  </si>
  <si>
    <t>9785378363148</t>
  </si>
  <si>
    <t>10%</t>
  </si>
  <si>
    <t>Брагинец Наталья Владимировна</t>
  </si>
  <si>
    <t>0+</t>
  </si>
  <si>
    <t>трендхаус, голенко, подснежник</t>
  </si>
  <si>
    <t>ламинация+тиснение</t>
  </si>
  <si>
    <t>КБС (клеевое бесшовное скрепление)</t>
  </si>
  <si>
    <t>Не подлежит маркировке ЧЗ</t>
  </si>
  <si>
    <t>165х239х5</t>
  </si>
  <si>
    <t>СЕРИЯ: ТРЕНДХАУС. КАЛЕНДАРЬ 2027 глянц.ламин. 285х285</t>
  </si>
  <si>
    <t>281169</t>
  </si>
  <si>
    <t>ТРЕНДХАУС. КАЛЕНДАРЬ 2027. КАПИБАРА И ГУСЬ глянц.ламин. 285х285</t>
  </si>
  <si>
    <t>467-0-159-33400-2</t>
  </si>
  <si>
    <t>4670159334002</t>
  </si>
  <si>
    <t>22%</t>
  </si>
  <si>
    <t>подснежник</t>
  </si>
  <si>
    <t>глянцевая ламинация</t>
  </si>
  <si>
    <t>на скрепке</t>
  </si>
  <si>
    <t>285х283х2</t>
  </si>
  <si>
    <t>0. НОВОГОДНИЕ КНИГИ</t>
  </si>
  <si>
    <t xml:space="preserve"> CЕРИЯ: БРЕНДЫ. ВЫРУБКА. ЁЛОЧКА глянц.ламин. 155х210</t>
  </si>
  <si>
    <t>237861</t>
  </si>
  <si>
    <t>ЁЛОЧКА. СИНИЙ ТРАКТОР. НОВЫЙ ГОД</t>
  </si>
  <si>
    <t>978-5-378-35124-4</t>
  </si>
  <si>
    <t>Встречай Новый год с любимыми героями! Представляем милые яркие книжки в виде ёлочек, которые расскажут в стихах о чудесах и непременно зарядят праздничным настроением.</t>
  </si>
  <si>
    <t>9785378351244</t>
  </si>
  <si>
    <t>Гурина Ирина Валерьевна</t>
  </si>
  <si>
    <t>5e8e5291e18b2b43b99176c182342a13</t>
  </si>
  <si>
    <t>ЦК(Цельнокрытый картон)</t>
  </si>
  <si>
    <t>158x210x5</t>
  </si>
  <si>
    <t>280972</t>
  </si>
  <si>
    <t>КОТЭ. ВЫРУБКА. ЁЛОЧКА. ВЕСЁЛАЯ ЗИМА</t>
  </si>
  <si>
    <t>978-5-378-36159-5</t>
  </si>
  <si>
    <t>9785378361595</t>
  </si>
  <si>
    <t>4d28834e901217511b3fd4509b56436e</t>
  </si>
  <si>
    <t>156х212х6</t>
  </si>
  <si>
    <t>194020</t>
  </si>
  <si>
    <t>КОШЕЧКИ-СОБАЧКИ. ВЫРУБКА. ЁЛОЧКА. НОВОГОДНЕЕ ЧУДО</t>
  </si>
  <si>
    <t>978-5-378-34032-3</t>
  </si>
  <si>
    <t>В небольшом городе, где живут весёлые герои мультфильма «Кошечки-собачки», все готовы к встрече Нового года, кроме Оскара. Ему не с кем провести праздник. Он помогает каждому жителю, совершая добрые поступки. А где добро — там и чудеса.</t>
  </si>
  <si>
    <t>9785378340323</t>
  </si>
  <si>
    <t>bb2a1ba8d124fe50d181d125b78765cf</t>
  </si>
  <si>
    <t>160х223х6</t>
  </si>
  <si>
    <t>280973</t>
  </si>
  <si>
    <t>МАСТЕР ВИТЯ И МОТОР. ВЫРУБКА. ЁЛОЧКА. С НОВЫМ ГОДОМ!</t>
  </si>
  <si>
    <t>978-5-378-36151-9</t>
  </si>
  <si>
    <t>9785378361519</t>
  </si>
  <si>
    <t>82157d11610c92b7fb678f1ffb8311a1</t>
  </si>
  <si>
    <t>158х212х6</t>
  </si>
  <si>
    <t>065434</t>
  </si>
  <si>
    <t>ТРИ КОТА. ВЫРУБКА. ЁЛОЧКА. ЛЮБИМЫЙ ПРАЗДНИК</t>
  </si>
  <si>
    <t>978-5-378-27322-5</t>
  </si>
  <si>
    <t>Книги-ёлочки расскажут в стихах, как встречают Новый год и проводят каникулы любимые герои мультфильма.</t>
  </si>
  <si>
    <t>9785378273225</t>
  </si>
  <si>
    <t>d290602c1e88fe25cc4e0cf33202b38f</t>
  </si>
  <si>
    <t>29.05.2017 0:00:00</t>
  </si>
  <si>
    <t>Книги на картоне Disney</t>
  </si>
  <si>
    <t>155x210x6</t>
  </si>
  <si>
    <t>171758</t>
  </si>
  <si>
    <t>ТРИ КОТА. ВЫРУБКА. ЁЛОЧКА. НОВЫЙ ГОД</t>
  </si>
  <si>
    <t>978-5-378-32284-8</t>
  </si>
  <si>
    <t>Встречай Новый год с весёлыми героями любимых мультфильмов! Картонные книжки в форме ёлочки расскажут о чудесах и подарят волшебное настроение. Внутри каждой вас ждут милые новогодние стихи о празднике и забавные иллюстрации.</t>
  </si>
  <si>
    <t>9785378322848</t>
  </si>
  <si>
    <t>b5ca134b23ad3e50e3b363a7d42c2829</t>
  </si>
  <si>
    <t>280974</t>
  </si>
  <si>
    <t>ЦВЕТНЯШКИ. ВЫРУБКА. ЁЛОЧКА. НОВЫЙ ГОД</t>
  </si>
  <si>
    <t>978-5-378-36173-1</t>
  </si>
  <si>
    <t>9785378361731</t>
  </si>
  <si>
    <t>8009bc305ee0270f4bfbb5cd495db538</t>
  </si>
  <si>
    <t>280975</t>
  </si>
  <si>
    <t>ЦЫП ЦЫП. ВЫРУБКА. ЁЛОЧКА. С НОВЫМ ГОДОМ!</t>
  </si>
  <si>
    <t>978-5-378-36176-2</t>
  </si>
  <si>
    <t>9785378361762</t>
  </si>
  <si>
    <t>de4edaa3bfd8f16adff7915c10b5ae37</t>
  </si>
  <si>
    <t>CЕРИЯ: ВЫРУБКИ НА КАРТОНЕ "НОВОГОДНИЕ" глянц. ламин. 155х210</t>
  </si>
  <si>
    <t>024429</t>
  </si>
  <si>
    <t>ВЫРУБКА. ВОЛШЕБНОЕ РОЖДЕСТВО</t>
  </si>
  <si>
    <t>978-5-378-13025-2</t>
  </si>
  <si>
    <t>Книги с вырубкой разработаны специально для самых юных читателей. Вырубка по контуру создаёт ощущение настоящей забавной книжки-игрушки.</t>
  </si>
  <si>
    <t>9785378130252</t>
  </si>
  <si>
    <t>Верёвка Виктор Викторович</t>
  </si>
  <si>
    <t>eb2f671de9a8329d98108ff5b3fe16b7</t>
  </si>
  <si>
    <t>07.06.2017 0:00:00</t>
  </si>
  <si>
    <t>Книги на картоне "Новогодние"</t>
  </si>
  <si>
    <t>068421</t>
  </si>
  <si>
    <t>ВЫРУБКА. ВСЕХ ПОЗДРАВИМ С НОВЫМ ГОДОМ!(Громова)</t>
  </si>
  <si>
    <t>978-5-378-27598-4</t>
  </si>
  <si>
    <t>МАЛО</t>
  </si>
  <si>
    <t>9785378275984</t>
  </si>
  <si>
    <t>Громова Людмила Александровна</t>
  </si>
  <si>
    <t>e55976f373d484fa01cbf25169152425</t>
  </si>
  <si>
    <t>113899</t>
  </si>
  <si>
    <t>ВЫРУБКА. ПРО СНЕГОВИКА  (Балуева О.)</t>
  </si>
  <si>
    <t>978-5-378-29333-9</t>
  </si>
  <si>
    <t>Яркие, волшебные новогодние книжки порадуют и детей и взрослых! Весёлые стихотворения и забавные герои поднимут настроение и подарят сказочное ощущение долгожданного праздника. Добрый Дедушка Мороз и красавица Снегурочка расскажут, что такое настоящее зимнее веселье. Странички из плотного картона не порвутся и не испортятся, поэтому замечательная книжка будет радовать своих читателей долгие годы!</t>
  </si>
  <si>
    <t>9785378293339</t>
  </si>
  <si>
    <t>Балуева Оксана Борисовна</t>
  </si>
  <si>
    <t>1d67f620c015d401531ffdd0170a3184</t>
  </si>
  <si>
    <t>029289</t>
  </si>
  <si>
    <t>ВЫРУБКА. С НОВЫМ ГОДОМ, С НОВЫМ СЧАСТЬЕМ!</t>
  </si>
  <si>
    <t>978-5-378-21508-9</t>
  </si>
  <si>
    <t>9785378215089</t>
  </si>
  <si>
    <t>a8ee05cb88dfe14f9d5c816fb889c2cd</t>
  </si>
  <si>
    <t>024447</t>
  </si>
  <si>
    <t>ВЫРУБКА. СНИТСЯ ДЕДУШКЕ МОРОЗУ</t>
  </si>
  <si>
    <t>978-5-378-13024-5</t>
  </si>
  <si>
    <t>9785378130245</t>
  </si>
  <si>
    <t>Гражданцева Ольга Владимировна</t>
  </si>
  <si>
    <t>ec18d580af3587a131030eb847c79b80</t>
  </si>
  <si>
    <t>024437</t>
  </si>
  <si>
    <t>ВЫРУБКА. СЧАСТЛИВЫЙ НОВЫЙ ГОД</t>
  </si>
  <si>
    <t>978-5-378-13021-4</t>
  </si>
  <si>
    <t>9785378130214</t>
  </si>
  <si>
    <t>8c45b88de421670c58c739f909e9e873</t>
  </si>
  <si>
    <t>CЕРИЯ: ВЫРУБКИ НА КАРТОНЕ НГ "ЁЛОЧКА" глянц.ламин. 157х210</t>
  </si>
  <si>
    <t>165165</t>
  </si>
  <si>
    <t>ЁЛОЧКА. В ЛЕСУ РОДИЛАСЬ ЁЛОЧКА.</t>
  </si>
  <si>
    <t>978-5-378-31858-2</t>
  </si>
  <si>
    <t>Книги этой серии напомнят о том, что зимние праздники уже не за горами! Весёлые стихотворения, яркие, красочные иллюстрации обязательно подарят детям новогоднее настроение и массу положительными эмоций.</t>
  </si>
  <si>
    <t>9785378318582</t>
  </si>
  <si>
    <t>0cb307e7553895ba95e7c561c064d7fb</t>
  </si>
  <si>
    <t>Книги на картоне новогодние "Елки"</t>
  </si>
  <si>
    <t>157x210x5</t>
  </si>
  <si>
    <t>194028</t>
  </si>
  <si>
    <t>ЁЛОЧКА. ВОЛШЕБНЫЙ НОВЫЙ ГОД</t>
  </si>
  <si>
    <t>978-5-378-34034-7</t>
  </si>
  <si>
    <t>Книга-ёлочка « Волшебный Новый год» поможет создать праздничное настроение и интересно провести время вместе с малышом. Ребёнок с удовольствием будет разглядывать яркие иллюстрации и сможет выучить новогодний стишок, ведь он простой и весёлый.</t>
  </si>
  <si>
    <t>9785378340347</t>
  </si>
  <si>
    <t>a0046073d7a2a18326071fb6768aadfb</t>
  </si>
  <si>
    <t>160х212х6</t>
  </si>
  <si>
    <t>165168</t>
  </si>
  <si>
    <t>ЁЛОЧКА. КОРНЕЙ ЧУКОВСКИЙ. ЁЛКА</t>
  </si>
  <si>
    <t>978-5-378-31861-2</t>
  </si>
  <si>
    <t>9785378318612</t>
  </si>
  <si>
    <t>9014dcc0393cf09fca90a29ec170172e</t>
  </si>
  <si>
    <t>165167</t>
  </si>
  <si>
    <t>ЁЛОЧКА. НОВОГОДНИЕ СТИХИ</t>
  </si>
  <si>
    <t>978-5-378-31860-5</t>
  </si>
  <si>
    <t>9785378318605</t>
  </si>
  <si>
    <t>c21ba6987cc6ab1a25e70871ab938944</t>
  </si>
  <si>
    <t>237857</t>
  </si>
  <si>
    <t>ЁЛОЧКА. ТРАКТОР ВИК И ЗИМНИЕ ЗАБАВЫ</t>
  </si>
  <si>
    <t>978-5-378-35122-0</t>
  </si>
  <si>
    <t>9785378351220</t>
  </si>
  <si>
    <t>a4b8290cdcb87e27a661676ba3d273a7</t>
  </si>
  <si>
    <t>158х210х5</t>
  </si>
  <si>
    <t>280977</t>
  </si>
  <si>
    <t>ЁЛОЧКА. ЩЕЛКУНЧИК</t>
  </si>
  <si>
    <t>978-5-378-36164-9</t>
  </si>
  <si>
    <t>9785378361649</t>
  </si>
  <si>
    <t>Купырина Анна Михайловна</t>
  </si>
  <si>
    <t>6b9504438b3bb8552cf48c4169501e5c</t>
  </si>
  <si>
    <t>CЕРИЯ: НГ CБОРНИКИ 7БЦ (Л.С, 7 сказок, 10 сказок, Книги на бумаге)</t>
  </si>
  <si>
    <t>213717</t>
  </si>
  <si>
    <t>БОЛЬШАЯ КНИГА СКАЗОК ДЛЯ МАЛЫШЕЙ. ЛУЧШИЕ НОВОГОДНИЕ СТИХИ И СКАЗКИ</t>
  </si>
  <si>
    <t>978-5-378-34439-0</t>
  </si>
  <si>
    <t xml:space="preserve">Волшебный праздник станет уютнее и веселее вместе со сборником «Лучшие новогодние стихи и сказки». Под яркой обложкой вас ждут стихи С.А. Есенина, А.С. Пушкина и А.А. Фета, сказки «Два Мороза», «Двенадцать месяцев», «Снегурочка» и другие классические
новогодние произведения! </t>
  </si>
  <si>
    <t>9785378344390</t>
  </si>
  <si>
    <t>Есенин С,Пушкин А,Фет А,Бальмонт К,Ушкина Н,Манакова М,Балуева О,Александрова З,Строителева А,Берестов В,Чарская Л,Гурина И,Некрасов Н,Блок А,Суриков И,Клокова М,Осеева В,Чуковский К,Кудашева Р,Лясковский В,Майер Н,Купырина А</t>
  </si>
  <si>
    <t>1224f10a6e109703c7a7af4177a2bb48</t>
  </si>
  <si>
    <t>тиснение, 7 БЦ</t>
  </si>
  <si>
    <t>7БЦ</t>
  </si>
  <si>
    <t>Большая книга сказок для малышей</t>
  </si>
  <si>
    <t>170x215x24</t>
  </si>
  <si>
    <t>280132</t>
  </si>
  <si>
    <t>ВОЛШЕБНОЕ ПИСЬМО ДЕДУ МОРОЗУ мат.ламин. выб.лак, тиснение 203х257</t>
  </si>
  <si>
    <t>978-5-378-36150-2</t>
  </si>
  <si>
    <t>Близится Новый год, а у Жени Бублика большие неприятности – плохие оценки в школе, которые так не хочется исправлять. Мальчик решается на отчаянный шаг: пишет письмо Деду Морозу и просит поучиться вместо него до конца четверти. Пока ещё никто не догадывается, к каким последствиям приведёт эта невероятная затея...</t>
  </si>
  <si>
    <t>9785378361502</t>
  </si>
  <si>
    <t>Литоренко Алла Алексеевна</t>
  </si>
  <si>
    <t>41d6bfff79695ad5e197eeabda077210</t>
  </si>
  <si>
    <t>мат лам + выб лак + тиснение</t>
  </si>
  <si>
    <t>203х257х8</t>
  </si>
  <si>
    <t>213355</t>
  </si>
  <si>
    <t>Волшебство новогодней ёлки, офсет, глянц.ламин. 215х288</t>
  </si>
  <si>
    <t>978-5-378-34474-1</t>
  </si>
  <si>
    <t>В эту новогоднюю ночь Варя решила, что ни за что не уснёт и непременно дождётся Деда Мороза. Он украдкой проберётся в дом с набитым подарками мешком, в котором будет и её кукла в розовом чепчике и платье. Но глаза так и слипаются, а волшебство только начинается...</t>
  </si>
  <si>
    <t>&gt;120</t>
  </si>
  <si>
    <t>9785378344741</t>
  </si>
  <si>
    <t>Яковлева Нюта</t>
  </si>
  <si>
    <t>2201673a60e4f7d9aa8ce41ee526602d</t>
  </si>
  <si>
    <t>04.09.2023 0:00:00</t>
  </si>
  <si>
    <t>215х288х5</t>
  </si>
  <si>
    <t>261165</t>
  </si>
  <si>
    <t>ВСЕ ЗИМНИЕ СТИХИ И СКАЗКИ мат.лами, выб.лак, офсет, 145х203</t>
  </si>
  <si>
    <t>978-5-378-35765-9</t>
  </si>
  <si>
    <t>В этой книге собраны самые любимые зимние стихи и сказки. На её страницах детки встретят Снегурочку, Дедушку Мороза, Снеговика, Мороза Ивановича, Серебряное копытце и даже настоящих инопланетян, заглянувших в канун Нового года к Ёжику и Медвежонку в гости. Все эти персонажи создадут атмосферу волшебства и настроят на встречу самого главного праздника — Нового года. Каждую сказочную историю украшают иллюстрации. Они обязательно привлекут внимание и понравятся самым маленьким читателям!</t>
  </si>
  <si>
    <t>9785378357659</t>
  </si>
  <si>
    <t>d7c42c994ef80d71d0b84caa2ff30c02</t>
  </si>
  <si>
    <t>мат лам+выб лак</t>
  </si>
  <si>
    <t>145х203х15</t>
  </si>
  <si>
    <t>214477</t>
  </si>
  <si>
    <t>Детская энциклопедия Всё про Новый год 48 стр, офсет, глянц ламин 145х200</t>
  </si>
  <si>
    <t>978-5-378-34431-4</t>
  </si>
  <si>
    <t>Энциклопедия познакомит ребёнка с традициями и особенностями празднования Нового года в разных странах мира. Расскажет о том, как в Австралии устраивают новогодние соревнования по сёрфингу, что в Японии есть три Деда Мороза, а в России были времена, когда ёлки не украшали! Красочные иллюстрации и фотографии позволят окунуться в праздничную атмосферу каждой страны,  а викторина  в конце книги поможет проверить, насколько хорошо вы запомнили факты про такой разный праздник - Новый год.</t>
  </si>
  <si>
    <t>9785378344314</t>
  </si>
  <si>
    <t>Самоделова Екатерина</t>
  </si>
  <si>
    <t>145х205х7</t>
  </si>
  <si>
    <t>281711</t>
  </si>
  <si>
    <t>ЗАКОЛДОВАННЫЙ НОВЫЙ ГОД  глянц.ламин. офсет. 217х280</t>
  </si>
  <si>
    <t>978-5-378-36225-7</t>
  </si>
  <si>
    <t>«Любимый праздник детворы я спрячу в снежные шары!» — что задумала волшебница Градина? Она больше не хочет радоваться и решает лишить Нового года всех вокруг! Но почему ей помогает ворона Каррона? И какую роль сыграет в этой истории доверчивый снеговик Помпон? Смогут ли Дед Мороз и его верные помощники спасти праздник и помочь Градине вспомнить, что такое доброта? Волшебная история о том, как даже самое холодное сердце может оттаять, если рядом есть настоящие друзья.</t>
  </si>
  <si>
    <t>9785378362257</t>
  </si>
  <si>
    <t>Бивол Анжелика</t>
  </si>
  <si>
    <t>0330764ee3457169b6b8bb186b85261c</t>
  </si>
  <si>
    <t>216х280х8</t>
  </si>
  <si>
    <t>167097</t>
  </si>
  <si>
    <t>ЗАНИМАТЕЛЬНЫЕ ГОЛОВОЛОМКИ НОВОГОДНИЕ матов.ламин.обл. выб.лак. мелов.бум. 215х290</t>
  </si>
  <si>
    <t>978-5-378-31965-7</t>
  </si>
  <si>
    <t>Книга в твердой обложке "Занимательные новогодние головоломки" станет отличным подарком на Новый год! Внутри: 
-интересные задания, 
-забавные картинки, 
-милые персонажи.
Играй, учись, веселись!</t>
  </si>
  <si>
    <t>9785378319657</t>
  </si>
  <si>
    <t>215х290х8</t>
  </si>
  <si>
    <t>110562</t>
  </si>
  <si>
    <t xml:space="preserve">ЗОЛОТЫЕ СКАЗКИ. НОВОГОДНИЕ СТИХИ И СКАЗКИ </t>
  </si>
  <si>
    <t>978-5-378-29307-0</t>
  </si>
  <si>
    <t>Замечательный сборник "Новогодние стихи и сказки" подарит малышу настоящее настроение праздника. Ведь на его страницах собрано множество произведений, посвященных Новому году, написанных как классиками литературы - С. Есениным, А. Блоком, К. Чуковским, так и современными авторами - М. Ясновым, Н. Волковой, А. Орловой.</t>
  </si>
  <si>
    <t>9785378293070</t>
  </si>
  <si>
    <t>Александрова Зинаида Николаевна,Кушак Юрий Наумович,Синявский Петр Алексеевич,Берестов Валентин Дмитриевич,Осеева Валентина Александровна,Чуковский Корней Иванович,Кудашева Раиса Адамовна,Чарская Лидия Алексеевна,Гурина Ирина Валерьевна,Бальмонт Константин Дмитриевич,Есенин Сергей Александрович,Фет Афанасий Афанасьевич,Блок Александр Александрович,Некрасов Николай Алексеевич,Суриков Иван Захарович,Клокова Мария Петровна,Яснов Михаил Давидович,Орлова Анастасия Александровна,Волкова Наталия Геннадьевна</t>
  </si>
  <si>
    <t>6+</t>
  </si>
  <si>
    <t>Золотые сказки</t>
  </si>
  <si>
    <t>288х235х22</t>
  </si>
  <si>
    <t>136916</t>
  </si>
  <si>
    <t>Л.С. НОВОГОДНИЕ СТИХИ И СКАЗКИ</t>
  </si>
  <si>
    <t>978-5-378-30042-6</t>
  </si>
  <si>
    <t>Этот новогодний сборник стихов и сказок станет отличным помощником при подготовке к самому волшебному празднику в году.Под обложкой вас ждут замечательные произведения любимых детских писателей: К.Чуковского, З. Александровой, С. Есенина, Н. Некрасова и многих других.</t>
  </si>
  <si>
    <t>9785378300426</t>
  </si>
  <si>
    <t>Любимые сказки (подарочные) новогодние</t>
  </si>
  <si>
    <t>200х265х13</t>
  </si>
  <si>
    <t>233196</t>
  </si>
  <si>
    <t>ЛУЧШЕЕ ДЛЯ НАШИХ МАЛЫШЕЙ. Новогодние стихи</t>
  </si>
  <si>
    <t>978-5-378-34879-4</t>
  </si>
  <si>
    <t>Новогодний выпуск серии "Лучшее для наших детей" порадует читателей яркими картинками, волшебными Новогодними стихами и красочной обложкой. Внутри 48 страниц со стихами Афанасия Фета, Александра Пушкина, Валентины Осеевой и других поэтов.</t>
  </si>
  <si>
    <t>9785378348794</t>
  </si>
  <si>
    <t>Кудашева Раиса Адамовна,Фет Афанасий Афанасьевич,Бальмонт Константин,Александрова Зинаида Николаевна,Манакова Мария Васильевна,Берестов Валентин,Осеева Валентина,Гурина Ирина Валерьевна,Есенин Сергей,Блок Александр,Некрасов Николай,Суриков Иван,Клокова Мария,Чуковский Корней Иванович,Строителева Анна Владимировна</t>
  </si>
  <si>
    <t>d07fa47570dedad4d3832cb95167fe2d</t>
  </si>
  <si>
    <t>144х203х7</t>
  </si>
  <si>
    <t>233221</t>
  </si>
  <si>
    <t>Новогодний детектив или Куда пропал Дед Мороз</t>
  </si>
  <si>
    <t>978-5-378-34436-9</t>
  </si>
  <si>
    <t>На носу тридцать первое декабря, а в ледяной избе Дедушки Мороза вместо него самого остались только шуба, валенки и рукавицы. Куда пропал Дед Мороз? Он растаял или похищен? Неужели теперь дети не получат подарки на Новый год? Спасти волшебный праздник постараются верные друзья Деда Мороза: олень Пятнышко, Белка и Снежная Коровка. На время они сами станут волшебниками.</t>
  </si>
  <si>
    <t>9785378344369</t>
  </si>
  <si>
    <t>Бурак Елена Сергеевна</t>
  </si>
  <si>
    <t>4d5b2c625b6bbf434da1988586a40077</t>
  </si>
  <si>
    <t>210х288х7</t>
  </si>
  <si>
    <t>280136</t>
  </si>
  <si>
    <t>НОВЫЙ ГОД С СИНИМ ТРАКТОРОМ глянц.ламин. 170х220</t>
  </si>
  <si>
    <t>978-5-378-36149-6</t>
  </si>
  <si>
    <t>На страницах этой книги малыши найдут новогодние песенки из мультфильма, истории о зимних приключениях Синего Трактора, а также весёлые стихи и загадки. Встречайте Новый год вместе с любимыми героями!</t>
  </si>
  <si>
    <t>9785378361496</t>
  </si>
  <si>
    <t>Васягина Веста Анатольевна,Гурина Ирина Валерьевна,Купырина Анна Михайловна</t>
  </si>
  <si>
    <t>fe2e512cfdf50463bcce21c4a7246929</t>
  </si>
  <si>
    <t>170х220х7</t>
  </si>
  <si>
    <t>CЕРИЯ: НГ развивалки+игры+пазлы</t>
  </si>
  <si>
    <t>190558</t>
  </si>
  <si>
    <t>БОЛЬШАЯ КНИГА ИГР. НОВЫЙ ГОД</t>
  </si>
  <si>
    <t>978-5-378-33904-4</t>
  </si>
  <si>
    <t>Ты держишь в руках замечательную книгу, с которой не придётся скучать. Открой её, и ты попадёшь на ледовый каток, напишешь письмо Дедушке Морозу, сыграешь в фанты, научишься рисовать снеговика и даже побываешь в новогоднем лесу!</t>
  </si>
  <si>
    <t>9785378339044</t>
  </si>
  <si>
    <t>195х260х3</t>
  </si>
  <si>
    <t>238479</t>
  </si>
  <si>
    <t>БОЛЬШОЙ НОВОГОДНИЙ ПОДАРОК (Дед Мороз с жёлтым мешком)</t>
  </si>
  <si>
    <t>467-0-159-21716-9</t>
  </si>
  <si>
    <t>В набор входят:
• Новогодние аппликации
• Книга-ёлочка со стихами
• Волшебный конверт с письмом Деду Морозу
• Новогодний блокнот
• Раскраска с сияющими наклейками
• Новогодняя раскраска А4
• Новогодняя раскраска А5
• Поздравительная открытка
• Новогодние поделки
• Снежинки из бумаги</t>
  </si>
  <si>
    <t>4670159217169</t>
  </si>
  <si>
    <t>05.08.2024 0:00:00</t>
  </si>
  <si>
    <t>коробка, 7БЦ</t>
  </si>
  <si>
    <t>320x230x60</t>
  </si>
  <si>
    <t>238480</t>
  </si>
  <si>
    <t>БОЛЬШОЙ НОВОГОДНИЙ ПОДАРОК (Дед Мороз с синим мешком)</t>
  </si>
  <si>
    <t>467-0-159-21717-6</t>
  </si>
  <si>
    <t>4670159217176</t>
  </si>
  <si>
    <t>085926</t>
  </si>
  <si>
    <t>КВЕСТ. В ПОИСКАХ НОВОГОДНЕГО ПОДАРКА</t>
  </si>
  <si>
    <t>466-5-305-43302-9</t>
  </si>
  <si>
    <t>Мечтаете наполнить волшебством новогодний праздник? Хотите, чтобы ребёнок надолго запомнил ваш подарок? Тогда вы нашли то,что искали! Превратите простое поздравление в увлекательный квест! Спрячьте подарок и позвольте малышу отправиться на поиски своего сокровища. Ему предстоит выполнить задания, расшифровать подсказки и восстановить карту, которая подскажет правильный путь.</t>
  </si>
  <si>
    <t>4665305433029</t>
  </si>
  <si>
    <t>5+</t>
  </si>
  <si>
    <t>19.06.2018 0:00:00</t>
  </si>
  <si>
    <t>европодвес</t>
  </si>
  <si>
    <t>240х325х2</t>
  </si>
  <si>
    <t>240136</t>
  </si>
  <si>
    <t>КВЕСТ. НОВОГОДНИЙ КВЕСТ ОТ КАПИБАРЫ. ТРЕНДХАУС</t>
  </si>
  <si>
    <t>467-0-159-22107-4</t>
  </si>
  <si>
    <t>Мечтаете наполнить волшебством новогодний праздник? Хотите, чтобы ребёнок надолго запомнил ваш подарок? Тогда вы нашли то, что искали! Превратите простое поздравление в увлекательный квест! Спрячьте подарок и позвольте малышу отправиться на поиски своего сокровища. Ему предстоит выполнить задания, расшифровать подсказки и восстановить карту, которая подскажет правильный путь. Поверьте в чудеса!</t>
  </si>
  <si>
    <t>4670159221074</t>
  </si>
  <si>
    <t>60e0b52a766e1ca79618b7de09ab6b26</t>
  </si>
  <si>
    <t>3+</t>
  </si>
  <si>
    <t>240x323x1</t>
  </si>
  <si>
    <t>113395</t>
  </si>
  <si>
    <t>КВЕСТ. ТРИ КОТА. В ПОИСКАХ НОВОГОДНЕГО СЮРПРИЗА</t>
  </si>
  <si>
    <t>466-5-307-13725-3</t>
  </si>
  <si>
    <t>Мечтаете наполнить волшебством детский праздник? Хотите, чтобы ребёнок надолго запомнил ваш подарок? Тогда вы нашли то, что искали! Превратите простое поздравление в увлекательный квест с героями любимого мультсериала "Три кота"! Спрячьте подарок и позвольте малышу отправиться на поиски своего сокровища. Ему предстоит выполнить задания, расшифровать подсказки и восстановить карту, которая подскажет правильный путь. Поверь в чудеса!</t>
  </si>
  <si>
    <t>4665307137253</t>
  </si>
  <si>
    <t>Подлежит маркировке ЧЗ Игрушки с 1 декабря 2025</t>
  </si>
  <si>
    <t>280988</t>
  </si>
  <si>
    <t>КНИЖКА С ОКОШКАМИ 195х195. Новогодние чудеса</t>
  </si>
  <si>
    <t>978-5-378-36181-6</t>
  </si>
  <si>
    <t>9785378361816</t>
  </si>
  <si>
    <t>192х193х7</t>
  </si>
  <si>
    <t>166941</t>
  </si>
  <si>
    <t>КНИЖКА С ОКОШКАМИ 235х315. НОВОГОДНИЕ ЧУДЕСА</t>
  </si>
  <si>
    <t>978-5-378-31943-5</t>
  </si>
  <si>
    <t>Наступления Нового года ждут все - и взрослые, и дети! Ведь это время чудес, подарков и зимних забав! Давай вместе отправимся в увлекательное новогоднее путешествие - заглянем в мастерскую к Дедушке Морозу, где готовятся подарки для малышей, посетим городскую ёлку, узнаем, какие зимние игры самые весёлые, и наконец встретим праздник дома под бой курантов! Только не забудь заглянуть в окошки- там много интересного!</t>
  </si>
  <si>
    <t>9785378319435</t>
  </si>
  <si>
    <t>235х315х10</t>
  </si>
  <si>
    <t>238442</t>
  </si>
  <si>
    <t>СБОРНИК-ПАНОРАМКА 16 разворотов. НОВОГОДНИЕ СТИХИ И СКАЗКИ</t>
  </si>
  <si>
    <t>978-5-378-35141-1</t>
  </si>
  <si>
    <t>Зимний праздник станет уютнее и веселее вместе со сборником «Новогодние стихи и сказки».
В книге 16 разворотов, и на каждом из них малышу встретится объёмная 3D картинка с яркими новогодними персонажами: белочками, зайчиками, снеговиком, и, конечно, Дедушкой Морозом.
Новогодняя книжка-панорамка станет одной из любимых в детской библиотеке. Она обязательно подарит детям хорошее настроение и массу положительными эмоций.</t>
  </si>
  <si>
    <t>9785378351411</t>
  </si>
  <si>
    <t>Кудашева Раиса Адамовна,Гурина Ирина Валерьевна,Бальмонт Константин,Фет Афанасий,Суриков Иван,Клокова Мария,Строителева Анна Владимировна</t>
  </si>
  <si>
    <t>fd2d53d24af5f0b41c7f27e0d8906e08</t>
  </si>
  <si>
    <t>230х167х45</t>
  </si>
  <si>
    <t>СЕРИЯ: MyArt. НГ СКЕТЧБУК "В ТРЕНДЕ" 64л мат.лам, выб.лак, кругл.углы 7БЦ 145х203 (бумага 120гр)</t>
  </si>
  <si>
    <t>235086</t>
  </si>
  <si>
    <t>MyArt. НГ СКЕТЧБУК "В ТРЕНДЕ" ВСЕ НА ПРАЗДНИК!</t>
  </si>
  <si>
    <t>467-0-159-19965-6</t>
  </si>
  <si>
    <t>4670159199656</t>
  </si>
  <si>
    <t>трендхаус, подснежник</t>
  </si>
  <si>
    <t>мат. лам+выб.лак</t>
  </si>
  <si>
    <t>145х204х13</t>
  </si>
  <si>
    <t>235082</t>
  </si>
  <si>
    <t>MyArt. НГ СКЕТЧБУК "В ТРЕНДЕ" ЁЛОЧКА, ГОРИ!</t>
  </si>
  <si>
    <t>467-0-159-19962-5</t>
  </si>
  <si>
    <t>4670159199625</t>
  </si>
  <si>
    <t>235083</t>
  </si>
  <si>
    <t>MyArt. НГ СКЕТЧБУК "В ТРЕНДЕ" ПАРДОН, РЕФЛЕКСЫ</t>
  </si>
  <si>
    <t>467-0-159-19963-2</t>
  </si>
  <si>
    <t>4670159199632</t>
  </si>
  <si>
    <t>235085</t>
  </si>
  <si>
    <t>MyArt. НГ СКЕТЧБУК "В ТРЕНДЕ" ТАНЦУЙ!</t>
  </si>
  <si>
    <t>467-0-159-19964-9</t>
  </si>
  <si>
    <t>4670159199649</t>
  </si>
  <si>
    <t>СЕРИЯ: БОЛЬШАЯ ВОДНАЯ РАСКРАСКА НГ глянц.ламин, картон.обл, 8л 238х330 (офсет 160гр)</t>
  </si>
  <si>
    <t>281720</t>
  </si>
  <si>
    <t>БОЛЬШАЯ ВОДНАЯ РАСКРАСКА НГ. ВОЛШЕБНЫЙ НОВЫЙ ГОД. ЦЫП-ЦЫП</t>
  </si>
  <si>
    <t>978-5-378-36212-7</t>
  </si>
  <si>
    <t>9785378362127</t>
  </si>
  <si>
    <t>238х330х2</t>
  </si>
  <si>
    <t>281721</t>
  </si>
  <si>
    <t>БОЛЬШАЯ ВОДНАЯ РАСКРАСКА НГ. ВОЛШЕБНЫЙ ПРАЗДНИК. МАСТЕР ВИТЯ И МОТОР</t>
  </si>
  <si>
    <t>978-5-378-36213-4</t>
  </si>
  <si>
    <t>9785378362134</t>
  </si>
  <si>
    <t>281722</t>
  </si>
  <si>
    <t>БОЛЬШАЯ ВОДНАЯ РАСКРАСКА НГ. НОВОГОДНЕЕ ЧУДО. ЦВЕТНЯШКИ</t>
  </si>
  <si>
    <t>978-5-378-36214-1</t>
  </si>
  <si>
    <t>9785378362141</t>
  </si>
  <si>
    <t>281723</t>
  </si>
  <si>
    <t>БОЛЬШАЯ ВОДНАЯ РАСКРАСКА НГ. НОВОГОДНИЕ ЗАБАВЫ. СИНИЙ ТРАКТОР</t>
  </si>
  <si>
    <t>978-5-378-36215-8</t>
  </si>
  <si>
    <t>9785378362158</t>
  </si>
  <si>
    <t>281719</t>
  </si>
  <si>
    <t>БОЛЬШАЯ ВОДНАЯ РАСКРАСКА НГ. РАСКРАСЬ ЗИМУ. КОТЁНОК КОТЭ</t>
  </si>
  <si>
    <t>978-5-378-36211-0</t>
  </si>
  <si>
    <t>9785378362110</t>
  </si>
  <si>
    <t>281724</t>
  </si>
  <si>
    <t>БОЛЬШАЯ ВОДНАЯ РАСКРАСКА НГ. СКАЗОЧНЫЙ НОВЫЙ ГОД. КОШЕЧКИ - СОБАЧКИ</t>
  </si>
  <si>
    <t>978-5-378-36216-5</t>
  </si>
  <si>
    <t>9785378362165</t>
  </si>
  <si>
    <t>СЕРИЯ: МАСТЕРСКАЯ ДЕДА МОРОЗА 195х276 с блеском</t>
  </si>
  <si>
    <t>108872</t>
  </si>
  <si>
    <t>МАСТЕРСКАЯ ДЕДА МОРОЗА. ПОДЕЛКИ К НОВОМУ ГОДУ</t>
  </si>
  <si>
    <t>978-5-378-29213-4</t>
  </si>
  <si>
    <t>Мастерские Деда Мороза помогут детям сделать множество поделок и украсить дом и ёлку к Новому году.</t>
  </si>
  <si>
    <t>9785378292134</t>
  </si>
  <si>
    <t>195х277х2</t>
  </si>
  <si>
    <t xml:space="preserve">СЕРИЯ: НГ АДВЕНТ - КАЛЕНДАРЬ  </t>
  </si>
  <si>
    <t>214476</t>
  </si>
  <si>
    <t>НГ АДВЕНТ-КАЛЕНДАРЬ "15 дней до Нового Года" глянц.ламин. 210х290</t>
  </si>
  <si>
    <t>467-0-159-09602-3</t>
  </si>
  <si>
    <t xml:space="preserve">Адвент-календарь – самый простой вариант погрузить всю семью в атмосферу наступающего праздника! Самые важные 15 дней подготовки к Новому году малыш ежедневно будет занят, выполняя несложные задания, раскрашивая картинки, отгадывая кроссворд и даже приклеивая бороду Деду Морозу! </t>
  </si>
  <si>
    <t>4670159096023</t>
  </si>
  <si>
    <t>6d303c3a2a73f01f2db51739a53f3d5d</t>
  </si>
  <si>
    <t>210x290x2</t>
  </si>
  <si>
    <t>171777</t>
  </si>
  <si>
    <t>НГ АДВЕНТ-КАЛЕНДАРЬ (с медведем) глянц. ламин.240х330</t>
  </si>
  <si>
    <t>978-5-378-32276-3</t>
  </si>
  <si>
    <t>Новогодний адвент-календарь подарит каждому ребёнку настроение наступающего праздника. В нём собраны игры, увлекательные задания, ребусы, поделки на каждый день до наступления Нового года. С ними ждать праздника — гораздо веселее и интереснее! Внутри адвент-календаря найдутся красочные наклейки в виде ёлочных игрушек и плакат в виде ёлки, которую можно заполнить этими игрушками. Повесьте его на стену и украшайте вместе с ребёнком по мере приближения 31 декабря.</t>
  </si>
  <si>
    <t>9785378322763</t>
  </si>
  <si>
    <t>240x330x3</t>
  </si>
  <si>
    <t>108870</t>
  </si>
  <si>
    <t>НГ АДВЕНТ-КАЛЕНДАРЬ глянц.ламин, тиснение обл, глиттер - оборот. 277х332</t>
  </si>
  <si>
    <t>978-5-378-29214-1</t>
  </si>
  <si>
    <t>Наполните предновогодние две недели праздничным настроением, приключениями и волшебством! Повесьте плакат-ёлочку, положите в конверт карточку с заданием и наклейку с сегодняшней датой. Выполняя по одному заданию каждый день, вы с малышом напишете письмо Деду Морозу, сделаете множество поделок для украшения ёлки или дома, выучите зимнее стихотворение и весело проведёте время вместе. Поощряйте ребёнка небольшими сувенирами, фруктами или сладостями за выполненные задания. Счастливого нового года!</t>
  </si>
  <si>
    <t>9785378292141</t>
  </si>
  <si>
    <t>277х330х2</t>
  </si>
  <si>
    <t>194573</t>
  </si>
  <si>
    <t>НГ АДВЕНТ-КАЛЕНДАРЬ С ОКОШКАМИ глянц.ламин. 280х390</t>
  </si>
  <si>
    <t>462-0-129-78384-2</t>
  </si>
  <si>
    <t>Адвент-календарь с окошками - это отличный способ провести время ожидания Нового года с пользой и удовольствием. Календарь напечатан на плотном картоне, на нем расположено 31 окошко, под крышкой каждого из них - задание, связанное с подготовкой к Новому году, Для удобства открывания окошек предусмотрены ушки, за которые можно взяться и легко открыть новое задание. На обороте напечатаны приложения к некоторым заданиям в окошках: рецепт печенья, стихотворения и многое другое. Также на обороте напечатан QR код, перейдя по которому можно ознакомиться со всеми заданиями в адвент-календаре.</t>
  </si>
  <si>
    <t>4620129783842</t>
  </si>
  <si>
    <t>280х390х1</t>
  </si>
  <si>
    <t xml:space="preserve">СЕРИЯ: НГ БОЛЬШИЕ НАКЛЕЙКИ картон.обл. 235х330  </t>
  </si>
  <si>
    <t>164965</t>
  </si>
  <si>
    <t>НГ БОЛЬШИЕ НАКЛЕЙКИ. ПОДАРОК ПОД ЁЛОЧКУ</t>
  </si>
  <si>
    <t>978-5-378-31887-2</t>
  </si>
  <si>
    <t>Наклейки в этой брошюре действительно большие-некоторые в длину до 15 сантиметров! Они послужат отличным украшением как для дома, так и для новогодних открыток.</t>
  </si>
  <si>
    <t>9785378318872</t>
  </si>
  <si>
    <t>235х330х2</t>
  </si>
  <si>
    <t>164966</t>
  </si>
  <si>
    <t>НГ БОЛЬШИЕ НАКЛЕЙКИ. ЧУДЕСНЫЙ НОВЫЙ ГОД</t>
  </si>
  <si>
    <t>978-5-378-31888-9</t>
  </si>
  <si>
    <t>9785378318889</t>
  </si>
  <si>
    <t>СЕРИЯ: НГ ГЛАЗКИ-МИНИ глянц. ламин. 120х150</t>
  </si>
  <si>
    <t>278103</t>
  </si>
  <si>
    <t>ГЛАЗКИ-МИНИ. ДЕД МОРОЗ</t>
  </si>
  <si>
    <t>978-5-378-36131-1</t>
  </si>
  <si>
    <t>Яркие картонные книги с подвижными глазками превратят чтение в настоящее приключение. Весёлые глазки привлекут внимание ребёнка, помогут в развитии зрительного восприятия и мелкой моторики. Скруглённые уголки и небольшой формат книги позволят вашему малышу самостоятельно держать книжки в руках и переворачивать странички. Чудесные, добрые новогодние сюжеты не оставят равнодушными ни одного маленького читателя. Это прекрасная идея новогоднего подарка для ваших малышей. Подарите им незабываемые эмоции вместе с нашей серией книг!</t>
  </si>
  <si>
    <t>9785378361311</t>
  </si>
  <si>
    <t>120х150х6</t>
  </si>
  <si>
    <t>278106</t>
  </si>
  <si>
    <t>ГЛАЗКИ-МИНИ. РАЗ, ДВА, ТРИ - ЁЛОЧКА, ГОРИ!</t>
  </si>
  <si>
    <t>978-5-378-36133-5</t>
  </si>
  <si>
    <t>9785378361335</t>
  </si>
  <si>
    <t>Бутенко Тимофей</t>
  </si>
  <si>
    <t>278109</t>
  </si>
  <si>
    <t>ГЛАЗКИ-МИНИ. С НОВЫМ ГОДОМ, С НОВЫМ СЧАСТЬЕМ!</t>
  </si>
  <si>
    <t>978-5-378-36134-2</t>
  </si>
  <si>
    <t>9785378361342</t>
  </si>
  <si>
    <t>278104</t>
  </si>
  <si>
    <t>ГЛАЗКИ-МИНИ. СНЕГУРУШКА</t>
  </si>
  <si>
    <t>978-5-378-36132-8</t>
  </si>
  <si>
    <t>9785378361328</t>
  </si>
  <si>
    <t>СЕРИЯ: НГ НАКЛЕЙКИ в конверте СТИКЕРПАК А6 110х150</t>
  </si>
  <si>
    <t>213663</t>
  </si>
  <si>
    <t>НГ НАКЛЕЙКИ в конверте А6. АНИМЕ</t>
  </si>
  <si>
    <t>467-0-159-08135-7</t>
  </si>
  <si>
    <t>Наши стикерпаки с новогодними наклейками идеально подойдут для создания праздничного настроения! Милые и яркие стикеры порадуют не только детей, но взрослых. Ими можно украсить чехол для телефона, ноутбук, блокнот - все, что вы захотите. 
Новогодние стикеры "Аниме" не оставят равнодушными любителей Азии!</t>
  </si>
  <si>
    <t>4670159081357</t>
  </si>
  <si>
    <t>Конв.</t>
  </si>
  <si>
    <t>110х176х1</t>
  </si>
  <si>
    <t>СЕРИЯ: НГ ОЧЕНЬ БОЛЬШАЯ РАСКРАСКА  430х1000, в индивидуальной коробке</t>
  </si>
  <si>
    <t>169771</t>
  </si>
  <si>
    <t>ОЧЕНЬ БОЛЬШАЯ РАСКРАСКА. ЗИМНИЕ ПРИКЛЮЧЕНИЯ</t>
  </si>
  <si>
    <t>978-5-378-32121-6</t>
  </si>
  <si>
    <t>Эта "Очень большая раскраска" - отличное развлечение для всей семьи: её могут раскрашивать одновременно несколько человек! Раскраска-плакат "Зимние приключения" подарит новогоднее настроение и позволит интересно провести время, а милые животные помогут создать атмосферу предстоящего праздника. Когда картинка будет полностью раскрашена, можно повесить её на стену и любоваться ею.</t>
  </si>
  <si>
    <t>9785378321216</t>
  </si>
  <si>
    <t>Очень большая раскраска</t>
  </si>
  <si>
    <t>50х460х50</t>
  </si>
  <si>
    <t>СЕРИЯ: НГ ПОДАРОЧНЫЕ РАСКРАСКИ КБС мат ламин, выб лак 195х260</t>
  </si>
  <si>
    <t>277812</t>
  </si>
  <si>
    <t>НГ ПОДАРОЧНЫЕ РАСКРАСКИ. С Новым Годом, СССР!</t>
  </si>
  <si>
    <t>978-5-378-36120-5</t>
  </si>
  <si>
    <t>9785378361205</t>
  </si>
  <si>
    <t>ceb838d2d196b92d91a737ab93f275d0</t>
  </si>
  <si>
    <t>195х260х5</t>
  </si>
  <si>
    <t>277813</t>
  </si>
  <si>
    <t>НГ ПОДАРОЧНЫЕ РАСКРАСКИ. Эстетичный Новый Год</t>
  </si>
  <si>
    <t>978-5-378-36119-9</t>
  </si>
  <si>
    <t>9785378361199</t>
  </si>
  <si>
    <t>56bd3beba8006be41c16a7345b205f3e</t>
  </si>
  <si>
    <t>СЕРИЯ: НГ РАСКРАСКА-ВИММЕЛЬБУХ 235х330</t>
  </si>
  <si>
    <t>195051</t>
  </si>
  <si>
    <t>РАСКРАСКА-ВИММЕЛЬБУХ. ВОЛШЕБНЫЙ НОВЫЙ ГОД</t>
  </si>
  <si>
    <t>978-5-378-34065-1</t>
  </si>
  <si>
    <t>Раскраска для истинных ценителей! Иллюстрации, насыщенные действиями и наполненные персонажами, привлекут внимание и надолго не выпустят из мира карандашей и фломастеров! На каждом развороте - своя история, и не одна! Включайте фантазию, и вперёд! Раскраска "Волшебный Новый год" совершенно точно не даст скучать на зимних каникулах.</t>
  </si>
  <si>
    <t>9785378340651</t>
  </si>
  <si>
    <t>235х330х3</t>
  </si>
  <si>
    <t>СЕРИЯ: НГ РАСКРАСКИ А5 эконом, 8 листов, мелов.обл., 140х200</t>
  </si>
  <si>
    <t>102958</t>
  </si>
  <si>
    <t>РАСКРАСКА А5 НГ. ЗИМНИЕ ЗАБАВЫ</t>
  </si>
  <si>
    <t>978-5-378-29147-2</t>
  </si>
  <si>
    <t>Новогодние раскраски карманного формата порадуют малышей и станут идеальным подарком в преддверии зимних праздников. В этих раскрасках дети найдут забавные картинки праздничной тематики.</t>
  </si>
  <si>
    <t>9785378291472</t>
  </si>
  <si>
    <t>140х200х2</t>
  </si>
  <si>
    <t>СЕРИЯ: НГ РАСКРАСКИ с новогодними очками 215х310</t>
  </si>
  <si>
    <t>236465</t>
  </si>
  <si>
    <t>НГ РАСКРАСКИ с новогодними очками. НОВОГОДНЕЕ ВЕСЕЛЬЕ</t>
  </si>
  <si>
    <t>978-5-378-35068-1</t>
  </si>
  <si>
    <t>Серия "Новогодняя раскраска" - это прекрасный подарок для ребёнка. Красивые иллюстрации создадут праздничное настроение и увлекут мальчишек и девчонок на долгое время. Раскраска большого размера, бумага в блоке достаточно плотная, чтобы дети могли использовать для раскрашивания как карандаши, так и фломастеры. В комплекте к раскраске идут сверкающие новогодние очки с рожками. Этот аксессуар сделает новогодний образ еще более праздничным!</t>
  </si>
  <si>
    <t>9785378350681</t>
  </si>
  <si>
    <t>28e69ba3adfec2803e5022c60d086912</t>
  </si>
  <si>
    <t>215х310х15</t>
  </si>
  <si>
    <t>236466</t>
  </si>
  <si>
    <t>НГ РАСКРАСКИ с новогодними очками. НОВОГОДНИЕ КАНИКУЛЫ</t>
  </si>
  <si>
    <t>978-5-378-35069-8</t>
  </si>
  <si>
    <t>9785378350698</t>
  </si>
  <si>
    <t>2e8466e9c8096636dba8d311655417c5</t>
  </si>
  <si>
    <t>СЕРИЯ: НГ РАСКРАСКИ с сияющими наклейками 195х276</t>
  </si>
  <si>
    <t>165052</t>
  </si>
  <si>
    <t>РАСКРАСКИ с сияющими наклейками. ЗИМНИЕ ЗАБАВЫ</t>
  </si>
  <si>
    <t>978-5-378-31896-4</t>
  </si>
  <si>
    <t>Раскраски с сияющими наклейками — это весёлые картинки с забавными персонажами, которые подарят ребёнку новогоднее настроение. Каждой картинке в блоке соответствует своя наклейка с волшебным сияющим покрытием. Поэтому дополнительным интересным заданием в раскраске станет ещё и возможность найти наклейку для каждой иллюстрации и добавить её на страничку. Такая раскраска — отличное увлечение для малыша на новогодних каникулах.</t>
  </si>
  <si>
    <t>9785378318964</t>
  </si>
  <si>
    <t>195x275x2</t>
  </si>
  <si>
    <t>165050</t>
  </si>
  <si>
    <t>РАСКРАСКИ с сияющими наклейками. НОВОГОДНИЙ КАРНАВАЛ</t>
  </si>
  <si>
    <t>978-5-378-31894-0</t>
  </si>
  <si>
    <t>9785378318940</t>
  </si>
  <si>
    <t>СЕРИЯ: НГ СТИКЕРБУК глянц.ламин.160х230</t>
  </si>
  <si>
    <t>178317</t>
  </si>
  <si>
    <t>НОВОГОДНИЙ СТИКЕРБУК</t>
  </si>
  <si>
    <t>462-0-129-70615-5</t>
  </si>
  <si>
    <t>Этот замечательный альбом с наклейками подарит малышам радость и новогоднее настроение. Ведь внутри их ждёт целых 8 листов с наклейками! Ребёнок обязательно оценит весёлые новогодние сюжеты, отражённые на наклейках.</t>
  </si>
  <si>
    <t>4620129706155</t>
  </si>
  <si>
    <t>160х230х4</t>
  </si>
  <si>
    <t>СЕРИЯ: НГ ЦК глянц.ламин 160х220</t>
  </si>
  <si>
    <t>260249</t>
  </si>
  <si>
    <t>НГ ЦК. В РЕТРО СТИЛЕ. ПИСЬМО ДЕДУШКЕ МОРОЗУ</t>
  </si>
  <si>
    <t>978-5-378-35727-7</t>
  </si>
  <si>
    <t>Серия красочных новогодних книжек на плотном целлюлозном картоне с закруглёнными углами создана специально для самых маленьких читателей 1-3 лет. Внутри добрые праздничные истории в стихах, которые легко запоминаются и создают праздничное настроение. Яркие иллюстрации с забавными персонажами привлекут внимание ребёнка, а удобный формат 160х220 мм позволяет рассматривать книги самостоятельно или читать вместе с родителями, наполняя ожидание Нового года радостью и чудом. Прочные страницы выдержат многократное перелистывание, а закругленные углы делают книги безопасными для малышей.</t>
  </si>
  <si>
    <t>9785378357277</t>
  </si>
  <si>
    <t>c9f7a39e7c66d90fcdbe1a39f5986588</t>
  </si>
  <si>
    <t>160х220х5</t>
  </si>
  <si>
    <t>171277</t>
  </si>
  <si>
    <t>НГ ЦК. ЗАЙЧОНОК И НОВЫЙ ГОД</t>
  </si>
  <si>
    <t>978-5-378-32228-2</t>
  </si>
  <si>
    <t>Что положить под ёлочку ребёнку на Новый год? Подсказываем! Четыре маленькие книжки о самом волшебном празднике и невероятных приключениях любимых героев: "Зайчонок и Новый год", "Новогодние истории", "Новый год игрушек", Путешествие Деда Мороза", Благодаря плотному картону малыш сможет сам листать страницы: яркие картинки надолго займут его внимание, а ещё он легко запомнит сюжет и выучит наизусть весёлые стихи.</t>
  </si>
  <si>
    <t>9785378322282</t>
  </si>
  <si>
    <t>160x220x5</t>
  </si>
  <si>
    <t>258279</t>
  </si>
  <si>
    <t>НГ ЦК. ЛУЧШИЙ НОВОГОДНИЙ ПОДАРОК</t>
  </si>
  <si>
    <t>978-5-378-35677-5</t>
  </si>
  <si>
    <t>9785378356775</t>
  </si>
  <si>
    <t>ce92c45f4bd12d871213e4cfc966d9df</t>
  </si>
  <si>
    <t>171279</t>
  </si>
  <si>
    <t>НГ ЦК. НОВОГОДНИЕ ИСТОРИИ</t>
  </si>
  <si>
    <t>978-5-378-32229-9</t>
  </si>
  <si>
    <t>9785378322299</t>
  </si>
  <si>
    <t>СЕРИЯ: НГ ЦК глянц.ламин, тиснение 200х260</t>
  </si>
  <si>
    <t>281707</t>
  </si>
  <si>
    <t>НГ ЦК 200х260. ВОЛШЕБСТВО НОВОГОДНЕЙ ЕЛКИ</t>
  </si>
  <si>
    <t>978-5-378-36196-0</t>
  </si>
  <si>
    <t>Красивая новогодняя книга увеличенного формата с закруглёнными уголками подходит для самых маленьких читателей. Красочные иллюстрации и добрые истории в стихах подарят праздник девочкам и мальчикам. Им будет интересно и слушать чтение взрослых, и самостоятельно рассматривать картинки. Уютные вечера в ожидании Нового года с этой книгой гарантированы! Прочные страницы из картона позволяет многократно листать книгу, а оформление обложки фольгой придаёт ей праздничный вид.</t>
  </si>
  <si>
    <t>9785378361960</t>
  </si>
  <si>
    <t>f171808a496fb518ce2746406b11dcd5</t>
  </si>
  <si>
    <t>199х259х6</t>
  </si>
  <si>
    <t>281709</t>
  </si>
  <si>
    <t>НГ ЦК 200х260. ГДЕ ТЫ, ДЕДУШКА МОРОЗ?</t>
  </si>
  <si>
    <t>978-5-378-36199-1</t>
  </si>
  <si>
    <t>9785378361991</t>
  </si>
  <si>
    <t>4b0b64a3b02eb3f0f36d7ffeff0df6cb</t>
  </si>
  <si>
    <t>281712</t>
  </si>
  <si>
    <t>НГ ЦК 200х260. НОВОГОДНЯЯ ЁЛОЧКА (Три кота)</t>
  </si>
  <si>
    <t>978-5-378-36197-7</t>
  </si>
  <si>
    <t>9785378361977</t>
  </si>
  <si>
    <t>17e4ecdc7876ff70c2c20d3cebd7997a</t>
  </si>
  <si>
    <t>281710</t>
  </si>
  <si>
    <t>НГ ЦК 200х260. С НОВЫМ ГОДОМ! (Цып-Цып)</t>
  </si>
  <si>
    <t>978-5-378-36198-4</t>
  </si>
  <si>
    <t>9785378361984</t>
  </si>
  <si>
    <t>eaece11a25917d6f0b02e061fbf11aed</t>
  </si>
  <si>
    <t>СЕРИЯ: НГ ЦК-МИНИ глянц.ламин. 110х150</t>
  </si>
  <si>
    <t>280159</t>
  </si>
  <si>
    <t>ЦК МИНИ. В ЛЕСУ РОДИЛАСЬ ЁЛОЧКА</t>
  </si>
  <si>
    <t>978-5-378-36169-4</t>
  </si>
  <si>
    <t>9785378361694</t>
  </si>
  <si>
    <t>Кудашева Раиса Адамовна</t>
  </si>
  <si>
    <t>f583968c60e1bff1c2c0ade92e4cdb43</t>
  </si>
  <si>
    <t>110х150х5</t>
  </si>
  <si>
    <t>278116</t>
  </si>
  <si>
    <t>ЦК МИНИ. ВОЛШЕБНОЕ РОЖДЕСТВО</t>
  </si>
  <si>
    <t>978-5-378-36128-1</t>
  </si>
  <si>
    <t>9785378361281</t>
  </si>
  <si>
    <t>03a17ec5e6e4044925dc13c3accc10f9</t>
  </si>
  <si>
    <t>110х150х6</t>
  </si>
  <si>
    <t>278115</t>
  </si>
  <si>
    <t>ЦК МИНИ. ПОДАРКИ ДЕДУШКИ МОРОЗА</t>
  </si>
  <si>
    <t>978-5-378-36129-8</t>
  </si>
  <si>
    <t>9785378361298</t>
  </si>
  <si>
    <t>Строителева Анна Владимировна</t>
  </si>
  <si>
    <t>23388e4e30b4b3be6017a6df2b5b0fe3</t>
  </si>
  <si>
    <t>280158</t>
  </si>
  <si>
    <t>ЦК МИНИ. СНЕГОВИК</t>
  </si>
  <si>
    <t>978-5-378-36160-1</t>
  </si>
  <si>
    <t>9785378361601</t>
  </si>
  <si>
    <t>46d0e3af88a308cb1a3b4815e7198194</t>
  </si>
  <si>
    <t>СЕРИЯ: РАСКРАСКА-АНТИСТРЕСС на гребне 145х203</t>
  </si>
  <si>
    <t>264420</t>
  </si>
  <si>
    <t>РАСКРАСКА-АНТИСТРЕСС. Новогодняя</t>
  </si>
  <si>
    <t>978-5-378-35729-1</t>
  </si>
  <si>
    <t>Погрузитесь в атмосферу праздника с этой уникальной антистресс-раскраской. Вас ждут 48 иллюстраций с уютными зимними пейзажи, праздничными интерьерами, а также символами самой волшебной ночи в году. Раскрашивание поможет расслабиться, подумать о приятных воспоминаниях и создать уютную атмосферу праздника.</t>
  </si>
  <si>
    <t>9785378357291</t>
  </si>
  <si>
    <t>02cd463980e856a00a64b6288f7e63eb</t>
  </si>
  <si>
    <t>матовая ламинация</t>
  </si>
  <si>
    <t>на гребне</t>
  </si>
  <si>
    <t>145х203х9</t>
  </si>
  <si>
    <t>261544</t>
  </si>
  <si>
    <t>РАСКРАСКА-АНТИСТРЕСС. Ностальгия</t>
  </si>
  <si>
    <t>978-5-378-35728-4</t>
  </si>
  <si>
    <t>Погрузитесь в атмосферу советского Нового года с этой уникальной антистресс-раскраской. В каждом изображении вас ждут уютные зимние пейзажи, праздничные интерьеры и символы эпохи - от ёлочных игрушек до новогодних салатов. Раскрашивание поможет расслабиться, вспомнить добрые моменты прошлого. Пусть эта раскраска станет маленьким путешествием в атмосферу доброты и ностальгии!</t>
  </si>
  <si>
    <t>9785378357284</t>
  </si>
  <si>
    <t>4efd849b182e3668a06fe8410e733880</t>
  </si>
  <si>
    <t>155х202х10</t>
  </si>
  <si>
    <t>СЕРИЯ: СЕРДЦЕ В ПОДАРОК НГ КБС 140х195</t>
  </si>
  <si>
    <t>281696</t>
  </si>
  <si>
    <t>СЕРДЦЕ В ПОДАРОК. КБС. Адвент для скептиков</t>
  </si>
  <si>
    <t>978-5-378-36240-0</t>
  </si>
  <si>
    <t>Лиза ведет блог об астрологии. Она верит в знаки, кармические встречи и то, что однажды Вселенная подарит ей настоящую любовь. Виктор — блогер-скептик, который разоблачает таких, как она. И когда рандомайзер сводит их вместе для новогоднего адвента, оба уверены, что смогут доказать свою правоту. Двенадцать конвертов, двенадцать заданий. Создатели обещают: если два человека, не пропустив ни дня, откроют вместе все конверты и выполнят задания, они неизбежно влюбятся друг в друга.</t>
  </si>
  <si>
    <t>9785378362400</t>
  </si>
  <si>
    <t>Тоболина Инна</t>
  </si>
  <si>
    <t>7ae5e5c10ffb390594246f809d425958</t>
  </si>
  <si>
    <t>16+</t>
  </si>
  <si>
    <t>влюбленным,подснежник</t>
  </si>
  <si>
    <t>138х194х19</t>
  </si>
  <si>
    <t>281699</t>
  </si>
  <si>
    <t>СЕРДЦЕ В ПОДАРОК. КБС. Влюбиться до Нового года</t>
  </si>
  <si>
    <t>978-5-378-36226-4</t>
  </si>
  <si>
    <t>«Что делать, если под Новый год хочется на край света? Туда, где вечный холод. Мой план был идеален: тишина, снег, никаких неожиданностей. Я не учла только его. Парня, который выводит меня из себя одним своим видом. И этот невыносимый тип — брат новой жены моего отца. О которой папа тактично умолчал. И самый главный вопрос: какова вероятность, что я в него влюблюсь?»</t>
  </si>
  <si>
    <t>9785378362264</t>
  </si>
  <si>
    <t>Николаенко Дениза</t>
  </si>
  <si>
    <t>75a3a4b7a6d6950cdae2d9b4343abee7</t>
  </si>
  <si>
    <t>281697</t>
  </si>
  <si>
    <t>СЕРДЦЕ В ПОДАРОК. КБС. Как снег на голову</t>
  </si>
  <si>
    <t>978-5-378-36241-7</t>
  </si>
  <si>
    <t xml:space="preserve">Снежа ненавидит Новый год. Поэтому ее идеальный план на 31 декабря: мандарины, просмотр фильмов в одиночестве и никаких чудес. Что может быть лучше? Но судьба, как обычно, решила иначе. И теперь в канун Нового года Снежа бегает по городу в костюме Снегурочки и пытается убедить детей в существовании волшебства. А ведь нужно всего ничего: улыбаться, не путаться в тексте и ни в коем случае не влюбляться в своего напарника, обаятельного Деда Мороза. Последняя задачка не из легких. Особенно если он смотрит так, что хочется забыть все слова. Но разве сердце умеет слушаться правил? </t>
  </si>
  <si>
    <t>9785378362417</t>
  </si>
  <si>
    <t>Анита Ферн</t>
  </si>
  <si>
    <t>5502c556908f79debe73367429ea4e2d</t>
  </si>
  <si>
    <t>138х194х17</t>
  </si>
  <si>
    <t>281698</t>
  </si>
  <si>
    <t>СЕРДЦЕ В ПОДАРОК. КБС. Согрей меня поцелуем</t>
  </si>
  <si>
    <t>978-5-378-36238-7</t>
  </si>
  <si>
    <t>Зеленоградск, поздняя осень, серое море и предчувствие праздника, которое Мира не хочет замечать. После тяжелого расставания она переезжает и заводит анонимный блог о новом городе, а позже запускает проект «Суббота в аренду», чтобы помочь таким же потерянным людям найти компанию перед Новым годом. Среди участников — Глеб, владелец кофейни, который мечтает о любви и заинтригован личностью автора блога. Но Мира скрывает от него свою тайну, боясь, что в реальности она недостаточно хороша.</t>
  </si>
  <si>
    <t>9785378362387</t>
  </si>
  <si>
    <t>Алиса Ют</t>
  </si>
  <si>
    <t>c6ec13a376757f55a5041e54a490117f</t>
  </si>
  <si>
    <t>СЕРИЯ: Скетчбук А5 128 стр холодная фольга, кругл.углы 145х203(бумага 80гр)</t>
  </si>
  <si>
    <t>199161</t>
  </si>
  <si>
    <t>Скетчбук. Аниме новогоднее</t>
  </si>
  <si>
    <t>467-0-159-01251-1</t>
  </si>
  <si>
    <t xml:space="preserve">Предновогодняя пора - время создавать чудеса! А творить в наших волшебных скетчбуках из новой лимитированной серии - одно удовольствие. Обложка с авторскими рисунками на тему Нового года и красивым переливающимся мерцанием вдохновит на творчество. Это прекрасный подарок близким и своему внутреннему творцу! </t>
  </si>
  <si>
    <t>4670159012511</t>
  </si>
  <si>
    <t>145х203х12</t>
  </si>
  <si>
    <t>199162</t>
  </si>
  <si>
    <t>Скетчбук. Новый год</t>
  </si>
  <si>
    <t>467-0-159-01252-8</t>
  </si>
  <si>
    <t>4670159012528</t>
  </si>
  <si>
    <t>СЕРИЯ: СНЕЖИНКИ ДЛЯ ВЫРЕЗАНИЯ 260х260</t>
  </si>
  <si>
    <t>171782</t>
  </si>
  <si>
    <t>СНЕЖИНКИ ДЛЯ ВЫРЕЗАНИЯ. ЗИМНИЕ УЗОРЫ</t>
  </si>
  <si>
    <t>461-0-144-86771-9</t>
  </si>
  <si>
    <t>Честный знак</t>
  </si>
  <si>
    <t>Эти снежинки - отличный способ украсить дом к Новому году. В каждой брошюре найдётся 12 уникальных дизайнов с красочными узорами. Благодаря им вырезание снежинок станет ещё интереснее. А чтобы процесс проходил просто и увлекательно, на обороте расположена схема-подсказка. "Снежинки для вырезания" помогут весело провести время с ребёнком и подарят праздничное настроение</t>
  </si>
  <si>
    <t>4610144867719</t>
  </si>
  <si>
    <t>260х260х2</t>
  </si>
  <si>
    <t>171780</t>
  </si>
  <si>
    <t>СНЕЖИНКИ ДЛЯ ВЫРЕЗАНИЯ. НОВОГОДНЕЕ ЧУДО</t>
  </si>
  <si>
    <t>461-0-144-86770-2</t>
  </si>
  <si>
    <t>Эти снежинки - отличный способ украсить дом к Новому году. В каждой брошюре найдётся 12 уникальных дизайнов с красочными узорами. Благодаря им вырезание снежинок станет ещё интереснее. А чтобы процесс проходил просто и увлекательно, на обороте расположена схема-подсказка. "Снежинки для вырезания" помогут весело провести время с ребёнком и подарят праздничное настроение.</t>
  </si>
  <si>
    <t>4610144867702</t>
  </si>
  <si>
    <t>СЕРИЯ:НГ БЛОКНОТ ТОЧКАБУК 72л кругл.углы, 7БЦ 145х203 (бумага 100 гр офсет Котлас)</t>
  </si>
  <si>
    <t>172783</t>
  </si>
  <si>
    <t>ТОЧКАБУК. НОВОГОДНЕЕ СЕЛФИ</t>
  </si>
  <si>
    <t>461-0-144-87954-5</t>
  </si>
  <si>
    <t>Точкабук из новогодней коллекции станет отличным новогодним сувениром для любителя канцелярии! Забавные обложки с праздничными персонажами поднимут настроение и настроят на творческий лад. Высокое качество печати, плотная бумага и фиксирующая резинка сделают использование точкабука максимально комфортным.</t>
  </si>
  <si>
    <t>4610144879545</t>
  </si>
  <si>
    <t>172782</t>
  </si>
  <si>
    <t>ТОЧКАБУК. НОВОГОДНИЕ ЗВЕРЯТА</t>
  </si>
  <si>
    <t>461-0-144-87953-8</t>
  </si>
  <si>
    <t>4610144879538</t>
  </si>
  <si>
    <t>СЕРИЯ:НГ БРОШЮРЫ С НАКЛЕЙКАМИ глянц.ламин. 205х280</t>
  </si>
  <si>
    <t>044869</t>
  </si>
  <si>
    <t>НОВОГОДНЯЯ БРОШЮРА. НОВОГОДНИЙ ХОРОВОД</t>
  </si>
  <si>
    <t>978-5-378-25642-6</t>
  </si>
  <si>
    <t>Чудесные новогодние брошюры с наклейками подарят замечательное праздничное настроение. Сколько новогодних украшений! Теперь малыш сможет участвовать в подготовке к празднику, расклеивая эти красочные картинки. Ёлочки, леденцы, подарки, бусы, пряничные домики — целый новогодний мир под одной обложкой! Соберите все брошюры серии: «Весёлые каникулы с Дедом Морозом», «Мой волшебный Новый год», «Новогодний хоровод», «Чудеса под Новый год».</t>
  </si>
  <si>
    <t>9785378256426</t>
  </si>
  <si>
    <t>27.04.2016 0:00:00</t>
  </si>
  <si>
    <t>205x280x2</t>
  </si>
  <si>
    <t>СЕРИЯ:НГ ПОЛЕЗНЫЕ НАКЛЕЙКИ глянц.ламин. 205х280</t>
  </si>
  <si>
    <t>065467</t>
  </si>
  <si>
    <t>НОВОГОДНИЕ ПОЛЕЗНЫЕ НАКЛЕЙКИ. ЗИМНИЕ КАНИКУЛЫ</t>
  </si>
  <si>
    <t>978-5-378-27358-4</t>
  </si>
  <si>
    <t>Замечательная серия развивающих брошюр "Полезные наклейки" позволит вашему ребёнку изучить геометрические фигуры и развить мелкую моторику рук в процессе увлекательной игры. Малыш сам сможет дополнить картинку, подобрав соответствующую по форме и цвету наклейку. Темы,представленные в данной серии, интересны каждому ребёнку,который познаёт мир вокруг.</t>
  </si>
  <si>
    <t>9785378273584</t>
  </si>
  <si>
    <t>31.05.2017 0:00:00</t>
  </si>
  <si>
    <t>Полезные наклейки</t>
  </si>
  <si>
    <t>280х205х3</t>
  </si>
  <si>
    <t>90. ПРОДУКЦИЯ НА БУМАГЕ</t>
  </si>
  <si>
    <t>ДЕТСКИЕ ДЕТЕКТИВЫ</t>
  </si>
  <si>
    <t>СЕРИЯ: ДЕТСКИЙ ДЕТЕКТИВ офсет 100гр, глянц.ламин.</t>
  </si>
  <si>
    <t>259934</t>
  </si>
  <si>
    <t>ДЕТСКИЙ ДЕТЕКТИВ. Новые приключения детектива Вени и кота Цуката, 96стр</t>
  </si>
  <si>
    <t>978-5-378-35702-4</t>
  </si>
  <si>
    <t>Полюбившиеся всем детективы Веня и Цукат продолжают распутывать самые сложные дела по горячим следам! Снова отправляемся в маленький и уютный городок. Мы узнаем, кто похитил ключ от главных городских часов, зачем по ночному городку разгуливают — у-у-у! Привидения! Детективы отыщут пропавшего из зоопарка пингвина, раскроют секрет исчезнувших булочек и многое другое! А ещё мы с вами проследим, как складываются отношения Цуката и его теперь уже настоящих друзей — Лимончика и Мурзика.</t>
  </si>
  <si>
    <t>9785378357024</t>
  </si>
  <si>
    <t>Заболотная Этери Николаевна</t>
  </si>
  <si>
    <t>fcbce8677ebec37cfb20726973b45073</t>
  </si>
  <si>
    <t>заболотная, этери</t>
  </si>
  <si>
    <t>170х220х8</t>
  </si>
  <si>
    <t>246560</t>
  </si>
  <si>
    <t>ДЕТСКИЙ ДЕТЕКТИВ. Приключения детектива Вени и кота Цуката, 96стр</t>
  </si>
  <si>
    <t>978-5-378-35430-6</t>
  </si>
  <si>
    <t>Маленький городок, предновогодняя суета, жители готовятся к самому яркому празднику года. Казалось бы, что может омрачить это чудесное время? Конечно же, мелкие и неприятные происшествия: то у единственного на всю округу доктора велосипед украли, то главная ёлочная звезда исчезла, то день города чуть не сорвался из-за пропажи торта! Но опытный сыщик Веня и его помощник кот Цукат умело раскрывают даже самые запутанные преступления! Открывайте скорее книгу и попробуйте отыскать злодеев вместе с героями!</t>
  </si>
  <si>
    <t>9785378354306</t>
  </si>
  <si>
    <t>a1e126e8bdea517ee78c3c1b7e6a90d1</t>
  </si>
  <si>
    <t>13.12.2024 0:00:00</t>
  </si>
  <si>
    <t>заболотная, этери, подснежник</t>
  </si>
  <si>
    <t>КНИГИ ДЛЯ ПОДРОСТКОВ офсет 145х203</t>
  </si>
  <si>
    <t>281725</t>
  </si>
  <si>
    <t>ЛУЧШИЙ ПОДАРОК НА НОВЫЙ ГОД мат.ламин, выбор.лак, офсет 145х203</t>
  </si>
  <si>
    <t>978-5-378-36201-1</t>
  </si>
  <si>
    <t>Нина Фитина поступила на юридический факультет в престижный московский вуз. Казалось бы, вот она – увлекательная студенческая жизнь, новые друзья, первая любовь... Но всё получается совсем не так, как мечталось вчерашней школьнице. Она знакомится со старшекурсником Валерой, парнем «не из своей лиги» – слишком крутым и красивым для неё, а единственная «подруга» Саша, тайно влюблённая в Валеру, сплетничает о девушке у неё за спиной. Нина решает меньше думать и о красавчике, и о предательнице-подруге, ведь впереди настоящий бал, уже почти готово прекрасное платье, которое и станет лучшим подарком на Новый год! Или нет?..</t>
  </si>
  <si>
    <t>9785378362011</t>
  </si>
  <si>
    <t>Заугольная Оксана Олеговна</t>
  </si>
  <si>
    <t>ddb6a54e5ef358acedddf055aa17aff8</t>
  </si>
  <si>
    <t>145х203х27</t>
  </si>
  <si>
    <t>ПОДАРОЧНЫЕ КНИГИ</t>
  </si>
  <si>
    <t>116801</t>
  </si>
  <si>
    <t>СНЕЖНАЯ КОРОЛЕВА мат.ламин. тиснение, 217х280</t>
  </si>
  <si>
    <t>978-5-378-29581-4</t>
  </si>
  <si>
    <t>Замечательная сказка Ганса Христиана Андерсена перенесёт читателей в волшебный мир и подарит настоящее зимнее настроение. Повести о храброй девочке Герде и застенчивом мальчике Кае познакомит ребёнка с такими понятиями, как добро и зло, любовь и преданность. Книга станет отличным подарком на Новый год.</t>
  </si>
  <si>
    <t>9785378295814</t>
  </si>
  <si>
    <t>Андерсен Ганс Христиан</t>
  </si>
  <si>
    <t>андерсен, ганс христиан</t>
  </si>
  <si>
    <t>217х280х8</t>
  </si>
  <si>
    <t>107013</t>
  </si>
  <si>
    <t>ЩЕЛКУНЧИК И МЫШИНЫЙ КОРОЛЬ мат. ламинация, тиснение 217х280</t>
  </si>
  <si>
    <t>978-5-378-29186-1</t>
  </si>
  <si>
    <t>Волшебная рождественская сказка немецкого писателя Эрнста Теодора Амадея Гофмана великолепно создаёт атмосферу праздника и переносит читателя в сказочный мир, где добро обязательно побеждает зло. Юных героев книги ждут сражения с мышиным королём, путешествие в кукольной царство и другие необычные приключения, которые покажут читателям, что такое настоящие дружба, отвага и взаимопомощь.</t>
  </si>
  <si>
    <t>9785378291861</t>
  </si>
  <si>
    <t>Гофман Эрнст Теодор Амадей</t>
  </si>
  <si>
    <t>b4f11217a2368ba0b65c955f5880a527</t>
  </si>
  <si>
    <t>гофман</t>
  </si>
  <si>
    <t>233х287х10</t>
  </si>
  <si>
    <t>СЕРИЯ: ПЕРВЫЕ ЛЮБИМЫЕ КНИЖКИ глянц.ламин 175х188</t>
  </si>
  <si>
    <t>280982</t>
  </si>
  <si>
    <t>ПЕРВЫЕ ЛЮБИМЫЕ КНИЖКИ. Занимательные головоломки. Новогодние</t>
  </si>
  <si>
    <t>978-5-378-36179-3</t>
  </si>
  <si>
    <t>9785378361793</t>
  </si>
  <si>
    <t>bf4c6aa2f48e4bccf65e77905527222f</t>
  </si>
  <si>
    <t>175х190х6</t>
  </si>
  <si>
    <t>280133</t>
  </si>
  <si>
    <t>ПЕРВЫЕ ЛЮБИМЫЕ КНИЖКИ. Синий Трактор и новогодние чудеса</t>
  </si>
  <si>
    <t>978-5-378-36106-9</t>
  </si>
  <si>
    <t>Что делать, если скоро самый волшебный день в году, а вокруг нет ни одного чуда, хотя бы самого маленького? Конечно, сотворить его самим! Ведь настоящие волшебники не ждут чудес – они их делают сами. Читайте новую историю о зимних приключениях Синего Трактора и встречайте Новый год вместе с любимыми героями!</t>
  </si>
  <si>
    <t>9785378361069</t>
  </si>
  <si>
    <t>Васягина Веста Анатольевна</t>
  </si>
  <si>
    <t>d64349b97785ce56dd460c002f0117ba</t>
  </si>
  <si>
    <t>ШКОЛЬНАЯ ПРОГРАММА</t>
  </si>
  <si>
    <t>СЕРИЯ: МИРОВАЯ КЛАССИКА мат.ламин, тиснение 145х203</t>
  </si>
  <si>
    <t>258361</t>
  </si>
  <si>
    <t>МИРОВАЯ КЛАССИКА. Истории Волшебного Рождества 256 стр</t>
  </si>
  <si>
    <t>978-5-378-35601-0</t>
  </si>
  <si>
    <t>Перед вами особый выпуск серии "Мировая классика", приуроченный к новогодним праздникам.
"Истории волшебного Рождества" порадуют читателей новогодними рассказами, пронизанными добром, волшебством и верой в лучшее. "Метель" А.С. Пушкина, "Бедный принц" и "Чудесный доктор" А. Куприна, "Дары Волхвов" и "Ёлка с сюрпризом" О. Грина, "Рождественская песнь в прозе" Ч. Диккенса - в этой книге собраны классические произведения, которые настроят читателя на праздничный лад.
Книга имеют тематическое оформление в блоке, а также тиснение на обложке, что придаёт изданию подарочный вид.</t>
  </si>
  <si>
    <t>9785378356010</t>
  </si>
  <si>
    <t>Пушкин Александр Сергеевич,Грин Александр,Куприн Иван,Станюкович К.М,Чехов Антон Павлович,Лесков Н.С,Генри О, Диккенс Ч</t>
  </si>
  <si>
    <t>08dbf9c5e43e1a0b624ffc302dc39113</t>
  </si>
  <si>
    <t>12+</t>
  </si>
  <si>
    <t>отличник, школьникам, подснежник</t>
  </si>
  <si>
    <t>мат ламинация+тиснение</t>
  </si>
  <si>
    <t>145х203х40</t>
  </si>
  <si>
    <t>280125</t>
  </si>
  <si>
    <t>МИРОВАЯ КЛАССИКА. Рождественские и новогодние рассказы 304 стр</t>
  </si>
  <si>
    <t>978-5-378-36163-2</t>
  </si>
  <si>
    <t>Новый год и Рождество - самое волшебное время в году. В эти дни мы можем насладиться своими любимыми делами, в том числе чтением.
Трогательные, мистические и поучительные рождественские истории ждут читателей на страницах этой книги.
В этой книге собраны классические произведения, которые настроят читателя на праздничный лад.
Книга имеют тематическое оформление в блоке, а также тиснение на обложке, что придаёт изданию подарочный вид.</t>
  </si>
  <si>
    <t>9785378361632</t>
  </si>
  <si>
    <t>Черский Леонид Федорович,Чехов Антон Павлович,Черный Саша,Одоевский Владимир Федорович,Станюкович Константин Михайлович,Загоскин Михаил Николаевич,Андреев Леонид Николаевич,Куприн Александр Иванович,Гоголь Николай Васильевич и др</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</si>
</sst>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82" formatCode="0.000"/>
    <numFmt numFmtId="183" formatCode="0.00000"/>
    <numFmt numFmtId="184" formatCode="0.0000"/>
    <numFmt numFmtId="185" formatCode="0.0"/>
  </numFmts>
  <fonts count="12" x14ac:knownFonts="1">
    <font>
      <sz val="8"/>
      <name val="Arial"/>
      <family val="2"/>
      <charset val="204"/>
    </font>
    <font>
      <b/>
      <sz val="18"/>
      <name val="Arial"/>
      <family val="2"/>
      <charset val="204"/>
    </font>
    <font>
      <sz val="10"/>
      <name val="Arial"/>
      <family val="2"/>
      <charset val="204"/>
    </font>
    <font>
      <b/>
      <sz val="12"/>
      <name val="Arial"/>
      <family val="2"/>
      <charset val="204"/>
    </font>
    <font>
      <b/>
      <sz val="8"/>
      <name val="Arial"/>
      <family val="2"/>
      <charset val="204"/>
    </font>
    <font>
      <b/>
      <u/>
      <sz val="12"/>
      <color indexed="12"/>
      <name val="Arial"/>
      <family val="2"/>
      <charset val="204"/>
    </font>
    <font>
      <b/>
      <sz val="12"/>
      <color indexed="12"/>
      <name val="Arial"/>
      <family val="2"/>
      <charset val="204"/>
    </font>
    <font>
      <b/>
      <i/>
      <u/>
      <sz val="9"/>
      <color indexed="8"/>
      <name val="Arial"/>
      <family val="2"/>
      <charset val="204"/>
    </font>
    <font>
      <b/>
      <i/>
      <sz val="9"/>
      <color indexed="8"/>
      <name val="Arial"/>
      <family val="2"/>
      <charset val="204"/>
    </font>
    <font>
      <b/>
      <sz val="8"/>
      <color indexed="10"/>
      <name val="Arial"/>
      <family val="2"/>
      <charset val="204"/>
    </font>
    <font>
      <b/>
      <sz val="10"/>
      <name val="Arial"/>
      <family val="2"/>
      <charset val="204"/>
    </font>
    <font>
      <sz val="8"/>
      <color indexed="8"/>
      <name val="Arial"/>
      <family val="2"/>
      <charset val="204"/>
    </font>
  </fonts>
  <fills count="5">
    <fill>
      <patternFill patternType="none"/>
    </fill>
    <fill>
      <patternFill patternType="gray125"/>
    </fill>
    <fill>
      <patternFill patternType="solid">
        <fgColor indexed="27"/>
        <bgColor indexed="64"/>
      </patternFill>
    </fill>
    <fill>
      <patternFill patternType="solid">
        <fgColor indexed="13"/>
        <bgColor indexed="64"/>
      </patternFill>
    </fill>
    <fill>
      <patternFill patternType="solid">
        <fgColor indexed="24"/>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10"/>
      </left>
      <right style="medium">
        <color indexed="10"/>
      </right>
      <top style="medium">
        <color indexed="10"/>
      </top>
      <bottom style="medium">
        <color indexed="1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s>
  <cellStyleXfs count="1">
    <xf numFmtId="0" fontId="0" fillId="0" borderId="0"/>
  </cellStyleXfs>
  <cellXfs count="55">
    <xf numFmtId="0" fontId="0" fillId="0" borderId="0" xfId="0" applyNumberFormat="1" applyFont="1" applyFill="1" applyBorder="1" applyAlignment="1" applyProtection="1"/>
    <xf numFmtId="0" fontId="0" fillId="0" borderId="0" xfId="0" applyNumberFormat="1"/>
    <xf numFmtId="0" fontId="1" fillId="0" borderId="0" xfId="0" applyNumberFormat="1" applyFont="1" applyAlignment="1">
      <alignment horizontal="left"/>
    </xf>
    <xf numFmtId="1" fontId="0" fillId="3" borderId="1" xfId="0" applyNumberFormat="1" applyFont="1" applyFill="1" applyBorder="1" applyAlignment="1">
      <alignment horizontal="right" vertical="top"/>
    </xf>
    <xf numFmtId="0" fontId="0" fillId="3" borderId="2" xfId="0" applyNumberFormat="1" applyFont="1" applyFill="1" applyBorder="1" applyAlignment="1">
      <alignment vertical="top" wrapText="1"/>
    </xf>
    <xf numFmtId="0" fontId="0" fillId="3" borderId="2" xfId="0" applyNumberFormat="1" applyFont="1" applyFill="1" applyBorder="1" applyAlignment="1">
      <alignment vertical="top"/>
    </xf>
    <xf numFmtId="1" fontId="0" fillId="0" borderId="1" xfId="0" applyNumberFormat="1" applyFont="1" applyBorder="1" applyAlignment="1">
      <alignment horizontal="right" vertical="top"/>
    </xf>
    <xf numFmtId="0" fontId="0" fillId="0" borderId="2" xfId="0" applyNumberFormat="1" applyFont="1" applyBorder="1" applyAlignment="1">
      <alignment vertical="top" wrapText="1"/>
    </xf>
    <xf numFmtId="0" fontId="0" fillId="0" borderId="2" xfId="0" applyNumberFormat="1" applyFont="1" applyBorder="1" applyAlignment="1">
      <alignment vertical="top"/>
    </xf>
    <xf numFmtId="0" fontId="9" fillId="3" borderId="2" xfId="0" applyNumberFormat="1" applyFont="1" applyFill="1" applyBorder="1" applyAlignment="1">
      <alignment horizontal="center" vertical="top"/>
    </xf>
    <xf numFmtId="0" fontId="0" fillId="3" borderId="2" xfId="0" applyNumberFormat="1" applyFont="1" applyFill="1" applyBorder="1" applyAlignment="1">
      <alignment horizontal="left" vertical="top" wrapText="1"/>
    </xf>
    <xf numFmtId="0" fontId="0" fillId="3" borderId="2" xfId="0" applyNumberFormat="1" applyFont="1" applyFill="1" applyBorder="1" applyAlignment="1">
      <alignment horizontal="right" vertical="top"/>
    </xf>
    <xf numFmtId="1" fontId="0" fillId="3" borderId="2" xfId="0" applyNumberFormat="1" applyFont="1" applyFill="1" applyBorder="1" applyAlignment="1">
      <alignment horizontal="right" vertical="top"/>
    </xf>
    <xf numFmtId="0" fontId="0" fillId="3" borderId="2" xfId="0" applyNumberFormat="1" applyFont="1" applyFill="1" applyBorder="1"/>
    <xf numFmtId="0" fontId="9" fillId="0" borderId="2" xfId="0" applyNumberFormat="1" applyFont="1" applyBorder="1" applyAlignment="1">
      <alignment horizontal="center" vertical="top"/>
    </xf>
    <xf numFmtId="0" fontId="0" fillId="0" borderId="2" xfId="0" applyNumberFormat="1" applyFont="1" applyBorder="1" applyAlignment="1">
      <alignment horizontal="left" vertical="top" wrapText="1"/>
    </xf>
    <xf numFmtId="0" fontId="0" fillId="0" borderId="2" xfId="0" applyNumberFormat="1" applyFont="1" applyBorder="1" applyAlignment="1">
      <alignment horizontal="right" vertical="top"/>
    </xf>
    <xf numFmtId="1" fontId="0" fillId="0" borderId="2" xfId="0" applyNumberFormat="1" applyFont="1" applyBorder="1" applyAlignment="1">
      <alignment horizontal="right" vertical="top"/>
    </xf>
    <xf numFmtId="0" fontId="0" fillId="0" borderId="2" xfId="0" applyNumberFormat="1" applyFont="1" applyBorder="1"/>
    <xf numFmtId="0" fontId="10" fillId="4" borderId="3" xfId="0" applyNumberFormat="1" applyFont="1" applyFill="1" applyBorder="1" applyAlignment="1">
      <alignment horizontal="center" vertical="center"/>
    </xf>
    <xf numFmtId="2" fontId="11" fillId="3" borderId="2" xfId="0" applyNumberFormat="1" applyFont="1" applyFill="1" applyBorder="1" applyAlignment="1">
      <alignment horizontal="right" vertical="top"/>
    </xf>
    <xf numFmtId="0" fontId="0" fillId="2" borderId="2" xfId="0" applyNumberFormat="1" applyFont="1" applyFill="1" applyBorder="1" applyAlignment="1" applyProtection="1">
      <alignment horizontal="right" vertical="top"/>
      <protection locked="0"/>
    </xf>
    <xf numFmtId="182" fontId="0" fillId="3" borderId="2" xfId="0" applyNumberFormat="1" applyFont="1" applyFill="1" applyBorder="1" applyAlignment="1">
      <alignment horizontal="right" vertical="top"/>
    </xf>
    <xf numFmtId="183" fontId="0" fillId="3" borderId="2" xfId="0" applyNumberFormat="1" applyFont="1" applyFill="1" applyBorder="1" applyAlignment="1">
      <alignment horizontal="right" vertical="top"/>
    </xf>
    <xf numFmtId="0" fontId="9" fillId="3" borderId="2" xfId="0" applyNumberFormat="1" applyFont="1" applyFill="1" applyBorder="1" applyAlignment="1">
      <alignment horizontal="right" vertical="top"/>
    </xf>
    <xf numFmtId="0" fontId="0" fillId="3" borderId="2" xfId="0" applyNumberFormat="1" applyFont="1" applyFill="1" applyBorder="1" applyAlignment="1">
      <alignment horizontal="left" vertical="top"/>
    </xf>
    <xf numFmtId="2" fontId="11" fillId="0" borderId="2" xfId="0" applyNumberFormat="1" applyFont="1" applyBorder="1" applyAlignment="1">
      <alignment horizontal="right" vertical="top"/>
    </xf>
    <xf numFmtId="182" fontId="0" fillId="0" borderId="2" xfId="0" applyNumberFormat="1" applyFont="1" applyBorder="1" applyAlignment="1">
      <alignment horizontal="right" vertical="top"/>
    </xf>
    <xf numFmtId="183" fontId="0" fillId="0" borderId="2" xfId="0" applyNumberFormat="1" applyFont="1" applyBorder="1" applyAlignment="1">
      <alignment horizontal="right" vertical="top"/>
    </xf>
    <xf numFmtId="0" fontId="9" fillId="0" borderId="2" xfId="0" applyNumberFormat="1" applyFont="1" applyBorder="1" applyAlignment="1">
      <alignment horizontal="right" vertical="top"/>
    </xf>
    <xf numFmtId="0" fontId="0" fillId="0" borderId="2" xfId="0" applyNumberFormat="1" applyFont="1" applyBorder="1" applyAlignment="1">
      <alignment horizontal="left" vertical="top"/>
    </xf>
    <xf numFmtId="2" fontId="0" fillId="0" borderId="2" xfId="0" applyNumberFormat="1" applyFont="1" applyBorder="1" applyAlignment="1">
      <alignment horizontal="right" vertical="top"/>
    </xf>
    <xf numFmtId="184" fontId="0" fillId="0" borderId="2" xfId="0" applyNumberFormat="1" applyFont="1" applyBorder="1" applyAlignment="1">
      <alignment horizontal="right" vertical="top"/>
    </xf>
    <xf numFmtId="185" fontId="0" fillId="0" borderId="2" xfId="0" applyNumberFormat="1" applyFont="1" applyBorder="1" applyAlignment="1">
      <alignment horizontal="right" vertical="top"/>
    </xf>
    <xf numFmtId="4" fontId="11" fillId="0" borderId="2" xfId="0" applyNumberFormat="1" applyFont="1" applyBorder="1" applyAlignment="1">
      <alignment horizontal="right" vertical="top"/>
    </xf>
    <xf numFmtId="1" fontId="0" fillId="3" borderId="2" xfId="0" applyNumberFormat="1" applyFont="1" applyFill="1" applyBorder="1" applyAlignment="1">
      <alignment horizontal="right" vertical="top" wrapText="1"/>
    </xf>
    <xf numFmtId="1" fontId="0" fillId="0" borderId="2" xfId="0" applyNumberFormat="1" applyFont="1" applyBorder="1" applyAlignment="1">
      <alignment horizontal="right" vertical="top" wrapText="1"/>
    </xf>
    <xf numFmtId="0" fontId="4" fillId="3" borderId="6" xfId="0" applyNumberFormat="1" applyFont="1" applyFill="1" applyBorder="1" applyAlignment="1">
      <alignment horizontal="center" vertical="center" wrapText="1"/>
    </xf>
    <xf numFmtId="0" fontId="4" fillId="3" borderId="7" xfId="0" applyNumberFormat="1" applyFont="1" applyFill="1" applyBorder="1" applyAlignment="1">
      <alignment horizontal="center" vertical="center" wrapText="1"/>
    </xf>
    <xf numFmtId="0" fontId="4" fillId="3" borderId="6" xfId="0" applyNumberFormat="1" applyFont="1" applyFill="1" applyBorder="1" applyAlignment="1">
      <alignment horizontal="center" vertical="center"/>
    </xf>
    <xf numFmtId="0" fontId="4" fillId="3" borderId="8" xfId="0" applyNumberFormat="1" applyFont="1" applyFill="1" applyBorder="1" applyAlignment="1">
      <alignment horizontal="center" vertical="center"/>
    </xf>
    <xf numFmtId="0" fontId="4" fillId="3" borderId="7" xfId="0" applyNumberFormat="1" applyFont="1" applyFill="1" applyBorder="1" applyAlignment="1">
      <alignment horizontal="center" vertical="center"/>
    </xf>
    <xf numFmtId="0" fontId="4" fillId="3" borderId="4" xfId="0" applyNumberFormat="1" applyFont="1" applyFill="1" applyBorder="1" applyAlignment="1">
      <alignment horizontal="center" vertical="center" wrapText="1"/>
    </xf>
    <xf numFmtId="0" fontId="4" fillId="3" borderId="5" xfId="0" applyNumberFormat="1" applyFont="1" applyFill="1" applyBorder="1" applyAlignment="1">
      <alignment horizontal="center" vertical="center" wrapText="1"/>
    </xf>
    <xf numFmtId="0" fontId="4" fillId="3" borderId="4" xfId="0" applyNumberFormat="1" applyFont="1" applyFill="1" applyBorder="1" applyAlignment="1">
      <alignment horizontal="center" vertical="center"/>
    </xf>
    <xf numFmtId="0" fontId="4" fillId="3" borderId="5" xfId="0" applyNumberFormat="1" applyFont="1" applyFill="1" applyBorder="1" applyAlignment="1">
      <alignment horizontal="center" vertical="center"/>
    </xf>
    <xf numFmtId="0" fontId="7" fillId="0" borderId="0" xfId="0" applyNumberFormat="1" applyFont="1" applyAlignment="1">
      <alignment vertical="center" wrapText="1" indent="4"/>
    </xf>
    <xf numFmtId="0" fontId="8" fillId="0" borderId="0" xfId="0" applyNumberFormat="1" applyFont="1" applyAlignment="1">
      <alignment vertical="center" wrapText="1" indent="6"/>
    </xf>
    <xf numFmtId="0" fontId="0" fillId="0" borderId="2" xfId="0" applyNumberFormat="1" applyFont="1" applyBorder="1" applyAlignment="1">
      <alignment vertical="top" wrapText="1"/>
    </xf>
    <xf numFmtId="0" fontId="6" fillId="0" borderId="0" xfId="0" applyNumberFormat="1" applyFont="1" applyAlignment="1">
      <alignment vertical="center" wrapText="1" indent="2"/>
    </xf>
    <xf numFmtId="0" fontId="0" fillId="3" borderId="2" xfId="0" applyNumberFormat="1" applyFont="1" applyFill="1" applyBorder="1" applyAlignment="1">
      <alignment vertical="top" wrapText="1"/>
    </xf>
    <xf numFmtId="0" fontId="5" fillId="0" borderId="0" xfId="0" applyNumberFormat="1" applyFont="1" applyAlignment="1">
      <alignment vertical="center" wrapText="1"/>
    </xf>
    <xf numFmtId="0" fontId="2" fillId="0" borderId="0" xfId="0" applyNumberFormat="1" applyFont="1" applyAlignment="1">
      <alignment vertical="top"/>
    </xf>
    <xf numFmtId="0" fontId="3" fillId="0" borderId="0" xfId="0" applyNumberFormat="1" applyFont="1" applyAlignment="1">
      <alignment vertical="top" wrapText="1"/>
    </xf>
    <xf numFmtId="0" fontId="10" fillId="0" borderId="0" xfId="0" applyNumberFormat="1" applyFont="1" applyAlignment="1">
      <alignment horizontal="center" vertical="center"/>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0FFF0"/>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jpeg"/><Relationship Id="rId21" Type="http://schemas.openxmlformats.org/officeDocument/2006/relationships/image" Target="../media/image21.jpeg"/><Relationship Id="rId42" Type="http://schemas.openxmlformats.org/officeDocument/2006/relationships/image" Target="../media/image42.jpeg"/><Relationship Id="rId47" Type="http://schemas.openxmlformats.org/officeDocument/2006/relationships/image" Target="../media/image47.jpeg"/><Relationship Id="rId63" Type="http://schemas.openxmlformats.org/officeDocument/2006/relationships/image" Target="../media/image63.jpeg"/><Relationship Id="rId68" Type="http://schemas.openxmlformats.org/officeDocument/2006/relationships/image" Target="../media/image68.jpeg"/><Relationship Id="rId84" Type="http://schemas.openxmlformats.org/officeDocument/2006/relationships/image" Target="../media/image84.jpeg"/><Relationship Id="rId89" Type="http://schemas.openxmlformats.org/officeDocument/2006/relationships/image" Target="../media/image89.jpeg"/><Relationship Id="rId16" Type="http://schemas.openxmlformats.org/officeDocument/2006/relationships/image" Target="../media/image16.jpeg"/><Relationship Id="rId107" Type="http://schemas.openxmlformats.org/officeDocument/2006/relationships/image" Target="../media/image107.jpeg"/><Relationship Id="rId11" Type="http://schemas.openxmlformats.org/officeDocument/2006/relationships/image" Target="../media/image11.jpeg"/><Relationship Id="rId32" Type="http://schemas.openxmlformats.org/officeDocument/2006/relationships/image" Target="../media/image32.jpeg"/><Relationship Id="rId37" Type="http://schemas.openxmlformats.org/officeDocument/2006/relationships/image" Target="../media/image37.jpeg"/><Relationship Id="rId53" Type="http://schemas.openxmlformats.org/officeDocument/2006/relationships/image" Target="../media/image53.jpeg"/><Relationship Id="rId58" Type="http://schemas.openxmlformats.org/officeDocument/2006/relationships/image" Target="../media/image58.jpeg"/><Relationship Id="rId74" Type="http://schemas.openxmlformats.org/officeDocument/2006/relationships/image" Target="../media/image74.jpeg"/><Relationship Id="rId79" Type="http://schemas.openxmlformats.org/officeDocument/2006/relationships/image" Target="../media/image79.jpeg"/><Relationship Id="rId102" Type="http://schemas.openxmlformats.org/officeDocument/2006/relationships/image" Target="../media/image102.jpeg"/><Relationship Id="rId5" Type="http://schemas.openxmlformats.org/officeDocument/2006/relationships/image" Target="../media/image5.jpeg"/><Relationship Id="rId90" Type="http://schemas.openxmlformats.org/officeDocument/2006/relationships/image" Target="../media/image90.jpeg"/><Relationship Id="rId95" Type="http://schemas.openxmlformats.org/officeDocument/2006/relationships/image" Target="../media/image95.jpeg"/><Relationship Id="rId22" Type="http://schemas.openxmlformats.org/officeDocument/2006/relationships/image" Target="../media/image22.jpeg"/><Relationship Id="rId27" Type="http://schemas.openxmlformats.org/officeDocument/2006/relationships/image" Target="../media/image27.jpeg"/><Relationship Id="rId43" Type="http://schemas.openxmlformats.org/officeDocument/2006/relationships/image" Target="../media/image43.jpeg"/><Relationship Id="rId48" Type="http://schemas.openxmlformats.org/officeDocument/2006/relationships/image" Target="../media/image48.jpeg"/><Relationship Id="rId64" Type="http://schemas.openxmlformats.org/officeDocument/2006/relationships/image" Target="../media/image64.jpeg"/><Relationship Id="rId69" Type="http://schemas.openxmlformats.org/officeDocument/2006/relationships/image" Target="../media/image69.jpeg"/><Relationship Id="rId80" Type="http://schemas.openxmlformats.org/officeDocument/2006/relationships/image" Target="../media/image80.jpeg"/><Relationship Id="rId85" Type="http://schemas.openxmlformats.org/officeDocument/2006/relationships/image" Target="../media/image85.jpeg"/><Relationship Id="rId12" Type="http://schemas.openxmlformats.org/officeDocument/2006/relationships/image" Target="../media/image12.jpeg"/><Relationship Id="rId17" Type="http://schemas.openxmlformats.org/officeDocument/2006/relationships/image" Target="../media/image17.jpeg"/><Relationship Id="rId33" Type="http://schemas.openxmlformats.org/officeDocument/2006/relationships/image" Target="../media/image33.jpeg"/><Relationship Id="rId38" Type="http://schemas.openxmlformats.org/officeDocument/2006/relationships/image" Target="../media/image38.jpeg"/><Relationship Id="rId59" Type="http://schemas.openxmlformats.org/officeDocument/2006/relationships/image" Target="../media/image59.jpeg"/><Relationship Id="rId103" Type="http://schemas.openxmlformats.org/officeDocument/2006/relationships/image" Target="../media/image103.jpeg"/><Relationship Id="rId108" Type="http://schemas.openxmlformats.org/officeDocument/2006/relationships/image" Target="../media/image108.jpeg"/><Relationship Id="rId54" Type="http://schemas.openxmlformats.org/officeDocument/2006/relationships/image" Target="../media/image54.jpeg"/><Relationship Id="rId70" Type="http://schemas.openxmlformats.org/officeDocument/2006/relationships/image" Target="../media/image70.jpeg"/><Relationship Id="rId75" Type="http://schemas.openxmlformats.org/officeDocument/2006/relationships/image" Target="../media/image75.jpeg"/><Relationship Id="rId91" Type="http://schemas.openxmlformats.org/officeDocument/2006/relationships/image" Target="../media/image91.jpeg"/><Relationship Id="rId96" Type="http://schemas.openxmlformats.org/officeDocument/2006/relationships/image" Target="../media/image96.jpeg"/><Relationship Id="rId1" Type="http://schemas.openxmlformats.org/officeDocument/2006/relationships/image" Target="../media/image1.jpeg"/><Relationship Id="rId6" Type="http://schemas.openxmlformats.org/officeDocument/2006/relationships/image" Target="../media/image6.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jpeg"/><Relationship Id="rId57" Type="http://schemas.openxmlformats.org/officeDocument/2006/relationships/image" Target="../media/image57.jpeg"/><Relationship Id="rId106" Type="http://schemas.openxmlformats.org/officeDocument/2006/relationships/image" Target="../media/image106.jpeg"/><Relationship Id="rId10" Type="http://schemas.openxmlformats.org/officeDocument/2006/relationships/image" Target="../media/image10.jpeg"/><Relationship Id="rId31" Type="http://schemas.openxmlformats.org/officeDocument/2006/relationships/image" Target="../media/image31.jpeg"/><Relationship Id="rId44" Type="http://schemas.openxmlformats.org/officeDocument/2006/relationships/image" Target="../media/image44.jpeg"/><Relationship Id="rId52" Type="http://schemas.openxmlformats.org/officeDocument/2006/relationships/image" Target="../media/image52.jpeg"/><Relationship Id="rId60" Type="http://schemas.openxmlformats.org/officeDocument/2006/relationships/image" Target="../media/image60.jpeg"/><Relationship Id="rId65" Type="http://schemas.openxmlformats.org/officeDocument/2006/relationships/image" Target="../media/image65.jpeg"/><Relationship Id="rId73" Type="http://schemas.openxmlformats.org/officeDocument/2006/relationships/image" Target="../media/image73.jpeg"/><Relationship Id="rId78" Type="http://schemas.openxmlformats.org/officeDocument/2006/relationships/image" Target="../media/image78.jpeg"/><Relationship Id="rId81" Type="http://schemas.openxmlformats.org/officeDocument/2006/relationships/image" Target="../media/image81.jpeg"/><Relationship Id="rId86" Type="http://schemas.openxmlformats.org/officeDocument/2006/relationships/image" Target="../media/image86.jpeg"/><Relationship Id="rId94" Type="http://schemas.openxmlformats.org/officeDocument/2006/relationships/image" Target="../media/image94.jpeg"/><Relationship Id="rId99" Type="http://schemas.openxmlformats.org/officeDocument/2006/relationships/image" Target="../media/image99.jpeg"/><Relationship Id="rId101" Type="http://schemas.openxmlformats.org/officeDocument/2006/relationships/image" Target="../media/image101.jpeg"/><Relationship Id="rId4" Type="http://schemas.openxmlformats.org/officeDocument/2006/relationships/image" Target="../media/image4.jpeg"/><Relationship Id="rId9" Type="http://schemas.openxmlformats.org/officeDocument/2006/relationships/image" Target="../media/image9.jpe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jpeg"/><Relationship Id="rId109" Type="http://schemas.openxmlformats.org/officeDocument/2006/relationships/image" Target="../media/image109.jpeg"/><Relationship Id="rId34" Type="http://schemas.openxmlformats.org/officeDocument/2006/relationships/image" Target="../media/image34.jpeg"/><Relationship Id="rId50" Type="http://schemas.openxmlformats.org/officeDocument/2006/relationships/image" Target="../media/image50.jpeg"/><Relationship Id="rId55" Type="http://schemas.openxmlformats.org/officeDocument/2006/relationships/image" Target="../media/image55.jpeg"/><Relationship Id="rId76" Type="http://schemas.openxmlformats.org/officeDocument/2006/relationships/image" Target="../media/image76.jpeg"/><Relationship Id="rId97" Type="http://schemas.openxmlformats.org/officeDocument/2006/relationships/image" Target="../media/image97.jpeg"/><Relationship Id="rId104" Type="http://schemas.openxmlformats.org/officeDocument/2006/relationships/image" Target="../media/image104.jpeg"/><Relationship Id="rId7" Type="http://schemas.openxmlformats.org/officeDocument/2006/relationships/image" Target="../media/image7.jpeg"/><Relationship Id="rId71" Type="http://schemas.openxmlformats.org/officeDocument/2006/relationships/image" Target="../media/image71.jpeg"/><Relationship Id="rId92" Type="http://schemas.openxmlformats.org/officeDocument/2006/relationships/image" Target="../media/image92.jpeg"/><Relationship Id="rId2" Type="http://schemas.openxmlformats.org/officeDocument/2006/relationships/image" Target="../media/image2.jpeg"/><Relationship Id="rId29" Type="http://schemas.openxmlformats.org/officeDocument/2006/relationships/image" Target="../media/image29.jpeg"/><Relationship Id="rId24" Type="http://schemas.openxmlformats.org/officeDocument/2006/relationships/image" Target="../media/image24.jpeg"/><Relationship Id="rId40" Type="http://schemas.openxmlformats.org/officeDocument/2006/relationships/image" Target="../media/image40.jpe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jpeg"/><Relationship Id="rId110" Type="http://schemas.openxmlformats.org/officeDocument/2006/relationships/image" Target="../media/image110.jpeg"/><Relationship Id="rId61" Type="http://schemas.openxmlformats.org/officeDocument/2006/relationships/image" Target="../media/image61.jpeg"/><Relationship Id="rId82" Type="http://schemas.openxmlformats.org/officeDocument/2006/relationships/image" Target="../media/image82.jpeg"/><Relationship Id="rId19" Type="http://schemas.openxmlformats.org/officeDocument/2006/relationships/image" Target="../media/image19.jpeg"/><Relationship Id="rId14" Type="http://schemas.openxmlformats.org/officeDocument/2006/relationships/image" Target="../media/image14.jpeg"/><Relationship Id="rId30" Type="http://schemas.openxmlformats.org/officeDocument/2006/relationships/image" Target="../media/image30.jpeg"/><Relationship Id="rId35" Type="http://schemas.openxmlformats.org/officeDocument/2006/relationships/image" Target="../media/image35.jpeg"/><Relationship Id="rId56" Type="http://schemas.openxmlformats.org/officeDocument/2006/relationships/image" Target="../media/image56.jpeg"/><Relationship Id="rId77" Type="http://schemas.openxmlformats.org/officeDocument/2006/relationships/image" Target="../media/image77.jpeg"/><Relationship Id="rId100" Type="http://schemas.openxmlformats.org/officeDocument/2006/relationships/image" Target="../media/image100.jpeg"/><Relationship Id="rId105" Type="http://schemas.openxmlformats.org/officeDocument/2006/relationships/image" Target="../media/image105.jpeg"/><Relationship Id="rId8" Type="http://schemas.openxmlformats.org/officeDocument/2006/relationships/image" Target="../media/image8.jpeg"/><Relationship Id="rId51" Type="http://schemas.openxmlformats.org/officeDocument/2006/relationships/image" Target="../media/image51.jpeg"/><Relationship Id="rId72" Type="http://schemas.openxmlformats.org/officeDocument/2006/relationships/image" Target="../media/image72.jpeg"/><Relationship Id="rId93" Type="http://schemas.openxmlformats.org/officeDocument/2006/relationships/image" Target="../media/image93.jpeg"/><Relationship Id="rId98" Type="http://schemas.openxmlformats.org/officeDocument/2006/relationships/image" Target="../media/image98.jpeg"/><Relationship Id="rId3" Type="http://schemas.openxmlformats.org/officeDocument/2006/relationships/image" Target="../media/image3.jpeg"/><Relationship Id="rId25" Type="http://schemas.openxmlformats.org/officeDocument/2006/relationships/image" Target="../media/image25.jpeg"/><Relationship Id="rId46" Type="http://schemas.openxmlformats.org/officeDocument/2006/relationships/image" Target="../media/image46.jpeg"/><Relationship Id="rId67" Type="http://schemas.openxmlformats.org/officeDocument/2006/relationships/image" Target="../media/image67.jpeg"/><Relationship Id="rId20" Type="http://schemas.openxmlformats.org/officeDocument/2006/relationships/image" Target="../media/image20.jpeg"/><Relationship Id="rId41" Type="http://schemas.openxmlformats.org/officeDocument/2006/relationships/image" Target="../media/image41.jpeg"/><Relationship Id="rId62" Type="http://schemas.openxmlformats.org/officeDocument/2006/relationships/image" Target="../media/image62.jpeg"/><Relationship Id="rId83" Type="http://schemas.openxmlformats.org/officeDocument/2006/relationships/image" Target="../media/image83.jpeg"/><Relationship Id="rId88" Type="http://schemas.openxmlformats.org/officeDocument/2006/relationships/image" Target="../media/image88.jpeg"/></Relationships>
</file>

<file path=xl/drawings/drawing1.xml><?xml version="1.0" encoding="utf-8"?>
<xdr:wsDr xmlns:xdr="http://schemas.openxmlformats.org/drawingml/2006/spreadsheetDrawing" xmlns:a="http://schemas.openxmlformats.org/drawingml/2006/main">
  <xdr:twoCellAnchor>
    <xdr:from>
      <xdr:col>13</xdr:col>
      <xdr:colOff>9525</xdr:colOff>
      <xdr:row>9</xdr:row>
      <xdr:rowOff>0</xdr:rowOff>
    </xdr:from>
    <xdr:to>
      <xdr:col>13</xdr:col>
      <xdr:colOff>19050</xdr:colOff>
      <xdr:row>9</xdr:row>
      <xdr:rowOff>9525</xdr:rowOff>
    </xdr:to>
    <xdr:sp macro="" textlink="">
      <xdr:nvSpPr>
        <xdr:cNvPr id="1354" name="Rectangle 1"/>
        <xdr:cNvSpPr>
          <a:spLocks noChangeArrowheads="1"/>
        </xdr:cNvSpPr>
      </xdr:nvSpPr>
      <xdr:spPr bwMode="auto">
        <a:xfrm>
          <a:off x="11353800" y="330517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11</xdr:row>
      <xdr:rowOff>9525</xdr:rowOff>
    </xdr:from>
    <xdr:to>
      <xdr:col>13</xdr:col>
      <xdr:colOff>19050</xdr:colOff>
      <xdr:row>11</xdr:row>
      <xdr:rowOff>19050</xdr:rowOff>
    </xdr:to>
    <xdr:sp macro="" textlink="">
      <xdr:nvSpPr>
        <xdr:cNvPr id="1355" name="Rectangle 2"/>
        <xdr:cNvSpPr>
          <a:spLocks noChangeArrowheads="1"/>
        </xdr:cNvSpPr>
      </xdr:nvSpPr>
      <xdr:spPr bwMode="auto">
        <a:xfrm>
          <a:off x="11353800" y="468630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14</xdr:row>
      <xdr:rowOff>9525</xdr:rowOff>
    </xdr:from>
    <xdr:to>
      <xdr:col>13</xdr:col>
      <xdr:colOff>19050</xdr:colOff>
      <xdr:row>14</xdr:row>
      <xdr:rowOff>19050</xdr:rowOff>
    </xdr:to>
    <xdr:sp macro="" textlink="">
      <xdr:nvSpPr>
        <xdr:cNvPr id="1356" name="Rectangle 3"/>
        <xdr:cNvSpPr>
          <a:spLocks noChangeArrowheads="1"/>
        </xdr:cNvSpPr>
      </xdr:nvSpPr>
      <xdr:spPr bwMode="auto">
        <a:xfrm>
          <a:off x="11353800" y="62579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15</xdr:row>
      <xdr:rowOff>9525</xdr:rowOff>
    </xdr:from>
    <xdr:to>
      <xdr:col>13</xdr:col>
      <xdr:colOff>19050</xdr:colOff>
      <xdr:row>15</xdr:row>
      <xdr:rowOff>19050</xdr:rowOff>
    </xdr:to>
    <xdr:sp macro="" textlink="">
      <xdr:nvSpPr>
        <xdr:cNvPr id="1357" name="Rectangle 4"/>
        <xdr:cNvSpPr>
          <a:spLocks noChangeArrowheads="1"/>
        </xdr:cNvSpPr>
      </xdr:nvSpPr>
      <xdr:spPr bwMode="auto">
        <a:xfrm>
          <a:off x="11353800" y="74771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16</xdr:row>
      <xdr:rowOff>9525</xdr:rowOff>
    </xdr:from>
    <xdr:to>
      <xdr:col>13</xdr:col>
      <xdr:colOff>19050</xdr:colOff>
      <xdr:row>16</xdr:row>
      <xdr:rowOff>19050</xdr:rowOff>
    </xdr:to>
    <xdr:sp macro="" textlink="">
      <xdr:nvSpPr>
        <xdr:cNvPr id="1358" name="Rectangle 5"/>
        <xdr:cNvSpPr>
          <a:spLocks noChangeArrowheads="1"/>
        </xdr:cNvSpPr>
      </xdr:nvSpPr>
      <xdr:spPr bwMode="auto">
        <a:xfrm>
          <a:off x="11353800" y="86963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17</xdr:row>
      <xdr:rowOff>9525</xdr:rowOff>
    </xdr:from>
    <xdr:to>
      <xdr:col>13</xdr:col>
      <xdr:colOff>19050</xdr:colOff>
      <xdr:row>17</xdr:row>
      <xdr:rowOff>19050</xdr:rowOff>
    </xdr:to>
    <xdr:sp macro="" textlink="">
      <xdr:nvSpPr>
        <xdr:cNvPr id="1359" name="Rectangle 6"/>
        <xdr:cNvSpPr>
          <a:spLocks noChangeArrowheads="1"/>
        </xdr:cNvSpPr>
      </xdr:nvSpPr>
      <xdr:spPr bwMode="auto">
        <a:xfrm>
          <a:off x="11353800" y="99155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18</xdr:row>
      <xdr:rowOff>9525</xdr:rowOff>
    </xdr:from>
    <xdr:to>
      <xdr:col>13</xdr:col>
      <xdr:colOff>19050</xdr:colOff>
      <xdr:row>18</xdr:row>
      <xdr:rowOff>19050</xdr:rowOff>
    </xdr:to>
    <xdr:sp macro="" textlink="">
      <xdr:nvSpPr>
        <xdr:cNvPr id="1360" name="Rectangle 7"/>
        <xdr:cNvSpPr>
          <a:spLocks noChangeArrowheads="1"/>
        </xdr:cNvSpPr>
      </xdr:nvSpPr>
      <xdr:spPr bwMode="auto">
        <a:xfrm>
          <a:off x="11353800" y="111347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19</xdr:row>
      <xdr:rowOff>9525</xdr:rowOff>
    </xdr:from>
    <xdr:to>
      <xdr:col>13</xdr:col>
      <xdr:colOff>19050</xdr:colOff>
      <xdr:row>19</xdr:row>
      <xdr:rowOff>19050</xdr:rowOff>
    </xdr:to>
    <xdr:sp macro="" textlink="">
      <xdr:nvSpPr>
        <xdr:cNvPr id="1361" name="Rectangle 8"/>
        <xdr:cNvSpPr>
          <a:spLocks noChangeArrowheads="1"/>
        </xdr:cNvSpPr>
      </xdr:nvSpPr>
      <xdr:spPr bwMode="auto">
        <a:xfrm>
          <a:off x="11353800" y="123539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20</xdr:row>
      <xdr:rowOff>9525</xdr:rowOff>
    </xdr:from>
    <xdr:to>
      <xdr:col>13</xdr:col>
      <xdr:colOff>19050</xdr:colOff>
      <xdr:row>20</xdr:row>
      <xdr:rowOff>19050</xdr:rowOff>
    </xdr:to>
    <xdr:sp macro="" textlink="">
      <xdr:nvSpPr>
        <xdr:cNvPr id="1362" name="Rectangle 9"/>
        <xdr:cNvSpPr>
          <a:spLocks noChangeArrowheads="1"/>
        </xdr:cNvSpPr>
      </xdr:nvSpPr>
      <xdr:spPr bwMode="auto">
        <a:xfrm>
          <a:off x="11353800" y="135731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21</xdr:row>
      <xdr:rowOff>9525</xdr:rowOff>
    </xdr:from>
    <xdr:to>
      <xdr:col>13</xdr:col>
      <xdr:colOff>19050</xdr:colOff>
      <xdr:row>21</xdr:row>
      <xdr:rowOff>19050</xdr:rowOff>
    </xdr:to>
    <xdr:sp macro="" textlink="">
      <xdr:nvSpPr>
        <xdr:cNvPr id="1363" name="Rectangle 10"/>
        <xdr:cNvSpPr>
          <a:spLocks noChangeArrowheads="1"/>
        </xdr:cNvSpPr>
      </xdr:nvSpPr>
      <xdr:spPr bwMode="auto">
        <a:xfrm>
          <a:off x="11353800" y="147923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23</xdr:row>
      <xdr:rowOff>9525</xdr:rowOff>
    </xdr:from>
    <xdr:to>
      <xdr:col>13</xdr:col>
      <xdr:colOff>19050</xdr:colOff>
      <xdr:row>23</xdr:row>
      <xdr:rowOff>19050</xdr:rowOff>
    </xdr:to>
    <xdr:sp macro="" textlink="">
      <xdr:nvSpPr>
        <xdr:cNvPr id="1364" name="Rectangle 11"/>
        <xdr:cNvSpPr>
          <a:spLocks noChangeArrowheads="1"/>
        </xdr:cNvSpPr>
      </xdr:nvSpPr>
      <xdr:spPr bwMode="auto">
        <a:xfrm>
          <a:off x="11353800" y="161639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24</xdr:row>
      <xdr:rowOff>9525</xdr:rowOff>
    </xdr:from>
    <xdr:to>
      <xdr:col>13</xdr:col>
      <xdr:colOff>19050</xdr:colOff>
      <xdr:row>24</xdr:row>
      <xdr:rowOff>19050</xdr:rowOff>
    </xdr:to>
    <xdr:sp macro="" textlink="">
      <xdr:nvSpPr>
        <xdr:cNvPr id="1365" name="Rectangle 12"/>
        <xdr:cNvSpPr>
          <a:spLocks noChangeArrowheads="1"/>
        </xdr:cNvSpPr>
      </xdr:nvSpPr>
      <xdr:spPr bwMode="auto">
        <a:xfrm>
          <a:off x="11353800" y="173831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25</xdr:row>
      <xdr:rowOff>0</xdr:rowOff>
    </xdr:from>
    <xdr:to>
      <xdr:col>13</xdr:col>
      <xdr:colOff>19050</xdr:colOff>
      <xdr:row>25</xdr:row>
      <xdr:rowOff>9525</xdr:rowOff>
    </xdr:to>
    <xdr:sp macro="" textlink="">
      <xdr:nvSpPr>
        <xdr:cNvPr id="1366" name="Rectangle 13"/>
        <xdr:cNvSpPr>
          <a:spLocks noChangeArrowheads="1"/>
        </xdr:cNvSpPr>
      </xdr:nvSpPr>
      <xdr:spPr bwMode="auto">
        <a:xfrm>
          <a:off x="11353800" y="1859280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26</xdr:row>
      <xdr:rowOff>9525</xdr:rowOff>
    </xdr:from>
    <xdr:to>
      <xdr:col>13</xdr:col>
      <xdr:colOff>19050</xdr:colOff>
      <xdr:row>26</xdr:row>
      <xdr:rowOff>19050</xdr:rowOff>
    </xdr:to>
    <xdr:sp macro="" textlink="">
      <xdr:nvSpPr>
        <xdr:cNvPr id="1367" name="Rectangle 14"/>
        <xdr:cNvSpPr>
          <a:spLocks noChangeArrowheads="1"/>
        </xdr:cNvSpPr>
      </xdr:nvSpPr>
      <xdr:spPr bwMode="auto">
        <a:xfrm>
          <a:off x="11353800" y="198215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27</xdr:row>
      <xdr:rowOff>9525</xdr:rowOff>
    </xdr:from>
    <xdr:to>
      <xdr:col>13</xdr:col>
      <xdr:colOff>19050</xdr:colOff>
      <xdr:row>27</xdr:row>
      <xdr:rowOff>19050</xdr:rowOff>
    </xdr:to>
    <xdr:sp macro="" textlink="">
      <xdr:nvSpPr>
        <xdr:cNvPr id="1368" name="Rectangle 15"/>
        <xdr:cNvSpPr>
          <a:spLocks noChangeArrowheads="1"/>
        </xdr:cNvSpPr>
      </xdr:nvSpPr>
      <xdr:spPr bwMode="auto">
        <a:xfrm>
          <a:off x="11353800" y="210407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28</xdr:row>
      <xdr:rowOff>9525</xdr:rowOff>
    </xdr:from>
    <xdr:to>
      <xdr:col>13</xdr:col>
      <xdr:colOff>19050</xdr:colOff>
      <xdr:row>28</xdr:row>
      <xdr:rowOff>19050</xdr:rowOff>
    </xdr:to>
    <xdr:sp macro="" textlink="">
      <xdr:nvSpPr>
        <xdr:cNvPr id="1369" name="Rectangle 16"/>
        <xdr:cNvSpPr>
          <a:spLocks noChangeArrowheads="1"/>
        </xdr:cNvSpPr>
      </xdr:nvSpPr>
      <xdr:spPr bwMode="auto">
        <a:xfrm>
          <a:off x="11353800" y="222599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30</xdr:row>
      <xdr:rowOff>9525</xdr:rowOff>
    </xdr:from>
    <xdr:to>
      <xdr:col>13</xdr:col>
      <xdr:colOff>19050</xdr:colOff>
      <xdr:row>30</xdr:row>
      <xdr:rowOff>19050</xdr:rowOff>
    </xdr:to>
    <xdr:sp macro="" textlink="">
      <xdr:nvSpPr>
        <xdr:cNvPr id="1370" name="Rectangle 17"/>
        <xdr:cNvSpPr>
          <a:spLocks noChangeArrowheads="1"/>
        </xdr:cNvSpPr>
      </xdr:nvSpPr>
      <xdr:spPr bwMode="auto">
        <a:xfrm>
          <a:off x="11353800" y="236315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31</xdr:row>
      <xdr:rowOff>9525</xdr:rowOff>
    </xdr:from>
    <xdr:to>
      <xdr:col>13</xdr:col>
      <xdr:colOff>19050</xdr:colOff>
      <xdr:row>31</xdr:row>
      <xdr:rowOff>19050</xdr:rowOff>
    </xdr:to>
    <xdr:sp macro="" textlink="">
      <xdr:nvSpPr>
        <xdr:cNvPr id="1371" name="Rectangle 18"/>
        <xdr:cNvSpPr>
          <a:spLocks noChangeArrowheads="1"/>
        </xdr:cNvSpPr>
      </xdr:nvSpPr>
      <xdr:spPr bwMode="auto">
        <a:xfrm>
          <a:off x="11353800" y="248507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32</xdr:row>
      <xdr:rowOff>9525</xdr:rowOff>
    </xdr:from>
    <xdr:to>
      <xdr:col>13</xdr:col>
      <xdr:colOff>19050</xdr:colOff>
      <xdr:row>32</xdr:row>
      <xdr:rowOff>19050</xdr:rowOff>
    </xdr:to>
    <xdr:sp macro="" textlink="">
      <xdr:nvSpPr>
        <xdr:cNvPr id="1372" name="Rectangle 19"/>
        <xdr:cNvSpPr>
          <a:spLocks noChangeArrowheads="1"/>
        </xdr:cNvSpPr>
      </xdr:nvSpPr>
      <xdr:spPr bwMode="auto">
        <a:xfrm>
          <a:off x="11353800" y="260699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33</xdr:row>
      <xdr:rowOff>9525</xdr:rowOff>
    </xdr:from>
    <xdr:to>
      <xdr:col>13</xdr:col>
      <xdr:colOff>19050</xdr:colOff>
      <xdr:row>33</xdr:row>
      <xdr:rowOff>19050</xdr:rowOff>
    </xdr:to>
    <xdr:sp macro="" textlink="">
      <xdr:nvSpPr>
        <xdr:cNvPr id="1373" name="Rectangle 20"/>
        <xdr:cNvSpPr>
          <a:spLocks noChangeArrowheads="1"/>
        </xdr:cNvSpPr>
      </xdr:nvSpPr>
      <xdr:spPr bwMode="auto">
        <a:xfrm>
          <a:off x="11353800" y="272891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34</xdr:row>
      <xdr:rowOff>9525</xdr:rowOff>
    </xdr:from>
    <xdr:to>
      <xdr:col>13</xdr:col>
      <xdr:colOff>19050</xdr:colOff>
      <xdr:row>34</xdr:row>
      <xdr:rowOff>19050</xdr:rowOff>
    </xdr:to>
    <xdr:sp macro="" textlink="">
      <xdr:nvSpPr>
        <xdr:cNvPr id="1374" name="Rectangle 21"/>
        <xdr:cNvSpPr>
          <a:spLocks noChangeArrowheads="1"/>
        </xdr:cNvSpPr>
      </xdr:nvSpPr>
      <xdr:spPr bwMode="auto">
        <a:xfrm>
          <a:off x="11353800" y="285083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35</xdr:row>
      <xdr:rowOff>9525</xdr:rowOff>
    </xdr:from>
    <xdr:to>
      <xdr:col>13</xdr:col>
      <xdr:colOff>19050</xdr:colOff>
      <xdr:row>35</xdr:row>
      <xdr:rowOff>19050</xdr:rowOff>
    </xdr:to>
    <xdr:sp macro="" textlink="">
      <xdr:nvSpPr>
        <xdr:cNvPr id="1375" name="Rectangle 22"/>
        <xdr:cNvSpPr>
          <a:spLocks noChangeArrowheads="1"/>
        </xdr:cNvSpPr>
      </xdr:nvSpPr>
      <xdr:spPr bwMode="auto">
        <a:xfrm>
          <a:off x="11353800" y="297275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37</xdr:row>
      <xdr:rowOff>0</xdr:rowOff>
    </xdr:from>
    <xdr:to>
      <xdr:col>13</xdr:col>
      <xdr:colOff>19050</xdr:colOff>
      <xdr:row>37</xdr:row>
      <xdr:rowOff>9525</xdr:rowOff>
    </xdr:to>
    <xdr:sp macro="" textlink="">
      <xdr:nvSpPr>
        <xdr:cNvPr id="1376" name="Rectangle 23"/>
        <xdr:cNvSpPr>
          <a:spLocks noChangeArrowheads="1"/>
        </xdr:cNvSpPr>
      </xdr:nvSpPr>
      <xdr:spPr bwMode="auto">
        <a:xfrm>
          <a:off x="11353800" y="3108960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38</xdr:row>
      <xdr:rowOff>9525</xdr:rowOff>
    </xdr:from>
    <xdr:to>
      <xdr:col>13</xdr:col>
      <xdr:colOff>19050</xdr:colOff>
      <xdr:row>38</xdr:row>
      <xdr:rowOff>19050</xdr:rowOff>
    </xdr:to>
    <xdr:sp macro="" textlink="">
      <xdr:nvSpPr>
        <xdr:cNvPr id="1377" name="Rectangle 24"/>
        <xdr:cNvSpPr>
          <a:spLocks noChangeArrowheads="1"/>
        </xdr:cNvSpPr>
      </xdr:nvSpPr>
      <xdr:spPr bwMode="auto">
        <a:xfrm>
          <a:off x="11353800" y="323183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39</xdr:row>
      <xdr:rowOff>9525</xdr:rowOff>
    </xdr:from>
    <xdr:to>
      <xdr:col>13</xdr:col>
      <xdr:colOff>19050</xdr:colOff>
      <xdr:row>39</xdr:row>
      <xdr:rowOff>19050</xdr:rowOff>
    </xdr:to>
    <xdr:sp macro="" textlink="">
      <xdr:nvSpPr>
        <xdr:cNvPr id="1378" name="Rectangle 25"/>
        <xdr:cNvSpPr>
          <a:spLocks noChangeArrowheads="1"/>
        </xdr:cNvSpPr>
      </xdr:nvSpPr>
      <xdr:spPr bwMode="auto">
        <a:xfrm>
          <a:off x="11353800" y="335375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40</xdr:row>
      <xdr:rowOff>0</xdr:rowOff>
    </xdr:from>
    <xdr:to>
      <xdr:col>13</xdr:col>
      <xdr:colOff>19050</xdr:colOff>
      <xdr:row>40</xdr:row>
      <xdr:rowOff>9525</xdr:rowOff>
    </xdr:to>
    <xdr:sp macro="" textlink="">
      <xdr:nvSpPr>
        <xdr:cNvPr id="1379" name="Rectangle 26"/>
        <xdr:cNvSpPr>
          <a:spLocks noChangeArrowheads="1"/>
        </xdr:cNvSpPr>
      </xdr:nvSpPr>
      <xdr:spPr bwMode="auto">
        <a:xfrm>
          <a:off x="11353800" y="3474720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41</xdr:row>
      <xdr:rowOff>0</xdr:rowOff>
    </xdr:from>
    <xdr:to>
      <xdr:col>13</xdr:col>
      <xdr:colOff>19050</xdr:colOff>
      <xdr:row>41</xdr:row>
      <xdr:rowOff>9525</xdr:rowOff>
    </xdr:to>
    <xdr:sp macro="" textlink="">
      <xdr:nvSpPr>
        <xdr:cNvPr id="1380" name="Rectangle 27"/>
        <xdr:cNvSpPr>
          <a:spLocks noChangeArrowheads="1"/>
        </xdr:cNvSpPr>
      </xdr:nvSpPr>
      <xdr:spPr bwMode="auto">
        <a:xfrm>
          <a:off x="11353800" y="3596640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42</xdr:row>
      <xdr:rowOff>0</xdr:rowOff>
    </xdr:from>
    <xdr:to>
      <xdr:col>13</xdr:col>
      <xdr:colOff>19050</xdr:colOff>
      <xdr:row>42</xdr:row>
      <xdr:rowOff>9525</xdr:rowOff>
    </xdr:to>
    <xdr:sp macro="" textlink="">
      <xdr:nvSpPr>
        <xdr:cNvPr id="1381" name="Rectangle 28"/>
        <xdr:cNvSpPr>
          <a:spLocks noChangeArrowheads="1"/>
        </xdr:cNvSpPr>
      </xdr:nvSpPr>
      <xdr:spPr bwMode="auto">
        <a:xfrm>
          <a:off x="11353800" y="3718560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43</xdr:row>
      <xdr:rowOff>9525</xdr:rowOff>
    </xdr:from>
    <xdr:to>
      <xdr:col>13</xdr:col>
      <xdr:colOff>19050</xdr:colOff>
      <xdr:row>43</xdr:row>
      <xdr:rowOff>19050</xdr:rowOff>
    </xdr:to>
    <xdr:sp macro="" textlink="">
      <xdr:nvSpPr>
        <xdr:cNvPr id="1382" name="Rectangle 29"/>
        <xdr:cNvSpPr>
          <a:spLocks noChangeArrowheads="1"/>
        </xdr:cNvSpPr>
      </xdr:nvSpPr>
      <xdr:spPr bwMode="auto">
        <a:xfrm>
          <a:off x="11353800" y="384143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44</xdr:row>
      <xdr:rowOff>0</xdr:rowOff>
    </xdr:from>
    <xdr:to>
      <xdr:col>13</xdr:col>
      <xdr:colOff>19050</xdr:colOff>
      <xdr:row>44</xdr:row>
      <xdr:rowOff>9525</xdr:rowOff>
    </xdr:to>
    <xdr:sp macro="" textlink="">
      <xdr:nvSpPr>
        <xdr:cNvPr id="1383" name="Rectangle 30"/>
        <xdr:cNvSpPr>
          <a:spLocks noChangeArrowheads="1"/>
        </xdr:cNvSpPr>
      </xdr:nvSpPr>
      <xdr:spPr bwMode="auto">
        <a:xfrm>
          <a:off x="11353800" y="3962400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45</xdr:row>
      <xdr:rowOff>9525</xdr:rowOff>
    </xdr:from>
    <xdr:to>
      <xdr:col>13</xdr:col>
      <xdr:colOff>19050</xdr:colOff>
      <xdr:row>45</xdr:row>
      <xdr:rowOff>19050</xdr:rowOff>
    </xdr:to>
    <xdr:sp macro="" textlink="">
      <xdr:nvSpPr>
        <xdr:cNvPr id="1384" name="Rectangle 31"/>
        <xdr:cNvSpPr>
          <a:spLocks noChangeArrowheads="1"/>
        </xdr:cNvSpPr>
      </xdr:nvSpPr>
      <xdr:spPr bwMode="auto">
        <a:xfrm>
          <a:off x="11353800" y="408527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46</xdr:row>
      <xdr:rowOff>0</xdr:rowOff>
    </xdr:from>
    <xdr:to>
      <xdr:col>13</xdr:col>
      <xdr:colOff>19050</xdr:colOff>
      <xdr:row>46</xdr:row>
      <xdr:rowOff>9525</xdr:rowOff>
    </xdr:to>
    <xdr:sp macro="" textlink="">
      <xdr:nvSpPr>
        <xdr:cNvPr id="1385" name="Rectangle 32"/>
        <xdr:cNvSpPr>
          <a:spLocks noChangeArrowheads="1"/>
        </xdr:cNvSpPr>
      </xdr:nvSpPr>
      <xdr:spPr bwMode="auto">
        <a:xfrm>
          <a:off x="11353800" y="4206240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47</xdr:row>
      <xdr:rowOff>0</xdr:rowOff>
    </xdr:from>
    <xdr:to>
      <xdr:col>13</xdr:col>
      <xdr:colOff>19050</xdr:colOff>
      <xdr:row>47</xdr:row>
      <xdr:rowOff>9525</xdr:rowOff>
    </xdr:to>
    <xdr:sp macro="" textlink="">
      <xdr:nvSpPr>
        <xdr:cNvPr id="1386" name="Rectangle 33"/>
        <xdr:cNvSpPr>
          <a:spLocks noChangeArrowheads="1"/>
        </xdr:cNvSpPr>
      </xdr:nvSpPr>
      <xdr:spPr bwMode="auto">
        <a:xfrm>
          <a:off x="11353800" y="4328160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48</xdr:row>
      <xdr:rowOff>9525</xdr:rowOff>
    </xdr:from>
    <xdr:to>
      <xdr:col>13</xdr:col>
      <xdr:colOff>19050</xdr:colOff>
      <xdr:row>48</xdr:row>
      <xdr:rowOff>19050</xdr:rowOff>
    </xdr:to>
    <xdr:sp macro="" textlink="">
      <xdr:nvSpPr>
        <xdr:cNvPr id="1387" name="Rectangle 34"/>
        <xdr:cNvSpPr>
          <a:spLocks noChangeArrowheads="1"/>
        </xdr:cNvSpPr>
      </xdr:nvSpPr>
      <xdr:spPr bwMode="auto">
        <a:xfrm>
          <a:off x="11353800" y="445103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50</xdr:row>
      <xdr:rowOff>9525</xdr:rowOff>
    </xdr:from>
    <xdr:to>
      <xdr:col>13</xdr:col>
      <xdr:colOff>19050</xdr:colOff>
      <xdr:row>50</xdr:row>
      <xdr:rowOff>19050</xdr:rowOff>
    </xdr:to>
    <xdr:sp macro="" textlink="">
      <xdr:nvSpPr>
        <xdr:cNvPr id="1388" name="Rectangle 35"/>
        <xdr:cNvSpPr>
          <a:spLocks noChangeArrowheads="1"/>
        </xdr:cNvSpPr>
      </xdr:nvSpPr>
      <xdr:spPr bwMode="auto">
        <a:xfrm>
          <a:off x="11353800" y="458819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51</xdr:row>
      <xdr:rowOff>9525</xdr:rowOff>
    </xdr:from>
    <xdr:to>
      <xdr:col>13</xdr:col>
      <xdr:colOff>19050</xdr:colOff>
      <xdr:row>51</xdr:row>
      <xdr:rowOff>19050</xdr:rowOff>
    </xdr:to>
    <xdr:sp macro="" textlink="">
      <xdr:nvSpPr>
        <xdr:cNvPr id="1389" name="Rectangle 36"/>
        <xdr:cNvSpPr>
          <a:spLocks noChangeArrowheads="1"/>
        </xdr:cNvSpPr>
      </xdr:nvSpPr>
      <xdr:spPr bwMode="auto">
        <a:xfrm>
          <a:off x="11353800" y="471011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52</xdr:row>
      <xdr:rowOff>9525</xdr:rowOff>
    </xdr:from>
    <xdr:to>
      <xdr:col>13</xdr:col>
      <xdr:colOff>19050</xdr:colOff>
      <xdr:row>52</xdr:row>
      <xdr:rowOff>19050</xdr:rowOff>
    </xdr:to>
    <xdr:sp macro="" textlink="">
      <xdr:nvSpPr>
        <xdr:cNvPr id="1390" name="Rectangle 37"/>
        <xdr:cNvSpPr>
          <a:spLocks noChangeArrowheads="1"/>
        </xdr:cNvSpPr>
      </xdr:nvSpPr>
      <xdr:spPr bwMode="auto">
        <a:xfrm>
          <a:off x="11353800" y="483203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53</xdr:row>
      <xdr:rowOff>0</xdr:rowOff>
    </xdr:from>
    <xdr:to>
      <xdr:col>13</xdr:col>
      <xdr:colOff>19050</xdr:colOff>
      <xdr:row>53</xdr:row>
      <xdr:rowOff>9525</xdr:rowOff>
    </xdr:to>
    <xdr:sp macro="" textlink="">
      <xdr:nvSpPr>
        <xdr:cNvPr id="1391" name="Rectangle 38"/>
        <xdr:cNvSpPr>
          <a:spLocks noChangeArrowheads="1"/>
        </xdr:cNvSpPr>
      </xdr:nvSpPr>
      <xdr:spPr bwMode="auto">
        <a:xfrm>
          <a:off x="11353800" y="4953000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54</xdr:row>
      <xdr:rowOff>0</xdr:rowOff>
    </xdr:from>
    <xdr:to>
      <xdr:col>13</xdr:col>
      <xdr:colOff>19050</xdr:colOff>
      <xdr:row>54</xdr:row>
      <xdr:rowOff>9525</xdr:rowOff>
    </xdr:to>
    <xdr:sp macro="" textlink="">
      <xdr:nvSpPr>
        <xdr:cNvPr id="1392" name="Rectangle 39"/>
        <xdr:cNvSpPr>
          <a:spLocks noChangeArrowheads="1"/>
        </xdr:cNvSpPr>
      </xdr:nvSpPr>
      <xdr:spPr bwMode="auto">
        <a:xfrm>
          <a:off x="11353800" y="5074920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55</xdr:row>
      <xdr:rowOff>0</xdr:rowOff>
    </xdr:from>
    <xdr:to>
      <xdr:col>13</xdr:col>
      <xdr:colOff>19050</xdr:colOff>
      <xdr:row>55</xdr:row>
      <xdr:rowOff>9525</xdr:rowOff>
    </xdr:to>
    <xdr:sp macro="" textlink="">
      <xdr:nvSpPr>
        <xdr:cNvPr id="1393" name="Rectangle 40"/>
        <xdr:cNvSpPr>
          <a:spLocks noChangeArrowheads="1"/>
        </xdr:cNvSpPr>
      </xdr:nvSpPr>
      <xdr:spPr bwMode="auto">
        <a:xfrm>
          <a:off x="11353800" y="5196840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56</xdr:row>
      <xdr:rowOff>9525</xdr:rowOff>
    </xdr:from>
    <xdr:to>
      <xdr:col>13</xdr:col>
      <xdr:colOff>19050</xdr:colOff>
      <xdr:row>56</xdr:row>
      <xdr:rowOff>19050</xdr:rowOff>
    </xdr:to>
    <xdr:sp macro="" textlink="">
      <xdr:nvSpPr>
        <xdr:cNvPr id="1394" name="Rectangle 41"/>
        <xdr:cNvSpPr>
          <a:spLocks noChangeArrowheads="1"/>
        </xdr:cNvSpPr>
      </xdr:nvSpPr>
      <xdr:spPr bwMode="auto">
        <a:xfrm>
          <a:off x="11353800" y="531971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57</xdr:row>
      <xdr:rowOff>0</xdr:rowOff>
    </xdr:from>
    <xdr:to>
      <xdr:col>13</xdr:col>
      <xdr:colOff>19050</xdr:colOff>
      <xdr:row>57</xdr:row>
      <xdr:rowOff>9525</xdr:rowOff>
    </xdr:to>
    <xdr:sp macro="" textlink="">
      <xdr:nvSpPr>
        <xdr:cNvPr id="1395" name="Rectangle 42"/>
        <xdr:cNvSpPr>
          <a:spLocks noChangeArrowheads="1"/>
        </xdr:cNvSpPr>
      </xdr:nvSpPr>
      <xdr:spPr bwMode="auto">
        <a:xfrm>
          <a:off x="11353800" y="5440680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58</xdr:row>
      <xdr:rowOff>0</xdr:rowOff>
    </xdr:from>
    <xdr:to>
      <xdr:col>13</xdr:col>
      <xdr:colOff>19050</xdr:colOff>
      <xdr:row>58</xdr:row>
      <xdr:rowOff>9525</xdr:rowOff>
    </xdr:to>
    <xdr:sp macro="" textlink="">
      <xdr:nvSpPr>
        <xdr:cNvPr id="1396" name="Rectangle 43"/>
        <xdr:cNvSpPr>
          <a:spLocks noChangeArrowheads="1"/>
        </xdr:cNvSpPr>
      </xdr:nvSpPr>
      <xdr:spPr bwMode="auto">
        <a:xfrm>
          <a:off x="11353800" y="5562600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60</xdr:row>
      <xdr:rowOff>9525</xdr:rowOff>
    </xdr:from>
    <xdr:to>
      <xdr:col>13</xdr:col>
      <xdr:colOff>19050</xdr:colOff>
      <xdr:row>60</xdr:row>
      <xdr:rowOff>19050</xdr:rowOff>
    </xdr:to>
    <xdr:sp macro="" textlink="">
      <xdr:nvSpPr>
        <xdr:cNvPr id="1397" name="Rectangle 44"/>
        <xdr:cNvSpPr>
          <a:spLocks noChangeArrowheads="1"/>
        </xdr:cNvSpPr>
      </xdr:nvSpPr>
      <xdr:spPr bwMode="auto">
        <a:xfrm>
          <a:off x="11353800" y="5715000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61</xdr:row>
      <xdr:rowOff>9525</xdr:rowOff>
    </xdr:from>
    <xdr:to>
      <xdr:col>13</xdr:col>
      <xdr:colOff>19050</xdr:colOff>
      <xdr:row>61</xdr:row>
      <xdr:rowOff>19050</xdr:rowOff>
    </xdr:to>
    <xdr:sp macro="" textlink="">
      <xdr:nvSpPr>
        <xdr:cNvPr id="1398" name="Rectangle 45"/>
        <xdr:cNvSpPr>
          <a:spLocks noChangeArrowheads="1"/>
        </xdr:cNvSpPr>
      </xdr:nvSpPr>
      <xdr:spPr bwMode="auto">
        <a:xfrm>
          <a:off x="11353800" y="5836920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62</xdr:row>
      <xdr:rowOff>9525</xdr:rowOff>
    </xdr:from>
    <xdr:to>
      <xdr:col>13</xdr:col>
      <xdr:colOff>19050</xdr:colOff>
      <xdr:row>62</xdr:row>
      <xdr:rowOff>19050</xdr:rowOff>
    </xdr:to>
    <xdr:sp macro="" textlink="">
      <xdr:nvSpPr>
        <xdr:cNvPr id="1399" name="Rectangle 46"/>
        <xdr:cNvSpPr>
          <a:spLocks noChangeArrowheads="1"/>
        </xdr:cNvSpPr>
      </xdr:nvSpPr>
      <xdr:spPr bwMode="auto">
        <a:xfrm>
          <a:off x="11353800" y="5958840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63</xdr:row>
      <xdr:rowOff>9525</xdr:rowOff>
    </xdr:from>
    <xdr:to>
      <xdr:col>13</xdr:col>
      <xdr:colOff>19050</xdr:colOff>
      <xdr:row>63</xdr:row>
      <xdr:rowOff>19050</xdr:rowOff>
    </xdr:to>
    <xdr:sp macro="" textlink="">
      <xdr:nvSpPr>
        <xdr:cNvPr id="1400" name="Rectangle 47"/>
        <xdr:cNvSpPr>
          <a:spLocks noChangeArrowheads="1"/>
        </xdr:cNvSpPr>
      </xdr:nvSpPr>
      <xdr:spPr bwMode="auto">
        <a:xfrm>
          <a:off x="11353800" y="6080760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65</xdr:row>
      <xdr:rowOff>9525</xdr:rowOff>
    </xdr:from>
    <xdr:to>
      <xdr:col>13</xdr:col>
      <xdr:colOff>19050</xdr:colOff>
      <xdr:row>65</xdr:row>
      <xdr:rowOff>19050</xdr:rowOff>
    </xdr:to>
    <xdr:sp macro="" textlink="">
      <xdr:nvSpPr>
        <xdr:cNvPr id="1401" name="Rectangle 48"/>
        <xdr:cNvSpPr>
          <a:spLocks noChangeArrowheads="1"/>
        </xdr:cNvSpPr>
      </xdr:nvSpPr>
      <xdr:spPr bwMode="auto">
        <a:xfrm>
          <a:off x="11353800" y="6232207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66</xdr:row>
      <xdr:rowOff>9525</xdr:rowOff>
    </xdr:from>
    <xdr:to>
      <xdr:col>13</xdr:col>
      <xdr:colOff>19050</xdr:colOff>
      <xdr:row>66</xdr:row>
      <xdr:rowOff>19050</xdr:rowOff>
    </xdr:to>
    <xdr:sp macro="" textlink="">
      <xdr:nvSpPr>
        <xdr:cNvPr id="1402" name="Rectangle 49"/>
        <xdr:cNvSpPr>
          <a:spLocks noChangeArrowheads="1"/>
        </xdr:cNvSpPr>
      </xdr:nvSpPr>
      <xdr:spPr bwMode="auto">
        <a:xfrm>
          <a:off x="11353800" y="6354127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67</xdr:row>
      <xdr:rowOff>9525</xdr:rowOff>
    </xdr:from>
    <xdr:to>
      <xdr:col>13</xdr:col>
      <xdr:colOff>19050</xdr:colOff>
      <xdr:row>67</xdr:row>
      <xdr:rowOff>19050</xdr:rowOff>
    </xdr:to>
    <xdr:sp macro="" textlink="">
      <xdr:nvSpPr>
        <xdr:cNvPr id="1403" name="Rectangle 50"/>
        <xdr:cNvSpPr>
          <a:spLocks noChangeArrowheads="1"/>
        </xdr:cNvSpPr>
      </xdr:nvSpPr>
      <xdr:spPr bwMode="auto">
        <a:xfrm>
          <a:off x="11353800" y="6476047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68</xdr:row>
      <xdr:rowOff>9525</xdr:rowOff>
    </xdr:from>
    <xdr:to>
      <xdr:col>13</xdr:col>
      <xdr:colOff>19050</xdr:colOff>
      <xdr:row>68</xdr:row>
      <xdr:rowOff>19050</xdr:rowOff>
    </xdr:to>
    <xdr:sp macro="" textlink="">
      <xdr:nvSpPr>
        <xdr:cNvPr id="1404" name="Rectangle 51"/>
        <xdr:cNvSpPr>
          <a:spLocks noChangeArrowheads="1"/>
        </xdr:cNvSpPr>
      </xdr:nvSpPr>
      <xdr:spPr bwMode="auto">
        <a:xfrm>
          <a:off x="11353800" y="6597967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69</xdr:row>
      <xdr:rowOff>9525</xdr:rowOff>
    </xdr:from>
    <xdr:to>
      <xdr:col>13</xdr:col>
      <xdr:colOff>19050</xdr:colOff>
      <xdr:row>69</xdr:row>
      <xdr:rowOff>19050</xdr:rowOff>
    </xdr:to>
    <xdr:sp macro="" textlink="">
      <xdr:nvSpPr>
        <xdr:cNvPr id="1405" name="Rectangle 52"/>
        <xdr:cNvSpPr>
          <a:spLocks noChangeArrowheads="1"/>
        </xdr:cNvSpPr>
      </xdr:nvSpPr>
      <xdr:spPr bwMode="auto">
        <a:xfrm>
          <a:off x="11353800" y="6719887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70</xdr:row>
      <xdr:rowOff>9525</xdr:rowOff>
    </xdr:from>
    <xdr:to>
      <xdr:col>13</xdr:col>
      <xdr:colOff>19050</xdr:colOff>
      <xdr:row>70</xdr:row>
      <xdr:rowOff>19050</xdr:rowOff>
    </xdr:to>
    <xdr:sp macro="" textlink="">
      <xdr:nvSpPr>
        <xdr:cNvPr id="1406" name="Rectangle 53"/>
        <xdr:cNvSpPr>
          <a:spLocks noChangeArrowheads="1"/>
        </xdr:cNvSpPr>
      </xdr:nvSpPr>
      <xdr:spPr bwMode="auto">
        <a:xfrm>
          <a:off x="11353800" y="6841807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72</xdr:row>
      <xdr:rowOff>9525</xdr:rowOff>
    </xdr:from>
    <xdr:to>
      <xdr:col>13</xdr:col>
      <xdr:colOff>19050</xdr:colOff>
      <xdr:row>72</xdr:row>
      <xdr:rowOff>19050</xdr:rowOff>
    </xdr:to>
    <xdr:sp macro="" textlink="">
      <xdr:nvSpPr>
        <xdr:cNvPr id="1407" name="Rectangle 54"/>
        <xdr:cNvSpPr>
          <a:spLocks noChangeArrowheads="1"/>
        </xdr:cNvSpPr>
      </xdr:nvSpPr>
      <xdr:spPr bwMode="auto">
        <a:xfrm>
          <a:off x="11353800" y="6978967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74</xdr:row>
      <xdr:rowOff>9525</xdr:rowOff>
    </xdr:from>
    <xdr:to>
      <xdr:col>13</xdr:col>
      <xdr:colOff>19050</xdr:colOff>
      <xdr:row>74</xdr:row>
      <xdr:rowOff>19050</xdr:rowOff>
    </xdr:to>
    <xdr:sp macro="" textlink="">
      <xdr:nvSpPr>
        <xdr:cNvPr id="1408" name="Rectangle 55"/>
        <xdr:cNvSpPr>
          <a:spLocks noChangeArrowheads="1"/>
        </xdr:cNvSpPr>
      </xdr:nvSpPr>
      <xdr:spPr bwMode="auto">
        <a:xfrm>
          <a:off x="11353800" y="7116127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75</xdr:row>
      <xdr:rowOff>0</xdr:rowOff>
    </xdr:from>
    <xdr:to>
      <xdr:col>13</xdr:col>
      <xdr:colOff>19050</xdr:colOff>
      <xdr:row>75</xdr:row>
      <xdr:rowOff>9525</xdr:rowOff>
    </xdr:to>
    <xdr:sp macro="" textlink="">
      <xdr:nvSpPr>
        <xdr:cNvPr id="1409" name="Rectangle 56"/>
        <xdr:cNvSpPr>
          <a:spLocks noChangeArrowheads="1"/>
        </xdr:cNvSpPr>
      </xdr:nvSpPr>
      <xdr:spPr bwMode="auto">
        <a:xfrm>
          <a:off x="11353800" y="723709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76</xdr:row>
      <xdr:rowOff>0</xdr:rowOff>
    </xdr:from>
    <xdr:to>
      <xdr:col>13</xdr:col>
      <xdr:colOff>19050</xdr:colOff>
      <xdr:row>76</xdr:row>
      <xdr:rowOff>9525</xdr:rowOff>
    </xdr:to>
    <xdr:sp macro="" textlink="">
      <xdr:nvSpPr>
        <xdr:cNvPr id="1410" name="Rectangle 57"/>
        <xdr:cNvSpPr>
          <a:spLocks noChangeArrowheads="1"/>
        </xdr:cNvSpPr>
      </xdr:nvSpPr>
      <xdr:spPr bwMode="auto">
        <a:xfrm>
          <a:off x="11353800" y="735901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77</xdr:row>
      <xdr:rowOff>0</xdr:rowOff>
    </xdr:from>
    <xdr:to>
      <xdr:col>13</xdr:col>
      <xdr:colOff>19050</xdr:colOff>
      <xdr:row>77</xdr:row>
      <xdr:rowOff>9525</xdr:rowOff>
    </xdr:to>
    <xdr:sp macro="" textlink="">
      <xdr:nvSpPr>
        <xdr:cNvPr id="1411" name="Rectangle 58"/>
        <xdr:cNvSpPr>
          <a:spLocks noChangeArrowheads="1"/>
        </xdr:cNvSpPr>
      </xdr:nvSpPr>
      <xdr:spPr bwMode="auto">
        <a:xfrm>
          <a:off x="11353800" y="748093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79</xdr:row>
      <xdr:rowOff>9525</xdr:rowOff>
    </xdr:from>
    <xdr:to>
      <xdr:col>13</xdr:col>
      <xdr:colOff>19050</xdr:colOff>
      <xdr:row>79</xdr:row>
      <xdr:rowOff>19050</xdr:rowOff>
    </xdr:to>
    <xdr:sp macro="" textlink="">
      <xdr:nvSpPr>
        <xdr:cNvPr id="1412" name="Rectangle 59"/>
        <xdr:cNvSpPr>
          <a:spLocks noChangeArrowheads="1"/>
        </xdr:cNvSpPr>
      </xdr:nvSpPr>
      <xdr:spPr bwMode="auto">
        <a:xfrm>
          <a:off x="11353800" y="7619047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80</xdr:row>
      <xdr:rowOff>9525</xdr:rowOff>
    </xdr:from>
    <xdr:to>
      <xdr:col>13</xdr:col>
      <xdr:colOff>19050</xdr:colOff>
      <xdr:row>80</xdr:row>
      <xdr:rowOff>19050</xdr:rowOff>
    </xdr:to>
    <xdr:sp macro="" textlink="">
      <xdr:nvSpPr>
        <xdr:cNvPr id="1413" name="Rectangle 60"/>
        <xdr:cNvSpPr>
          <a:spLocks noChangeArrowheads="1"/>
        </xdr:cNvSpPr>
      </xdr:nvSpPr>
      <xdr:spPr bwMode="auto">
        <a:xfrm>
          <a:off x="11353800" y="7740967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82</xdr:row>
      <xdr:rowOff>0</xdr:rowOff>
    </xdr:from>
    <xdr:to>
      <xdr:col>13</xdr:col>
      <xdr:colOff>19050</xdr:colOff>
      <xdr:row>82</xdr:row>
      <xdr:rowOff>9525</xdr:rowOff>
    </xdr:to>
    <xdr:sp macro="" textlink="">
      <xdr:nvSpPr>
        <xdr:cNvPr id="1414" name="Rectangle 61"/>
        <xdr:cNvSpPr>
          <a:spLocks noChangeArrowheads="1"/>
        </xdr:cNvSpPr>
      </xdr:nvSpPr>
      <xdr:spPr bwMode="auto">
        <a:xfrm>
          <a:off x="11353800" y="787717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83</xdr:row>
      <xdr:rowOff>0</xdr:rowOff>
    </xdr:from>
    <xdr:to>
      <xdr:col>13</xdr:col>
      <xdr:colOff>19050</xdr:colOff>
      <xdr:row>83</xdr:row>
      <xdr:rowOff>9525</xdr:rowOff>
    </xdr:to>
    <xdr:sp macro="" textlink="">
      <xdr:nvSpPr>
        <xdr:cNvPr id="1415" name="Rectangle 62"/>
        <xdr:cNvSpPr>
          <a:spLocks noChangeArrowheads="1"/>
        </xdr:cNvSpPr>
      </xdr:nvSpPr>
      <xdr:spPr bwMode="auto">
        <a:xfrm>
          <a:off x="11353800" y="799909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84</xdr:row>
      <xdr:rowOff>0</xdr:rowOff>
    </xdr:from>
    <xdr:to>
      <xdr:col>13</xdr:col>
      <xdr:colOff>19050</xdr:colOff>
      <xdr:row>84</xdr:row>
      <xdr:rowOff>9525</xdr:rowOff>
    </xdr:to>
    <xdr:sp macro="" textlink="">
      <xdr:nvSpPr>
        <xdr:cNvPr id="1416" name="Rectangle 63"/>
        <xdr:cNvSpPr>
          <a:spLocks noChangeArrowheads="1"/>
        </xdr:cNvSpPr>
      </xdr:nvSpPr>
      <xdr:spPr bwMode="auto">
        <a:xfrm>
          <a:off x="11353800" y="812101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85</xdr:row>
      <xdr:rowOff>0</xdr:rowOff>
    </xdr:from>
    <xdr:to>
      <xdr:col>13</xdr:col>
      <xdr:colOff>19050</xdr:colOff>
      <xdr:row>85</xdr:row>
      <xdr:rowOff>9525</xdr:rowOff>
    </xdr:to>
    <xdr:sp macro="" textlink="">
      <xdr:nvSpPr>
        <xdr:cNvPr id="1417" name="Rectangle 64"/>
        <xdr:cNvSpPr>
          <a:spLocks noChangeArrowheads="1"/>
        </xdr:cNvSpPr>
      </xdr:nvSpPr>
      <xdr:spPr bwMode="auto">
        <a:xfrm>
          <a:off x="11353800" y="824293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87</xdr:row>
      <xdr:rowOff>9525</xdr:rowOff>
    </xdr:from>
    <xdr:to>
      <xdr:col>13</xdr:col>
      <xdr:colOff>19050</xdr:colOff>
      <xdr:row>87</xdr:row>
      <xdr:rowOff>19050</xdr:rowOff>
    </xdr:to>
    <xdr:sp macro="" textlink="">
      <xdr:nvSpPr>
        <xdr:cNvPr id="1418" name="Rectangle 65"/>
        <xdr:cNvSpPr>
          <a:spLocks noChangeArrowheads="1"/>
        </xdr:cNvSpPr>
      </xdr:nvSpPr>
      <xdr:spPr bwMode="auto">
        <a:xfrm>
          <a:off x="11353800" y="8381047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89</xdr:row>
      <xdr:rowOff>0</xdr:rowOff>
    </xdr:from>
    <xdr:to>
      <xdr:col>13</xdr:col>
      <xdr:colOff>19050</xdr:colOff>
      <xdr:row>89</xdr:row>
      <xdr:rowOff>9525</xdr:rowOff>
    </xdr:to>
    <xdr:sp macro="" textlink="">
      <xdr:nvSpPr>
        <xdr:cNvPr id="1419" name="Rectangle 66"/>
        <xdr:cNvSpPr>
          <a:spLocks noChangeArrowheads="1"/>
        </xdr:cNvSpPr>
      </xdr:nvSpPr>
      <xdr:spPr bwMode="auto">
        <a:xfrm>
          <a:off x="11353800" y="851725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91</xdr:row>
      <xdr:rowOff>9525</xdr:rowOff>
    </xdr:from>
    <xdr:to>
      <xdr:col>13</xdr:col>
      <xdr:colOff>19050</xdr:colOff>
      <xdr:row>91</xdr:row>
      <xdr:rowOff>19050</xdr:rowOff>
    </xdr:to>
    <xdr:sp macro="" textlink="">
      <xdr:nvSpPr>
        <xdr:cNvPr id="1420" name="Rectangle 67"/>
        <xdr:cNvSpPr>
          <a:spLocks noChangeArrowheads="1"/>
        </xdr:cNvSpPr>
      </xdr:nvSpPr>
      <xdr:spPr bwMode="auto">
        <a:xfrm>
          <a:off x="11353800" y="8655367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92</xdr:row>
      <xdr:rowOff>9525</xdr:rowOff>
    </xdr:from>
    <xdr:to>
      <xdr:col>13</xdr:col>
      <xdr:colOff>19050</xdr:colOff>
      <xdr:row>92</xdr:row>
      <xdr:rowOff>19050</xdr:rowOff>
    </xdr:to>
    <xdr:sp macro="" textlink="">
      <xdr:nvSpPr>
        <xdr:cNvPr id="1421" name="Rectangle 68"/>
        <xdr:cNvSpPr>
          <a:spLocks noChangeArrowheads="1"/>
        </xdr:cNvSpPr>
      </xdr:nvSpPr>
      <xdr:spPr bwMode="auto">
        <a:xfrm>
          <a:off x="11353800" y="8777287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94</xdr:row>
      <xdr:rowOff>0</xdr:rowOff>
    </xdr:from>
    <xdr:to>
      <xdr:col>13</xdr:col>
      <xdr:colOff>19050</xdr:colOff>
      <xdr:row>94</xdr:row>
      <xdr:rowOff>9525</xdr:rowOff>
    </xdr:to>
    <xdr:sp macro="" textlink="">
      <xdr:nvSpPr>
        <xdr:cNvPr id="1422" name="Rectangle 69"/>
        <xdr:cNvSpPr>
          <a:spLocks noChangeArrowheads="1"/>
        </xdr:cNvSpPr>
      </xdr:nvSpPr>
      <xdr:spPr bwMode="auto">
        <a:xfrm>
          <a:off x="11353800" y="891349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96</xdr:row>
      <xdr:rowOff>9525</xdr:rowOff>
    </xdr:from>
    <xdr:to>
      <xdr:col>13</xdr:col>
      <xdr:colOff>19050</xdr:colOff>
      <xdr:row>96</xdr:row>
      <xdr:rowOff>19050</xdr:rowOff>
    </xdr:to>
    <xdr:sp macro="" textlink="">
      <xdr:nvSpPr>
        <xdr:cNvPr id="1423" name="Rectangle 70"/>
        <xdr:cNvSpPr>
          <a:spLocks noChangeArrowheads="1"/>
        </xdr:cNvSpPr>
      </xdr:nvSpPr>
      <xdr:spPr bwMode="auto">
        <a:xfrm>
          <a:off x="11353800" y="9051607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98</xdr:row>
      <xdr:rowOff>0</xdr:rowOff>
    </xdr:from>
    <xdr:to>
      <xdr:col>13</xdr:col>
      <xdr:colOff>19050</xdr:colOff>
      <xdr:row>98</xdr:row>
      <xdr:rowOff>9525</xdr:rowOff>
    </xdr:to>
    <xdr:sp macro="" textlink="">
      <xdr:nvSpPr>
        <xdr:cNvPr id="1424" name="Rectangle 71"/>
        <xdr:cNvSpPr>
          <a:spLocks noChangeArrowheads="1"/>
        </xdr:cNvSpPr>
      </xdr:nvSpPr>
      <xdr:spPr bwMode="auto">
        <a:xfrm>
          <a:off x="11353800" y="918781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99</xdr:row>
      <xdr:rowOff>0</xdr:rowOff>
    </xdr:from>
    <xdr:to>
      <xdr:col>13</xdr:col>
      <xdr:colOff>19050</xdr:colOff>
      <xdr:row>99</xdr:row>
      <xdr:rowOff>9525</xdr:rowOff>
    </xdr:to>
    <xdr:sp macro="" textlink="">
      <xdr:nvSpPr>
        <xdr:cNvPr id="1425" name="Rectangle 72"/>
        <xdr:cNvSpPr>
          <a:spLocks noChangeArrowheads="1"/>
        </xdr:cNvSpPr>
      </xdr:nvSpPr>
      <xdr:spPr bwMode="auto">
        <a:xfrm>
          <a:off x="11353800" y="930973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101</xdr:row>
      <xdr:rowOff>0</xdr:rowOff>
    </xdr:from>
    <xdr:to>
      <xdr:col>13</xdr:col>
      <xdr:colOff>19050</xdr:colOff>
      <xdr:row>101</xdr:row>
      <xdr:rowOff>9525</xdr:rowOff>
    </xdr:to>
    <xdr:sp macro="" textlink="">
      <xdr:nvSpPr>
        <xdr:cNvPr id="1426" name="Rectangle 73"/>
        <xdr:cNvSpPr>
          <a:spLocks noChangeArrowheads="1"/>
        </xdr:cNvSpPr>
      </xdr:nvSpPr>
      <xdr:spPr bwMode="auto">
        <a:xfrm>
          <a:off x="11353800" y="944689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102</xdr:row>
      <xdr:rowOff>0</xdr:rowOff>
    </xdr:from>
    <xdr:to>
      <xdr:col>13</xdr:col>
      <xdr:colOff>19050</xdr:colOff>
      <xdr:row>102</xdr:row>
      <xdr:rowOff>9525</xdr:rowOff>
    </xdr:to>
    <xdr:sp macro="" textlink="">
      <xdr:nvSpPr>
        <xdr:cNvPr id="1427" name="Rectangle 74"/>
        <xdr:cNvSpPr>
          <a:spLocks noChangeArrowheads="1"/>
        </xdr:cNvSpPr>
      </xdr:nvSpPr>
      <xdr:spPr bwMode="auto">
        <a:xfrm>
          <a:off x="11353800" y="956881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104</xdr:row>
      <xdr:rowOff>9525</xdr:rowOff>
    </xdr:from>
    <xdr:to>
      <xdr:col>13</xdr:col>
      <xdr:colOff>19050</xdr:colOff>
      <xdr:row>104</xdr:row>
      <xdr:rowOff>19050</xdr:rowOff>
    </xdr:to>
    <xdr:sp macro="" textlink="">
      <xdr:nvSpPr>
        <xdr:cNvPr id="1428" name="Rectangle 75"/>
        <xdr:cNvSpPr>
          <a:spLocks noChangeArrowheads="1"/>
        </xdr:cNvSpPr>
      </xdr:nvSpPr>
      <xdr:spPr bwMode="auto">
        <a:xfrm>
          <a:off x="11353800" y="9706927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106</xdr:row>
      <xdr:rowOff>0</xdr:rowOff>
    </xdr:from>
    <xdr:to>
      <xdr:col>13</xdr:col>
      <xdr:colOff>19050</xdr:colOff>
      <xdr:row>106</xdr:row>
      <xdr:rowOff>9525</xdr:rowOff>
    </xdr:to>
    <xdr:sp macro="" textlink="">
      <xdr:nvSpPr>
        <xdr:cNvPr id="1429" name="Rectangle 76"/>
        <xdr:cNvSpPr>
          <a:spLocks noChangeArrowheads="1"/>
        </xdr:cNvSpPr>
      </xdr:nvSpPr>
      <xdr:spPr bwMode="auto">
        <a:xfrm>
          <a:off x="11353800" y="984313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107</xdr:row>
      <xdr:rowOff>0</xdr:rowOff>
    </xdr:from>
    <xdr:to>
      <xdr:col>13</xdr:col>
      <xdr:colOff>19050</xdr:colOff>
      <xdr:row>107</xdr:row>
      <xdr:rowOff>9525</xdr:rowOff>
    </xdr:to>
    <xdr:sp macro="" textlink="">
      <xdr:nvSpPr>
        <xdr:cNvPr id="1430" name="Rectangle 77"/>
        <xdr:cNvSpPr>
          <a:spLocks noChangeArrowheads="1"/>
        </xdr:cNvSpPr>
      </xdr:nvSpPr>
      <xdr:spPr bwMode="auto">
        <a:xfrm>
          <a:off x="11353800" y="996505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108</xdr:row>
      <xdr:rowOff>0</xdr:rowOff>
    </xdr:from>
    <xdr:to>
      <xdr:col>13</xdr:col>
      <xdr:colOff>19050</xdr:colOff>
      <xdr:row>108</xdr:row>
      <xdr:rowOff>9525</xdr:rowOff>
    </xdr:to>
    <xdr:sp macro="" textlink="">
      <xdr:nvSpPr>
        <xdr:cNvPr id="1431" name="Rectangle 78"/>
        <xdr:cNvSpPr>
          <a:spLocks noChangeArrowheads="1"/>
        </xdr:cNvSpPr>
      </xdr:nvSpPr>
      <xdr:spPr bwMode="auto">
        <a:xfrm>
          <a:off x="11353800" y="1008697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109</xdr:row>
      <xdr:rowOff>0</xdr:rowOff>
    </xdr:from>
    <xdr:to>
      <xdr:col>13</xdr:col>
      <xdr:colOff>19050</xdr:colOff>
      <xdr:row>109</xdr:row>
      <xdr:rowOff>9525</xdr:rowOff>
    </xdr:to>
    <xdr:sp macro="" textlink="">
      <xdr:nvSpPr>
        <xdr:cNvPr id="1432" name="Rectangle 79"/>
        <xdr:cNvSpPr>
          <a:spLocks noChangeArrowheads="1"/>
        </xdr:cNvSpPr>
      </xdr:nvSpPr>
      <xdr:spPr bwMode="auto">
        <a:xfrm>
          <a:off x="11353800" y="1020889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111</xdr:row>
      <xdr:rowOff>0</xdr:rowOff>
    </xdr:from>
    <xdr:to>
      <xdr:col>13</xdr:col>
      <xdr:colOff>19050</xdr:colOff>
      <xdr:row>111</xdr:row>
      <xdr:rowOff>9525</xdr:rowOff>
    </xdr:to>
    <xdr:sp macro="" textlink="">
      <xdr:nvSpPr>
        <xdr:cNvPr id="1433" name="Rectangle 80"/>
        <xdr:cNvSpPr>
          <a:spLocks noChangeArrowheads="1"/>
        </xdr:cNvSpPr>
      </xdr:nvSpPr>
      <xdr:spPr bwMode="auto">
        <a:xfrm>
          <a:off x="11353800" y="1034605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112</xdr:row>
      <xdr:rowOff>0</xdr:rowOff>
    </xdr:from>
    <xdr:to>
      <xdr:col>13</xdr:col>
      <xdr:colOff>19050</xdr:colOff>
      <xdr:row>112</xdr:row>
      <xdr:rowOff>9525</xdr:rowOff>
    </xdr:to>
    <xdr:sp macro="" textlink="">
      <xdr:nvSpPr>
        <xdr:cNvPr id="1434" name="Rectangle 81"/>
        <xdr:cNvSpPr>
          <a:spLocks noChangeArrowheads="1"/>
        </xdr:cNvSpPr>
      </xdr:nvSpPr>
      <xdr:spPr bwMode="auto">
        <a:xfrm>
          <a:off x="11353800" y="1046797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113</xdr:row>
      <xdr:rowOff>0</xdr:rowOff>
    </xdr:from>
    <xdr:to>
      <xdr:col>13</xdr:col>
      <xdr:colOff>19050</xdr:colOff>
      <xdr:row>113</xdr:row>
      <xdr:rowOff>9525</xdr:rowOff>
    </xdr:to>
    <xdr:sp macro="" textlink="">
      <xdr:nvSpPr>
        <xdr:cNvPr id="1435" name="Rectangle 82"/>
        <xdr:cNvSpPr>
          <a:spLocks noChangeArrowheads="1"/>
        </xdr:cNvSpPr>
      </xdr:nvSpPr>
      <xdr:spPr bwMode="auto">
        <a:xfrm>
          <a:off x="11353800" y="1058989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114</xdr:row>
      <xdr:rowOff>0</xdr:rowOff>
    </xdr:from>
    <xdr:to>
      <xdr:col>13</xdr:col>
      <xdr:colOff>19050</xdr:colOff>
      <xdr:row>114</xdr:row>
      <xdr:rowOff>9525</xdr:rowOff>
    </xdr:to>
    <xdr:sp macro="" textlink="">
      <xdr:nvSpPr>
        <xdr:cNvPr id="1436" name="Rectangle 83"/>
        <xdr:cNvSpPr>
          <a:spLocks noChangeArrowheads="1"/>
        </xdr:cNvSpPr>
      </xdr:nvSpPr>
      <xdr:spPr bwMode="auto">
        <a:xfrm>
          <a:off x="11353800" y="1071181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116</xdr:row>
      <xdr:rowOff>9525</xdr:rowOff>
    </xdr:from>
    <xdr:to>
      <xdr:col>13</xdr:col>
      <xdr:colOff>19050</xdr:colOff>
      <xdr:row>116</xdr:row>
      <xdr:rowOff>19050</xdr:rowOff>
    </xdr:to>
    <xdr:sp macro="" textlink="">
      <xdr:nvSpPr>
        <xdr:cNvPr id="1437" name="Rectangle 84"/>
        <xdr:cNvSpPr>
          <a:spLocks noChangeArrowheads="1"/>
        </xdr:cNvSpPr>
      </xdr:nvSpPr>
      <xdr:spPr bwMode="auto">
        <a:xfrm>
          <a:off x="11353800" y="10849927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117</xdr:row>
      <xdr:rowOff>9525</xdr:rowOff>
    </xdr:from>
    <xdr:to>
      <xdr:col>13</xdr:col>
      <xdr:colOff>19050</xdr:colOff>
      <xdr:row>117</xdr:row>
      <xdr:rowOff>19050</xdr:rowOff>
    </xdr:to>
    <xdr:sp macro="" textlink="">
      <xdr:nvSpPr>
        <xdr:cNvPr id="1438" name="Rectangle 85"/>
        <xdr:cNvSpPr>
          <a:spLocks noChangeArrowheads="1"/>
        </xdr:cNvSpPr>
      </xdr:nvSpPr>
      <xdr:spPr bwMode="auto">
        <a:xfrm>
          <a:off x="11353800" y="10971847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118</xdr:row>
      <xdr:rowOff>9525</xdr:rowOff>
    </xdr:from>
    <xdr:to>
      <xdr:col>13</xdr:col>
      <xdr:colOff>19050</xdr:colOff>
      <xdr:row>118</xdr:row>
      <xdr:rowOff>19050</xdr:rowOff>
    </xdr:to>
    <xdr:sp macro="" textlink="">
      <xdr:nvSpPr>
        <xdr:cNvPr id="1439" name="Rectangle 86"/>
        <xdr:cNvSpPr>
          <a:spLocks noChangeArrowheads="1"/>
        </xdr:cNvSpPr>
      </xdr:nvSpPr>
      <xdr:spPr bwMode="auto">
        <a:xfrm>
          <a:off x="11353800" y="11093767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119</xdr:row>
      <xdr:rowOff>9525</xdr:rowOff>
    </xdr:from>
    <xdr:to>
      <xdr:col>13</xdr:col>
      <xdr:colOff>19050</xdr:colOff>
      <xdr:row>119</xdr:row>
      <xdr:rowOff>19050</xdr:rowOff>
    </xdr:to>
    <xdr:sp macro="" textlink="">
      <xdr:nvSpPr>
        <xdr:cNvPr id="1440" name="Rectangle 87"/>
        <xdr:cNvSpPr>
          <a:spLocks noChangeArrowheads="1"/>
        </xdr:cNvSpPr>
      </xdr:nvSpPr>
      <xdr:spPr bwMode="auto">
        <a:xfrm>
          <a:off x="11353800" y="11215687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121</xdr:row>
      <xdr:rowOff>0</xdr:rowOff>
    </xdr:from>
    <xdr:to>
      <xdr:col>13</xdr:col>
      <xdr:colOff>19050</xdr:colOff>
      <xdr:row>121</xdr:row>
      <xdr:rowOff>9525</xdr:rowOff>
    </xdr:to>
    <xdr:sp macro="" textlink="">
      <xdr:nvSpPr>
        <xdr:cNvPr id="1441" name="Rectangle 88"/>
        <xdr:cNvSpPr>
          <a:spLocks noChangeArrowheads="1"/>
        </xdr:cNvSpPr>
      </xdr:nvSpPr>
      <xdr:spPr bwMode="auto">
        <a:xfrm>
          <a:off x="11353800" y="1135189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122</xdr:row>
      <xdr:rowOff>0</xdr:rowOff>
    </xdr:from>
    <xdr:to>
      <xdr:col>13</xdr:col>
      <xdr:colOff>19050</xdr:colOff>
      <xdr:row>122</xdr:row>
      <xdr:rowOff>9525</xdr:rowOff>
    </xdr:to>
    <xdr:sp macro="" textlink="">
      <xdr:nvSpPr>
        <xdr:cNvPr id="1442" name="Rectangle 89"/>
        <xdr:cNvSpPr>
          <a:spLocks noChangeArrowheads="1"/>
        </xdr:cNvSpPr>
      </xdr:nvSpPr>
      <xdr:spPr bwMode="auto">
        <a:xfrm>
          <a:off x="11353800" y="1147381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124</xdr:row>
      <xdr:rowOff>0</xdr:rowOff>
    </xdr:from>
    <xdr:to>
      <xdr:col>13</xdr:col>
      <xdr:colOff>19050</xdr:colOff>
      <xdr:row>124</xdr:row>
      <xdr:rowOff>9525</xdr:rowOff>
    </xdr:to>
    <xdr:sp macro="" textlink="">
      <xdr:nvSpPr>
        <xdr:cNvPr id="1443" name="Rectangle 90"/>
        <xdr:cNvSpPr>
          <a:spLocks noChangeArrowheads="1"/>
        </xdr:cNvSpPr>
      </xdr:nvSpPr>
      <xdr:spPr bwMode="auto">
        <a:xfrm>
          <a:off x="11353800" y="1161097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125</xdr:row>
      <xdr:rowOff>0</xdr:rowOff>
    </xdr:from>
    <xdr:to>
      <xdr:col>13</xdr:col>
      <xdr:colOff>19050</xdr:colOff>
      <xdr:row>125</xdr:row>
      <xdr:rowOff>9525</xdr:rowOff>
    </xdr:to>
    <xdr:sp macro="" textlink="">
      <xdr:nvSpPr>
        <xdr:cNvPr id="1444" name="Rectangle 91"/>
        <xdr:cNvSpPr>
          <a:spLocks noChangeArrowheads="1"/>
        </xdr:cNvSpPr>
      </xdr:nvSpPr>
      <xdr:spPr bwMode="auto">
        <a:xfrm>
          <a:off x="11353800" y="1173289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126</xdr:row>
      <xdr:rowOff>0</xdr:rowOff>
    </xdr:from>
    <xdr:to>
      <xdr:col>13</xdr:col>
      <xdr:colOff>19050</xdr:colOff>
      <xdr:row>126</xdr:row>
      <xdr:rowOff>9525</xdr:rowOff>
    </xdr:to>
    <xdr:sp macro="" textlink="">
      <xdr:nvSpPr>
        <xdr:cNvPr id="1445" name="Rectangle 92"/>
        <xdr:cNvSpPr>
          <a:spLocks noChangeArrowheads="1"/>
        </xdr:cNvSpPr>
      </xdr:nvSpPr>
      <xdr:spPr bwMode="auto">
        <a:xfrm>
          <a:off x="11353800" y="1185481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127</xdr:row>
      <xdr:rowOff>0</xdr:rowOff>
    </xdr:from>
    <xdr:to>
      <xdr:col>13</xdr:col>
      <xdr:colOff>19050</xdr:colOff>
      <xdr:row>127</xdr:row>
      <xdr:rowOff>9525</xdr:rowOff>
    </xdr:to>
    <xdr:sp macro="" textlink="">
      <xdr:nvSpPr>
        <xdr:cNvPr id="1446" name="Rectangle 93"/>
        <xdr:cNvSpPr>
          <a:spLocks noChangeArrowheads="1"/>
        </xdr:cNvSpPr>
      </xdr:nvSpPr>
      <xdr:spPr bwMode="auto">
        <a:xfrm>
          <a:off x="11353800" y="1197673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129</xdr:row>
      <xdr:rowOff>9525</xdr:rowOff>
    </xdr:from>
    <xdr:to>
      <xdr:col>13</xdr:col>
      <xdr:colOff>19050</xdr:colOff>
      <xdr:row>129</xdr:row>
      <xdr:rowOff>19050</xdr:rowOff>
    </xdr:to>
    <xdr:sp macro="" textlink="">
      <xdr:nvSpPr>
        <xdr:cNvPr id="1447" name="Rectangle 94"/>
        <xdr:cNvSpPr>
          <a:spLocks noChangeArrowheads="1"/>
        </xdr:cNvSpPr>
      </xdr:nvSpPr>
      <xdr:spPr bwMode="auto">
        <a:xfrm>
          <a:off x="11353800" y="12114847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130</xdr:row>
      <xdr:rowOff>9525</xdr:rowOff>
    </xdr:from>
    <xdr:to>
      <xdr:col>13</xdr:col>
      <xdr:colOff>19050</xdr:colOff>
      <xdr:row>130</xdr:row>
      <xdr:rowOff>19050</xdr:rowOff>
    </xdr:to>
    <xdr:sp macro="" textlink="">
      <xdr:nvSpPr>
        <xdr:cNvPr id="1448" name="Rectangle 95"/>
        <xdr:cNvSpPr>
          <a:spLocks noChangeArrowheads="1"/>
        </xdr:cNvSpPr>
      </xdr:nvSpPr>
      <xdr:spPr bwMode="auto">
        <a:xfrm>
          <a:off x="11353800" y="12236767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132</xdr:row>
      <xdr:rowOff>0</xdr:rowOff>
    </xdr:from>
    <xdr:to>
      <xdr:col>13</xdr:col>
      <xdr:colOff>19050</xdr:colOff>
      <xdr:row>132</xdr:row>
      <xdr:rowOff>9525</xdr:rowOff>
    </xdr:to>
    <xdr:sp macro="" textlink="">
      <xdr:nvSpPr>
        <xdr:cNvPr id="1449" name="Rectangle 96"/>
        <xdr:cNvSpPr>
          <a:spLocks noChangeArrowheads="1"/>
        </xdr:cNvSpPr>
      </xdr:nvSpPr>
      <xdr:spPr bwMode="auto">
        <a:xfrm>
          <a:off x="11353800" y="1237297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133</xdr:row>
      <xdr:rowOff>0</xdr:rowOff>
    </xdr:from>
    <xdr:to>
      <xdr:col>13</xdr:col>
      <xdr:colOff>19050</xdr:colOff>
      <xdr:row>133</xdr:row>
      <xdr:rowOff>9525</xdr:rowOff>
    </xdr:to>
    <xdr:sp macro="" textlink="">
      <xdr:nvSpPr>
        <xdr:cNvPr id="1450" name="Rectangle 97"/>
        <xdr:cNvSpPr>
          <a:spLocks noChangeArrowheads="1"/>
        </xdr:cNvSpPr>
      </xdr:nvSpPr>
      <xdr:spPr bwMode="auto">
        <a:xfrm>
          <a:off x="11353800" y="1249489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135</xdr:row>
      <xdr:rowOff>0</xdr:rowOff>
    </xdr:from>
    <xdr:to>
      <xdr:col>13</xdr:col>
      <xdr:colOff>19050</xdr:colOff>
      <xdr:row>135</xdr:row>
      <xdr:rowOff>9525</xdr:rowOff>
    </xdr:to>
    <xdr:sp macro="" textlink="">
      <xdr:nvSpPr>
        <xdr:cNvPr id="1451" name="Rectangle 98"/>
        <xdr:cNvSpPr>
          <a:spLocks noChangeArrowheads="1"/>
        </xdr:cNvSpPr>
      </xdr:nvSpPr>
      <xdr:spPr bwMode="auto">
        <a:xfrm>
          <a:off x="11353800" y="1264634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136</xdr:row>
      <xdr:rowOff>0</xdr:rowOff>
    </xdr:from>
    <xdr:to>
      <xdr:col>13</xdr:col>
      <xdr:colOff>19050</xdr:colOff>
      <xdr:row>136</xdr:row>
      <xdr:rowOff>9525</xdr:rowOff>
    </xdr:to>
    <xdr:sp macro="" textlink="">
      <xdr:nvSpPr>
        <xdr:cNvPr id="1452" name="Rectangle 99"/>
        <xdr:cNvSpPr>
          <a:spLocks noChangeArrowheads="1"/>
        </xdr:cNvSpPr>
      </xdr:nvSpPr>
      <xdr:spPr bwMode="auto">
        <a:xfrm>
          <a:off x="11353800" y="1276826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138</xdr:row>
      <xdr:rowOff>0</xdr:rowOff>
    </xdr:from>
    <xdr:to>
      <xdr:col>13</xdr:col>
      <xdr:colOff>19050</xdr:colOff>
      <xdr:row>138</xdr:row>
      <xdr:rowOff>9525</xdr:rowOff>
    </xdr:to>
    <xdr:sp macro="" textlink="">
      <xdr:nvSpPr>
        <xdr:cNvPr id="1453" name="Rectangle 100"/>
        <xdr:cNvSpPr>
          <a:spLocks noChangeArrowheads="1"/>
        </xdr:cNvSpPr>
      </xdr:nvSpPr>
      <xdr:spPr bwMode="auto">
        <a:xfrm>
          <a:off x="11353800" y="1290542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140</xdr:row>
      <xdr:rowOff>0</xdr:rowOff>
    </xdr:from>
    <xdr:to>
      <xdr:col>13</xdr:col>
      <xdr:colOff>19050</xdr:colOff>
      <xdr:row>140</xdr:row>
      <xdr:rowOff>9525</xdr:rowOff>
    </xdr:to>
    <xdr:sp macro="" textlink="">
      <xdr:nvSpPr>
        <xdr:cNvPr id="1454" name="Rectangle 101"/>
        <xdr:cNvSpPr>
          <a:spLocks noChangeArrowheads="1"/>
        </xdr:cNvSpPr>
      </xdr:nvSpPr>
      <xdr:spPr bwMode="auto">
        <a:xfrm>
          <a:off x="11353800" y="13042582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144</xdr:row>
      <xdr:rowOff>0</xdr:rowOff>
    </xdr:from>
    <xdr:to>
      <xdr:col>13</xdr:col>
      <xdr:colOff>19050</xdr:colOff>
      <xdr:row>144</xdr:row>
      <xdr:rowOff>9525</xdr:rowOff>
    </xdr:to>
    <xdr:sp macro="" textlink="">
      <xdr:nvSpPr>
        <xdr:cNvPr id="1455" name="Rectangle 102"/>
        <xdr:cNvSpPr>
          <a:spLocks noChangeArrowheads="1"/>
        </xdr:cNvSpPr>
      </xdr:nvSpPr>
      <xdr:spPr bwMode="auto">
        <a:xfrm>
          <a:off x="11353800" y="1321498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145</xdr:row>
      <xdr:rowOff>0</xdr:rowOff>
    </xdr:from>
    <xdr:to>
      <xdr:col>13</xdr:col>
      <xdr:colOff>19050</xdr:colOff>
      <xdr:row>145</xdr:row>
      <xdr:rowOff>9525</xdr:rowOff>
    </xdr:to>
    <xdr:sp macro="" textlink="">
      <xdr:nvSpPr>
        <xdr:cNvPr id="1456" name="Rectangle 103"/>
        <xdr:cNvSpPr>
          <a:spLocks noChangeArrowheads="1"/>
        </xdr:cNvSpPr>
      </xdr:nvSpPr>
      <xdr:spPr bwMode="auto">
        <a:xfrm>
          <a:off x="11353800" y="1333690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147</xdr:row>
      <xdr:rowOff>0</xdr:rowOff>
    </xdr:from>
    <xdr:to>
      <xdr:col>13</xdr:col>
      <xdr:colOff>19050</xdr:colOff>
      <xdr:row>147</xdr:row>
      <xdr:rowOff>9525</xdr:rowOff>
    </xdr:to>
    <xdr:sp macro="" textlink="">
      <xdr:nvSpPr>
        <xdr:cNvPr id="1457" name="Rectangle 104"/>
        <xdr:cNvSpPr>
          <a:spLocks noChangeArrowheads="1"/>
        </xdr:cNvSpPr>
      </xdr:nvSpPr>
      <xdr:spPr bwMode="auto">
        <a:xfrm>
          <a:off x="11353800" y="1347406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149</xdr:row>
      <xdr:rowOff>9525</xdr:rowOff>
    </xdr:from>
    <xdr:to>
      <xdr:col>13</xdr:col>
      <xdr:colOff>19050</xdr:colOff>
      <xdr:row>149</xdr:row>
      <xdr:rowOff>19050</xdr:rowOff>
    </xdr:to>
    <xdr:sp macro="" textlink="">
      <xdr:nvSpPr>
        <xdr:cNvPr id="1458" name="Rectangle 105"/>
        <xdr:cNvSpPr>
          <a:spLocks noChangeArrowheads="1"/>
        </xdr:cNvSpPr>
      </xdr:nvSpPr>
      <xdr:spPr bwMode="auto">
        <a:xfrm>
          <a:off x="11353800" y="13612177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150</xdr:row>
      <xdr:rowOff>0</xdr:rowOff>
    </xdr:from>
    <xdr:to>
      <xdr:col>13</xdr:col>
      <xdr:colOff>19050</xdr:colOff>
      <xdr:row>150</xdr:row>
      <xdr:rowOff>9525</xdr:rowOff>
    </xdr:to>
    <xdr:sp macro="" textlink="">
      <xdr:nvSpPr>
        <xdr:cNvPr id="1459" name="Rectangle 106"/>
        <xdr:cNvSpPr>
          <a:spLocks noChangeArrowheads="1"/>
        </xdr:cNvSpPr>
      </xdr:nvSpPr>
      <xdr:spPr bwMode="auto">
        <a:xfrm>
          <a:off x="11353800" y="1373314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152</xdr:row>
      <xdr:rowOff>9525</xdr:rowOff>
    </xdr:from>
    <xdr:to>
      <xdr:col>13</xdr:col>
      <xdr:colOff>19050</xdr:colOff>
      <xdr:row>152</xdr:row>
      <xdr:rowOff>19050</xdr:rowOff>
    </xdr:to>
    <xdr:sp macro="" textlink="">
      <xdr:nvSpPr>
        <xdr:cNvPr id="1460" name="Rectangle 107"/>
        <xdr:cNvSpPr>
          <a:spLocks noChangeArrowheads="1"/>
        </xdr:cNvSpPr>
      </xdr:nvSpPr>
      <xdr:spPr bwMode="auto">
        <a:xfrm>
          <a:off x="11353800" y="13871257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153</xdr:row>
      <xdr:rowOff>9525</xdr:rowOff>
    </xdr:from>
    <xdr:to>
      <xdr:col>13</xdr:col>
      <xdr:colOff>19050</xdr:colOff>
      <xdr:row>153</xdr:row>
      <xdr:rowOff>19050</xdr:rowOff>
    </xdr:to>
    <xdr:sp macro="" textlink="">
      <xdr:nvSpPr>
        <xdr:cNvPr id="1461" name="Rectangle 108"/>
        <xdr:cNvSpPr>
          <a:spLocks noChangeArrowheads="1"/>
        </xdr:cNvSpPr>
      </xdr:nvSpPr>
      <xdr:spPr bwMode="auto">
        <a:xfrm>
          <a:off x="11353800" y="139931775"/>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156</xdr:row>
      <xdr:rowOff>0</xdr:rowOff>
    </xdr:from>
    <xdr:to>
      <xdr:col>13</xdr:col>
      <xdr:colOff>19050</xdr:colOff>
      <xdr:row>156</xdr:row>
      <xdr:rowOff>9525</xdr:rowOff>
    </xdr:to>
    <xdr:sp macro="" textlink="">
      <xdr:nvSpPr>
        <xdr:cNvPr id="1462" name="Rectangle 109"/>
        <xdr:cNvSpPr>
          <a:spLocks noChangeArrowheads="1"/>
        </xdr:cNvSpPr>
      </xdr:nvSpPr>
      <xdr:spPr bwMode="auto">
        <a:xfrm>
          <a:off x="11353800" y="1414462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157</xdr:row>
      <xdr:rowOff>0</xdr:rowOff>
    </xdr:from>
    <xdr:to>
      <xdr:col>13</xdr:col>
      <xdr:colOff>19050</xdr:colOff>
      <xdr:row>157</xdr:row>
      <xdr:rowOff>9525</xdr:rowOff>
    </xdr:to>
    <xdr:sp macro="" textlink="">
      <xdr:nvSpPr>
        <xdr:cNvPr id="1463" name="Rectangle 110"/>
        <xdr:cNvSpPr>
          <a:spLocks noChangeArrowheads="1"/>
        </xdr:cNvSpPr>
      </xdr:nvSpPr>
      <xdr:spPr bwMode="auto">
        <a:xfrm>
          <a:off x="11353800" y="142665450"/>
          <a:ext cx="9525" cy="9525"/>
        </a:xfrm>
        <a:prstGeom prst="rect">
          <a:avLst/>
        </a:prstGeom>
        <a:solidFill>
          <a:srgbClr xmlns:mc="http://schemas.openxmlformats.org/markup-compatibility/2006" xmlns:a14="http://schemas.microsoft.com/office/drawing/2010/main" val="000000" mc:Ignorable="a14" a14:legacySpreadsheetColorIndex="64">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13</xdr:col>
      <xdr:colOff>9525</xdr:colOff>
      <xdr:row>9</xdr:row>
      <xdr:rowOff>28575</xdr:rowOff>
    </xdr:from>
    <xdr:to>
      <xdr:col>13</xdr:col>
      <xdr:colOff>885825</xdr:colOff>
      <xdr:row>9</xdr:row>
      <xdr:rowOff>1209675</xdr:rowOff>
    </xdr:to>
    <xdr:pic>
      <xdr:nvPicPr>
        <xdr:cNvPr id="1464" name="Изображение 1" descr="resizeПП-002846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53800" y="3333750"/>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11</xdr:row>
      <xdr:rowOff>28575</xdr:rowOff>
    </xdr:from>
    <xdr:to>
      <xdr:col>13</xdr:col>
      <xdr:colOff>1190625</xdr:colOff>
      <xdr:row>11</xdr:row>
      <xdr:rowOff>904875</xdr:rowOff>
    </xdr:to>
    <xdr:pic>
      <xdr:nvPicPr>
        <xdr:cNvPr id="1465" name="Изображение 2" descr="resizeПП-0028116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53800" y="4705350"/>
          <a:ext cx="11811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14</xdr:row>
      <xdr:rowOff>28575</xdr:rowOff>
    </xdr:from>
    <xdr:to>
      <xdr:col>13</xdr:col>
      <xdr:colOff>885825</xdr:colOff>
      <xdr:row>14</xdr:row>
      <xdr:rowOff>1209675</xdr:rowOff>
    </xdr:to>
    <xdr:pic>
      <xdr:nvPicPr>
        <xdr:cNvPr id="1466" name="Изображение 3" descr="resizeПП-0023786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353800" y="62769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15</xdr:row>
      <xdr:rowOff>28575</xdr:rowOff>
    </xdr:from>
    <xdr:to>
      <xdr:col>13</xdr:col>
      <xdr:colOff>885825</xdr:colOff>
      <xdr:row>15</xdr:row>
      <xdr:rowOff>1209675</xdr:rowOff>
    </xdr:to>
    <xdr:pic>
      <xdr:nvPicPr>
        <xdr:cNvPr id="1467" name="Изображение 4" descr="resizeПП-00280972"/>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353800" y="74961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16</xdr:row>
      <xdr:rowOff>28575</xdr:rowOff>
    </xdr:from>
    <xdr:to>
      <xdr:col>13</xdr:col>
      <xdr:colOff>885825</xdr:colOff>
      <xdr:row>16</xdr:row>
      <xdr:rowOff>1209675</xdr:rowOff>
    </xdr:to>
    <xdr:pic>
      <xdr:nvPicPr>
        <xdr:cNvPr id="1468" name="Изображение 5" descr="resizeПП-00194020"/>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1353800" y="87153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17</xdr:row>
      <xdr:rowOff>28575</xdr:rowOff>
    </xdr:from>
    <xdr:to>
      <xdr:col>13</xdr:col>
      <xdr:colOff>885825</xdr:colOff>
      <xdr:row>17</xdr:row>
      <xdr:rowOff>1209675</xdr:rowOff>
    </xdr:to>
    <xdr:pic>
      <xdr:nvPicPr>
        <xdr:cNvPr id="1469" name="Изображение 6" descr="resizeПП-00280973"/>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1353800" y="99345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18</xdr:row>
      <xdr:rowOff>28575</xdr:rowOff>
    </xdr:from>
    <xdr:to>
      <xdr:col>13</xdr:col>
      <xdr:colOff>885825</xdr:colOff>
      <xdr:row>18</xdr:row>
      <xdr:rowOff>1209675</xdr:rowOff>
    </xdr:to>
    <xdr:pic>
      <xdr:nvPicPr>
        <xdr:cNvPr id="1470" name="Изображение 7" descr="resizeПП-00065434"/>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1353800" y="111537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19</xdr:row>
      <xdr:rowOff>28575</xdr:rowOff>
    </xdr:from>
    <xdr:to>
      <xdr:col>13</xdr:col>
      <xdr:colOff>885825</xdr:colOff>
      <xdr:row>19</xdr:row>
      <xdr:rowOff>1209675</xdr:rowOff>
    </xdr:to>
    <xdr:pic>
      <xdr:nvPicPr>
        <xdr:cNvPr id="1471" name="Изображение 8" descr="resizeПП-00171758"/>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1353800" y="123729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20</xdr:row>
      <xdr:rowOff>28575</xdr:rowOff>
    </xdr:from>
    <xdr:to>
      <xdr:col>13</xdr:col>
      <xdr:colOff>885825</xdr:colOff>
      <xdr:row>20</xdr:row>
      <xdr:rowOff>1209675</xdr:rowOff>
    </xdr:to>
    <xdr:pic>
      <xdr:nvPicPr>
        <xdr:cNvPr id="1472" name="Изображение 9" descr="resizeПП-00280974"/>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1353800" y="135921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21</xdr:row>
      <xdr:rowOff>28575</xdr:rowOff>
    </xdr:from>
    <xdr:to>
      <xdr:col>13</xdr:col>
      <xdr:colOff>885825</xdr:colOff>
      <xdr:row>21</xdr:row>
      <xdr:rowOff>1209675</xdr:rowOff>
    </xdr:to>
    <xdr:pic>
      <xdr:nvPicPr>
        <xdr:cNvPr id="1473" name="Изображение 10" descr="resizeПП-0028097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1353800" y="148113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23</xdr:row>
      <xdr:rowOff>28575</xdr:rowOff>
    </xdr:from>
    <xdr:to>
      <xdr:col>13</xdr:col>
      <xdr:colOff>885825</xdr:colOff>
      <xdr:row>23</xdr:row>
      <xdr:rowOff>1209675</xdr:rowOff>
    </xdr:to>
    <xdr:pic>
      <xdr:nvPicPr>
        <xdr:cNvPr id="1474" name="Изображение 11" descr="resizeПП-00024429"/>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353800" y="161829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24</xdr:row>
      <xdr:rowOff>28575</xdr:rowOff>
    </xdr:from>
    <xdr:to>
      <xdr:col>13</xdr:col>
      <xdr:colOff>885825</xdr:colOff>
      <xdr:row>24</xdr:row>
      <xdr:rowOff>1209675</xdr:rowOff>
    </xdr:to>
    <xdr:pic>
      <xdr:nvPicPr>
        <xdr:cNvPr id="1475" name="Изображение 12" descr="resizeПП-00068421"/>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1353800" y="174021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25</xdr:row>
      <xdr:rowOff>28575</xdr:rowOff>
    </xdr:from>
    <xdr:to>
      <xdr:col>13</xdr:col>
      <xdr:colOff>847725</xdr:colOff>
      <xdr:row>25</xdr:row>
      <xdr:rowOff>1209675</xdr:rowOff>
    </xdr:to>
    <xdr:pic>
      <xdr:nvPicPr>
        <xdr:cNvPr id="1476" name="Изображение 13" descr="resizeПП-00113899"/>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1353800" y="18621375"/>
          <a:ext cx="8382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26</xdr:row>
      <xdr:rowOff>28575</xdr:rowOff>
    </xdr:from>
    <xdr:to>
      <xdr:col>13</xdr:col>
      <xdr:colOff>885825</xdr:colOff>
      <xdr:row>26</xdr:row>
      <xdr:rowOff>1209675</xdr:rowOff>
    </xdr:to>
    <xdr:pic>
      <xdr:nvPicPr>
        <xdr:cNvPr id="1477" name="Изображение 14" descr="resizeПП-00029289"/>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1353800" y="198405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27</xdr:row>
      <xdr:rowOff>28575</xdr:rowOff>
    </xdr:from>
    <xdr:to>
      <xdr:col>13</xdr:col>
      <xdr:colOff>885825</xdr:colOff>
      <xdr:row>27</xdr:row>
      <xdr:rowOff>1209675</xdr:rowOff>
    </xdr:to>
    <xdr:pic>
      <xdr:nvPicPr>
        <xdr:cNvPr id="1478" name="Изображение 15" descr="resizeПП-00024447"/>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1353800" y="210597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28</xdr:row>
      <xdr:rowOff>28575</xdr:rowOff>
    </xdr:from>
    <xdr:to>
      <xdr:col>13</xdr:col>
      <xdr:colOff>885825</xdr:colOff>
      <xdr:row>28</xdr:row>
      <xdr:rowOff>1209675</xdr:rowOff>
    </xdr:to>
    <xdr:pic>
      <xdr:nvPicPr>
        <xdr:cNvPr id="1479" name="Изображение 16" descr="resizeПП-00024437"/>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1353800" y="222789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30</xdr:row>
      <xdr:rowOff>28575</xdr:rowOff>
    </xdr:from>
    <xdr:to>
      <xdr:col>13</xdr:col>
      <xdr:colOff>885825</xdr:colOff>
      <xdr:row>30</xdr:row>
      <xdr:rowOff>1209675</xdr:rowOff>
    </xdr:to>
    <xdr:pic>
      <xdr:nvPicPr>
        <xdr:cNvPr id="1480" name="Изображение 17" descr="resizeПП-00165165"/>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1353800" y="236505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31</xdr:row>
      <xdr:rowOff>28575</xdr:rowOff>
    </xdr:from>
    <xdr:to>
      <xdr:col>13</xdr:col>
      <xdr:colOff>885825</xdr:colOff>
      <xdr:row>31</xdr:row>
      <xdr:rowOff>1209675</xdr:rowOff>
    </xdr:to>
    <xdr:pic>
      <xdr:nvPicPr>
        <xdr:cNvPr id="1481" name="Изображение 18" descr="resizeПП-00194028"/>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1353800" y="248697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32</xdr:row>
      <xdr:rowOff>28575</xdr:rowOff>
    </xdr:from>
    <xdr:to>
      <xdr:col>13</xdr:col>
      <xdr:colOff>885825</xdr:colOff>
      <xdr:row>32</xdr:row>
      <xdr:rowOff>1209675</xdr:rowOff>
    </xdr:to>
    <xdr:pic>
      <xdr:nvPicPr>
        <xdr:cNvPr id="1482" name="Изображение 19" descr="resizeПП-00165168"/>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1353800" y="260889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33</xdr:row>
      <xdr:rowOff>28575</xdr:rowOff>
    </xdr:from>
    <xdr:to>
      <xdr:col>13</xdr:col>
      <xdr:colOff>885825</xdr:colOff>
      <xdr:row>33</xdr:row>
      <xdr:rowOff>1209675</xdr:rowOff>
    </xdr:to>
    <xdr:pic>
      <xdr:nvPicPr>
        <xdr:cNvPr id="1483" name="Изображение 20" descr="resizeПП-00165167"/>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1353800" y="273081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34</xdr:row>
      <xdr:rowOff>28575</xdr:rowOff>
    </xdr:from>
    <xdr:to>
      <xdr:col>13</xdr:col>
      <xdr:colOff>885825</xdr:colOff>
      <xdr:row>34</xdr:row>
      <xdr:rowOff>1209675</xdr:rowOff>
    </xdr:to>
    <xdr:pic>
      <xdr:nvPicPr>
        <xdr:cNvPr id="1484" name="Изображение 21" descr="resizeПП-00237857"/>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1353800" y="285273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35</xdr:row>
      <xdr:rowOff>28575</xdr:rowOff>
    </xdr:from>
    <xdr:to>
      <xdr:col>13</xdr:col>
      <xdr:colOff>885825</xdr:colOff>
      <xdr:row>35</xdr:row>
      <xdr:rowOff>1209675</xdr:rowOff>
    </xdr:to>
    <xdr:pic>
      <xdr:nvPicPr>
        <xdr:cNvPr id="1485" name="Изображение 22" descr="resizeПП-00280977"/>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1353800" y="297465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37</xdr:row>
      <xdr:rowOff>28575</xdr:rowOff>
    </xdr:from>
    <xdr:to>
      <xdr:col>13</xdr:col>
      <xdr:colOff>885825</xdr:colOff>
      <xdr:row>37</xdr:row>
      <xdr:rowOff>1209675</xdr:rowOff>
    </xdr:to>
    <xdr:pic>
      <xdr:nvPicPr>
        <xdr:cNvPr id="1486" name="Изображение 23" descr="resizeПП-00213717"/>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1353800" y="311181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38</xdr:row>
      <xdr:rowOff>28575</xdr:rowOff>
    </xdr:from>
    <xdr:to>
      <xdr:col>13</xdr:col>
      <xdr:colOff>885825</xdr:colOff>
      <xdr:row>38</xdr:row>
      <xdr:rowOff>1209675</xdr:rowOff>
    </xdr:to>
    <xdr:pic>
      <xdr:nvPicPr>
        <xdr:cNvPr id="1487" name="Изображение 24" descr="resizeПП-00280132"/>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1353800" y="323373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39</xdr:row>
      <xdr:rowOff>28575</xdr:rowOff>
    </xdr:from>
    <xdr:to>
      <xdr:col>13</xdr:col>
      <xdr:colOff>885825</xdr:colOff>
      <xdr:row>39</xdr:row>
      <xdr:rowOff>1209675</xdr:rowOff>
    </xdr:to>
    <xdr:pic>
      <xdr:nvPicPr>
        <xdr:cNvPr id="1488" name="Изображение 25" descr="resizeПП-00213355"/>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11353800" y="335565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40</xdr:row>
      <xdr:rowOff>28575</xdr:rowOff>
    </xdr:from>
    <xdr:to>
      <xdr:col>13</xdr:col>
      <xdr:colOff>885825</xdr:colOff>
      <xdr:row>40</xdr:row>
      <xdr:rowOff>1209675</xdr:rowOff>
    </xdr:to>
    <xdr:pic>
      <xdr:nvPicPr>
        <xdr:cNvPr id="1489" name="Изображение 26" descr="resizeПП-00261165"/>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1353800" y="347757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41</xdr:row>
      <xdr:rowOff>28575</xdr:rowOff>
    </xdr:from>
    <xdr:to>
      <xdr:col>13</xdr:col>
      <xdr:colOff>885825</xdr:colOff>
      <xdr:row>41</xdr:row>
      <xdr:rowOff>1209675</xdr:rowOff>
    </xdr:to>
    <xdr:pic>
      <xdr:nvPicPr>
        <xdr:cNvPr id="1490" name="Изображение 27" descr="resizeПП-00214477"/>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11353800" y="359949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42</xdr:row>
      <xdr:rowOff>28575</xdr:rowOff>
    </xdr:from>
    <xdr:to>
      <xdr:col>13</xdr:col>
      <xdr:colOff>885825</xdr:colOff>
      <xdr:row>42</xdr:row>
      <xdr:rowOff>1209675</xdr:rowOff>
    </xdr:to>
    <xdr:pic>
      <xdr:nvPicPr>
        <xdr:cNvPr id="1491" name="Изображение 28" descr="resizeПП-00281711"/>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1353800" y="372141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43</xdr:row>
      <xdr:rowOff>28575</xdr:rowOff>
    </xdr:from>
    <xdr:to>
      <xdr:col>13</xdr:col>
      <xdr:colOff>885825</xdr:colOff>
      <xdr:row>43</xdr:row>
      <xdr:rowOff>1209675</xdr:rowOff>
    </xdr:to>
    <xdr:pic>
      <xdr:nvPicPr>
        <xdr:cNvPr id="1492" name="Изображение 29" descr="resizeПП-00167097"/>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1353800" y="384333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44</xdr:row>
      <xdr:rowOff>28575</xdr:rowOff>
    </xdr:from>
    <xdr:to>
      <xdr:col>13</xdr:col>
      <xdr:colOff>981075</xdr:colOff>
      <xdr:row>44</xdr:row>
      <xdr:rowOff>1209675</xdr:rowOff>
    </xdr:to>
    <xdr:pic>
      <xdr:nvPicPr>
        <xdr:cNvPr id="1493" name="Изображение 30" descr="resizeПП-00110562"/>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1353800" y="39652575"/>
          <a:ext cx="9715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45</xdr:row>
      <xdr:rowOff>28575</xdr:rowOff>
    </xdr:from>
    <xdr:to>
      <xdr:col>13</xdr:col>
      <xdr:colOff>885825</xdr:colOff>
      <xdr:row>45</xdr:row>
      <xdr:rowOff>1209675</xdr:rowOff>
    </xdr:to>
    <xdr:pic>
      <xdr:nvPicPr>
        <xdr:cNvPr id="1494" name="Изображение 31" descr="resizeПП-00136916"/>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11353800" y="408717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46</xdr:row>
      <xdr:rowOff>28575</xdr:rowOff>
    </xdr:from>
    <xdr:to>
      <xdr:col>13</xdr:col>
      <xdr:colOff>885825</xdr:colOff>
      <xdr:row>46</xdr:row>
      <xdr:rowOff>1209675</xdr:rowOff>
    </xdr:to>
    <xdr:pic>
      <xdr:nvPicPr>
        <xdr:cNvPr id="1495" name="Изображение 32" descr="resizeПП-00233196"/>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11353800" y="420909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47</xdr:row>
      <xdr:rowOff>28575</xdr:rowOff>
    </xdr:from>
    <xdr:to>
      <xdr:col>13</xdr:col>
      <xdr:colOff>885825</xdr:colOff>
      <xdr:row>47</xdr:row>
      <xdr:rowOff>1209675</xdr:rowOff>
    </xdr:to>
    <xdr:pic>
      <xdr:nvPicPr>
        <xdr:cNvPr id="1496" name="Изображение 33" descr="resizeПП-00233221"/>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11353800" y="433101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48</xdr:row>
      <xdr:rowOff>28575</xdr:rowOff>
    </xdr:from>
    <xdr:to>
      <xdr:col>13</xdr:col>
      <xdr:colOff>885825</xdr:colOff>
      <xdr:row>48</xdr:row>
      <xdr:rowOff>1209675</xdr:rowOff>
    </xdr:to>
    <xdr:pic>
      <xdr:nvPicPr>
        <xdr:cNvPr id="1497" name="Изображение 34" descr="resizeПП-00280136"/>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11353800" y="445293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50</xdr:row>
      <xdr:rowOff>28575</xdr:rowOff>
    </xdr:from>
    <xdr:to>
      <xdr:col>13</xdr:col>
      <xdr:colOff>885825</xdr:colOff>
      <xdr:row>50</xdr:row>
      <xdr:rowOff>1209675</xdr:rowOff>
    </xdr:to>
    <xdr:pic>
      <xdr:nvPicPr>
        <xdr:cNvPr id="1498" name="Изображение 35" descr="resizeПП-00190558"/>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11353800" y="459009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51</xdr:row>
      <xdr:rowOff>28575</xdr:rowOff>
    </xdr:from>
    <xdr:to>
      <xdr:col>13</xdr:col>
      <xdr:colOff>1190625</xdr:colOff>
      <xdr:row>51</xdr:row>
      <xdr:rowOff>904875</xdr:rowOff>
    </xdr:to>
    <xdr:pic>
      <xdr:nvPicPr>
        <xdr:cNvPr id="1499" name="Изображение 36" descr="resizeПП-00238479"/>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11353800" y="47120175"/>
          <a:ext cx="11811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52</xdr:row>
      <xdr:rowOff>28575</xdr:rowOff>
    </xdr:from>
    <xdr:to>
      <xdr:col>13</xdr:col>
      <xdr:colOff>1190625</xdr:colOff>
      <xdr:row>52</xdr:row>
      <xdr:rowOff>904875</xdr:rowOff>
    </xdr:to>
    <xdr:pic>
      <xdr:nvPicPr>
        <xdr:cNvPr id="1500" name="Изображение 37" descr="resizeПП-00238480"/>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11353800" y="48339375"/>
          <a:ext cx="11811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53</xdr:row>
      <xdr:rowOff>28575</xdr:rowOff>
    </xdr:from>
    <xdr:to>
      <xdr:col>13</xdr:col>
      <xdr:colOff>885825</xdr:colOff>
      <xdr:row>53</xdr:row>
      <xdr:rowOff>1209675</xdr:rowOff>
    </xdr:to>
    <xdr:pic>
      <xdr:nvPicPr>
        <xdr:cNvPr id="1501" name="Изображение 38" descr="resizeПП-00085926"/>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11353800" y="495585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54</xdr:row>
      <xdr:rowOff>28575</xdr:rowOff>
    </xdr:from>
    <xdr:to>
      <xdr:col>13</xdr:col>
      <xdr:colOff>885825</xdr:colOff>
      <xdr:row>54</xdr:row>
      <xdr:rowOff>1209675</xdr:rowOff>
    </xdr:to>
    <xdr:pic>
      <xdr:nvPicPr>
        <xdr:cNvPr id="1502" name="Изображение 39" descr="resizeПП-00240136"/>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11353800" y="507777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55</xdr:row>
      <xdr:rowOff>28575</xdr:rowOff>
    </xdr:from>
    <xdr:to>
      <xdr:col>13</xdr:col>
      <xdr:colOff>885825</xdr:colOff>
      <xdr:row>55</xdr:row>
      <xdr:rowOff>1209675</xdr:rowOff>
    </xdr:to>
    <xdr:pic>
      <xdr:nvPicPr>
        <xdr:cNvPr id="1503" name="Изображение 40" descr="resizeПП-00113395"/>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11353800" y="519969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56</xdr:row>
      <xdr:rowOff>28575</xdr:rowOff>
    </xdr:from>
    <xdr:to>
      <xdr:col>13</xdr:col>
      <xdr:colOff>885825</xdr:colOff>
      <xdr:row>56</xdr:row>
      <xdr:rowOff>1209675</xdr:rowOff>
    </xdr:to>
    <xdr:pic>
      <xdr:nvPicPr>
        <xdr:cNvPr id="1504" name="Изображение 41" descr="resizeПП-00280988"/>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11353800" y="532161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57</xdr:row>
      <xdr:rowOff>28575</xdr:rowOff>
    </xdr:from>
    <xdr:to>
      <xdr:col>13</xdr:col>
      <xdr:colOff>885825</xdr:colOff>
      <xdr:row>57</xdr:row>
      <xdr:rowOff>1209675</xdr:rowOff>
    </xdr:to>
    <xdr:pic>
      <xdr:nvPicPr>
        <xdr:cNvPr id="1505" name="Изображение 42" descr="resizeПП-00166941"/>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11353800" y="5443537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58</xdr:row>
      <xdr:rowOff>28575</xdr:rowOff>
    </xdr:from>
    <xdr:to>
      <xdr:col>13</xdr:col>
      <xdr:colOff>1190625</xdr:colOff>
      <xdr:row>58</xdr:row>
      <xdr:rowOff>904875</xdr:rowOff>
    </xdr:to>
    <xdr:pic>
      <xdr:nvPicPr>
        <xdr:cNvPr id="1506" name="Изображение 43" descr="resizeПП-00238442"/>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11353800" y="55654575"/>
          <a:ext cx="11811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60</xdr:row>
      <xdr:rowOff>28575</xdr:rowOff>
    </xdr:from>
    <xdr:to>
      <xdr:col>13</xdr:col>
      <xdr:colOff>885825</xdr:colOff>
      <xdr:row>60</xdr:row>
      <xdr:rowOff>1209675</xdr:rowOff>
    </xdr:to>
    <xdr:pic>
      <xdr:nvPicPr>
        <xdr:cNvPr id="1507" name="Изображение 44" descr="resizeПП-00235086"/>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11353800" y="57169050"/>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61</xdr:row>
      <xdr:rowOff>28575</xdr:rowOff>
    </xdr:from>
    <xdr:to>
      <xdr:col>13</xdr:col>
      <xdr:colOff>885825</xdr:colOff>
      <xdr:row>61</xdr:row>
      <xdr:rowOff>1209675</xdr:rowOff>
    </xdr:to>
    <xdr:pic>
      <xdr:nvPicPr>
        <xdr:cNvPr id="1508" name="Изображение 45" descr="resizeПП-00235082"/>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11353800" y="58388250"/>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62</xdr:row>
      <xdr:rowOff>28575</xdr:rowOff>
    </xdr:from>
    <xdr:to>
      <xdr:col>13</xdr:col>
      <xdr:colOff>885825</xdr:colOff>
      <xdr:row>62</xdr:row>
      <xdr:rowOff>1209675</xdr:rowOff>
    </xdr:to>
    <xdr:pic>
      <xdr:nvPicPr>
        <xdr:cNvPr id="1509" name="Изображение 46" descr="resizeПП-00235083"/>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11353800" y="59607450"/>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63</xdr:row>
      <xdr:rowOff>28575</xdr:rowOff>
    </xdr:from>
    <xdr:to>
      <xdr:col>13</xdr:col>
      <xdr:colOff>885825</xdr:colOff>
      <xdr:row>63</xdr:row>
      <xdr:rowOff>1209675</xdr:rowOff>
    </xdr:to>
    <xdr:pic>
      <xdr:nvPicPr>
        <xdr:cNvPr id="1510" name="Изображение 47" descr="resizeПП-00235085"/>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11353800" y="60826650"/>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65</xdr:row>
      <xdr:rowOff>28575</xdr:rowOff>
    </xdr:from>
    <xdr:to>
      <xdr:col>13</xdr:col>
      <xdr:colOff>885825</xdr:colOff>
      <xdr:row>65</xdr:row>
      <xdr:rowOff>1209675</xdr:rowOff>
    </xdr:to>
    <xdr:pic>
      <xdr:nvPicPr>
        <xdr:cNvPr id="1511" name="Изображение 48" descr="resizeПП-00281720"/>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11353800" y="623411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66</xdr:row>
      <xdr:rowOff>28575</xdr:rowOff>
    </xdr:from>
    <xdr:to>
      <xdr:col>13</xdr:col>
      <xdr:colOff>885825</xdr:colOff>
      <xdr:row>66</xdr:row>
      <xdr:rowOff>1209675</xdr:rowOff>
    </xdr:to>
    <xdr:pic>
      <xdr:nvPicPr>
        <xdr:cNvPr id="1512" name="Изображение 49" descr="resizeПП-00281721"/>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11353800" y="635603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67</xdr:row>
      <xdr:rowOff>28575</xdr:rowOff>
    </xdr:from>
    <xdr:to>
      <xdr:col>13</xdr:col>
      <xdr:colOff>885825</xdr:colOff>
      <xdr:row>67</xdr:row>
      <xdr:rowOff>1209675</xdr:rowOff>
    </xdr:to>
    <xdr:pic>
      <xdr:nvPicPr>
        <xdr:cNvPr id="1513" name="Изображение 50" descr="resizeПП-00281722"/>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11353800" y="647795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68</xdr:row>
      <xdr:rowOff>28575</xdr:rowOff>
    </xdr:from>
    <xdr:to>
      <xdr:col>13</xdr:col>
      <xdr:colOff>885825</xdr:colOff>
      <xdr:row>68</xdr:row>
      <xdr:rowOff>1209675</xdr:rowOff>
    </xdr:to>
    <xdr:pic>
      <xdr:nvPicPr>
        <xdr:cNvPr id="1514" name="Изображение 51" descr="resizeПП-00281723"/>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11353800" y="659987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69</xdr:row>
      <xdr:rowOff>28575</xdr:rowOff>
    </xdr:from>
    <xdr:to>
      <xdr:col>13</xdr:col>
      <xdr:colOff>885825</xdr:colOff>
      <xdr:row>69</xdr:row>
      <xdr:rowOff>1209675</xdr:rowOff>
    </xdr:to>
    <xdr:pic>
      <xdr:nvPicPr>
        <xdr:cNvPr id="1515" name="Изображение 52" descr="resizeПП-00281719"/>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11353800" y="672179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70</xdr:row>
      <xdr:rowOff>28575</xdr:rowOff>
    </xdr:from>
    <xdr:to>
      <xdr:col>13</xdr:col>
      <xdr:colOff>885825</xdr:colOff>
      <xdr:row>70</xdr:row>
      <xdr:rowOff>1209675</xdr:rowOff>
    </xdr:to>
    <xdr:pic>
      <xdr:nvPicPr>
        <xdr:cNvPr id="1516" name="Изображение 53" descr="resizeПП-00281724"/>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11353800" y="684371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72</xdr:row>
      <xdr:rowOff>28575</xdr:rowOff>
    </xdr:from>
    <xdr:to>
      <xdr:col>13</xdr:col>
      <xdr:colOff>885825</xdr:colOff>
      <xdr:row>72</xdr:row>
      <xdr:rowOff>1209675</xdr:rowOff>
    </xdr:to>
    <xdr:pic>
      <xdr:nvPicPr>
        <xdr:cNvPr id="1517" name="Изображение 54" descr="resizeПП-00108872"/>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11353800" y="698087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74</xdr:row>
      <xdr:rowOff>28575</xdr:rowOff>
    </xdr:from>
    <xdr:to>
      <xdr:col>13</xdr:col>
      <xdr:colOff>885825</xdr:colOff>
      <xdr:row>74</xdr:row>
      <xdr:rowOff>1209675</xdr:rowOff>
    </xdr:to>
    <xdr:pic>
      <xdr:nvPicPr>
        <xdr:cNvPr id="1518" name="Изображение 55" descr="resizeПП-00214476"/>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11353800" y="711803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75</xdr:row>
      <xdr:rowOff>28575</xdr:rowOff>
    </xdr:from>
    <xdr:to>
      <xdr:col>13</xdr:col>
      <xdr:colOff>885825</xdr:colOff>
      <xdr:row>75</xdr:row>
      <xdr:rowOff>1209675</xdr:rowOff>
    </xdr:to>
    <xdr:pic>
      <xdr:nvPicPr>
        <xdr:cNvPr id="1519" name="Изображение 56" descr="resizeПП-00171777"/>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11353800" y="723995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76</xdr:row>
      <xdr:rowOff>28575</xdr:rowOff>
    </xdr:from>
    <xdr:to>
      <xdr:col>13</xdr:col>
      <xdr:colOff>885825</xdr:colOff>
      <xdr:row>76</xdr:row>
      <xdr:rowOff>1209675</xdr:rowOff>
    </xdr:to>
    <xdr:pic>
      <xdr:nvPicPr>
        <xdr:cNvPr id="1520" name="Изображение 57" descr="resizeПП-00108870"/>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11353800" y="736187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77</xdr:row>
      <xdr:rowOff>28575</xdr:rowOff>
    </xdr:from>
    <xdr:to>
      <xdr:col>13</xdr:col>
      <xdr:colOff>885825</xdr:colOff>
      <xdr:row>77</xdr:row>
      <xdr:rowOff>1209675</xdr:rowOff>
    </xdr:to>
    <xdr:pic>
      <xdr:nvPicPr>
        <xdr:cNvPr id="1521" name="Изображение 58" descr="resizeПП-00194573"/>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11353800" y="748379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79</xdr:row>
      <xdr:rowOff>28575</xdr:rowOff>
    </xdr:from>
    <xdr:to>
      <xdr:col>13</xdr:col>
      <xdr:colOff>885825</xdr:colOff>
      <xdr:row>79</xdr:row>
      <xdr:rowOff>1209675</xdr:rowOff>
    </xdr:to>
    <xdr:pic>
      <xdr:nvPicPr>
        <xdr:cNvPr id="1522" name="Изображение 59" descr="resizeПП-00164965"/>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11353800" y="762095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80</xdr:row>
      <xdr:rowOff>28575</xdr:rowOff>
    </xdr:from>
    <xdr:to>
      <xdr:col>13</xdr:col>
      <xdr:colOff>885825</xdr:colOff>
      <xdr:row>80</xdr:row>
      <xdr:rowOff>1209675</xdr:rowOff>
    </xdr:to>
    <xdr:pic>
      <xdr:nvPicPr>
        <xdr:cNvPr id="1523" name="Изображение 60" descr="resizeПП-00164966"/>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1353800" y="774287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82</xdr:row>
      <xdr:rowOff>28575</xdr:rowOff>
    </xdr:from>
    <xdr:to>
      <xdr:col>13</xdr:col>
      <xdr:colOff>885825</xdr:colOff>
      <xdr:row>82</xdr:row>
      <xdr:rowOff>1209675</xdr:rowOff>
    </xdr:to>
    <xdr:pic>
      <xdr:nvPicPr>
        <xdr:cNvPr id="1524" name="Изображение 61" descr="resizeПП-00278103"/>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11353800" y="788003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83</xdr:row>
      <xdr:rowOff>28575</xdr:rowOff>
    </xdr:from>
    <xdr:to>
      <xdr:col>13</xdr:col>
      <xdr:colOff>885825</xdr:colOff>
      <xdr:row>83</xdr:row>
      <xdr:rowOff>1209675</xdr:rowOff>
    </xdr:to>
    <xdr:pic>
      <xdr:nvPicPr>
        <xdr:cNvPr id="1525" name="Изображение 62" descr="resizeПП-00278106"/>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11353800" y="800195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84</xdr:row>
      <xdr:rowOff>28575</xdr:rowOff>
    </xdr:from>
    <xdr:to>
      <xdr:col>13</xdr:col>
      <xdr:colOff>952500</xdr:colOff>
      <xdr:row>84</xdr:row>
      <xdr:rowOff>1209675</xdr:rowOff>
    </xdr:to>
    <xdr:pic>
      <xdr:nvPicPr>
        <xdr:cNvPr id="1526" name="Изображение 63" descr="resizeПП-00278109"/>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11353800" y="81238725"/>
          <a:ext cx="942975"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85</xdr:row>
      <xdr:rowOff>28575</xdr:rowOff>
    </xdr:from>
    <xdr:to>
      <xdr:col>13</xdr:col>
      <xdr:colOff>885825</xdr:colOff>
      <xdr:row>85</xdr:row>
      <xdr:rowOff>1209675</xdr:rowOff>
    </xdr:to>
    <xdr:pic>
      <xdr:nvPicPr>
        <xdr:cNvPr id="1527" name="Изображение 64" descr="resizeПП-00278104"/>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11353800" y="824579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87</xdr:row>
      <xdr:rowOff>28575</xdr:rowOff>
    </xdr:from>
    <xdr:to>
      <xdr:col>13</xdr:col>
      <xdr:colOff>885825</xdr:colOff>
      <xdr:row>87</xdr:row>
      <xdr:rowOff>1209675</xdr:rowOff>
    </xdr:to>
    <xdr:pic>
      <xdr:nvPicPr>
        <xdr:cNvPr id="1528" name="Изображение 65" descr="resizeПП-00213663"/>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1353800" y="838295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89</xdr:row>
      <xdr:rowOff>28575</xdr:rowOff>
    </xdr:from>
    <xdr:to>
      <xdr:col>13</xdr:col>
      <xdr:colOff>885825</xdr:colOff>
      <xdr:row>89</xdr:row>
      <xdr:rowOff>1209675</xdr:rowOff>
    </xdr:to>
    <xdr:pic>
      <xdr:nvPicPr>
        <xdr:cNvPr id="1529" name="Изображение 66" descr="resizeПП-00169771"/>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11353800" y="852011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91</xdr:row>
      <xdr:rowOff>28575</xdr:rowOff>
    </xdr:from>
    <xdr:to>
      <xdr:col>13</xdr:col>
      <xdr:colOff>885825</xdr:colOff>
      <xdr:row>91</xdr:row>
      <xdr:rowOff>1209675</xdr:rowOff>
    </xdr:to>
    <xdr:pic>
      <xdr:nvPicPr>
        <xdr:cNvPr id="1530" name="Изображение 67" descr="resizeПП-00277812"/>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11353800" y="865727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92</xdr:row>
      <xdr:rowOff>28575</xdr:rowOff>
    </xdr:from>
    <xdr:to>
      <xdr:col>13</xdr:col>
      <xdr:colOff>885825</xdr:colOff>
      <xdr:row>92</xdr:row>
      <xdr:rowOff>1209675</xdr:rowOff>
    </xdr:to>
    <xdr:pic>
      <xdr:nvPicPr>
        <xdr:cNvPr id="1531" name="Изображение 68" descr="resizeПП-00277813"/>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11353800" y="877919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94</xdr:row>
      <xdr:rowOff>28575</xdr:rowOff>
    </xdr:from>
    <xdr:to>
      <xdr:col>13</xdr:col>
      <xdr:colOff>885825</xdr:colOff>
      <xdr:row>94</xdr:row>
      <xdr:rowOff>1209675</xdr:rowOff>
    </xdr:to>
    <xdr:pic>
      <xdr:nvPicPr>
        <xdr:cNvPr id="1532" name="Изображение 69" descr="resizeПП-00195051"/>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11353800" y="891635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96</xdr:row>
      <xdr:rowOff>28575</xdr:rowOff>
    </xdr:from>
    <xdr:to>
      <xdr:col>13</xdr:col>
      <xdr:colOff>885825</xdr:colOff>
      <xdr:row>96</xdr:row>
      <xdr:rowOff>1209675</xdr:rowOff>
    </xdr:to>
    <xdr:pic>
      <xdr:nvPicPr>
        <xdr:cNvPr id="1533" name="Изображение 70" descr="resizeПП-00102958"/>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11353800" y="905351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98</xdr:row>
      <xdr:rowOff>28575</xdr:rowOff>
    </xdr:from>
    <xdr:to>
      <xdr:col>13</xdr:col>
      <xdr:colOff>885825</xdr:colOff>
      <xdr:row>98</xdr:row>
      <xdr:rowOff>1209675</xdr:rowOff>
    </xdr:to>
    <xdr:pic>
      <xdr:nvPicPr>
        <xdr:cNvPr id="1534" name="Изображение 71" descr="resizeПП-00236465"/>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11353800" y="919067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99</xdr:row>
      <xdr:rowOff>28575</xdr:rowOff>
    </xdr:from>
    <xdr:to>
      <xdr:col>13</xdr:col>
      <xdr:colOff>885825</xdr:colOff>
      <xdr:row>99</xdr:row>
      <xdr:rowOff>1209675</xdr:rowOff>
    </xdr:to>
    <xdr:pic>
      <xdr:nvPicPr>
        <xdr:cNvPr id="1535" name="Изображение 72" descr="resizeПП-00236466"/>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11353800" y="931259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101</xdr:row>
      <xdr:rowOff>28575</xdr:rowOff>
    </xdr:from>
    <xdr:to>
      <xdr:col>13</xdr:col>
      <xdr:colOff>885825</xdr:colOff>
      <xdr:row>101</xdr:row>
      <xdr:rowOff>1209675</xdr:rowOff>
    </xdr:to>
    <xdr:pic>
      <xdr:nvPicPr>
        <xdr:cNvPr id="1536" name="Изображение 73" descr="resizeПП-00165052"/>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11353800" y="944975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102</xdr:row>
      <xdr:rowOff>28575</xdr:rowOff>
    </xdr:from>
    <xdr:to>
      <xdr:col>13</xdr:col>
      <xdr:colOff>885825</xdr:colOff>
      <xdr:row>102</xdr:row>
      <xdr:rowOff>1209675</xdr:rowOff>
    </xdr:to>
    <xdr:pic>
      <xdr:nvPicPr>
        <xdr:cNvPr id="1537" name="Изображение 74" descr="resizeПП-00165050"/>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11353800" y="957167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104</xdr:row>
      <xdr:rowOff>28575</xdr:rowOff>
    </xdr:from>
    <xdr:to>
      <xdr:col>13</xdr:col>
      <xdr:colOff>885825</xdr:colOff>
      <xdr:row>104</xdr:row>
      <xdr:rowOff>1209675</xdr:rowOff>
    </xdr:to>
    <xdr:pic>
      <xdr:nvPicPr>
        <xdr:cNvPr id="1538" name="Изображение 75" descr="resizeПП-00178317"/>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11353800" y="970883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106</xdr:row>
      <xdr:rowOff>28575</xdr:rowOff>
    </xdr:from>
    <xdr:to>
      <xdr:col>13</xdr:col>
      <xdr:colOff>885825</xdr:colOff>
      <xdr:row>106</xdr:row>
      <xdr:rowOff>1209675</xdr:rowOff>
    </xdr:to>
    <xdr:pic>
      <xdr:nvPicPr>
        <xdr:cNvPr id="1539" name="Изображение 76" descr="resizeПП-00260249"/>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11353800" y="984599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107</xdr:row>
      <xdr:rowOff>28575</xdr:rowOff>
    </xdr:from>
    <xdr:to>
      <xdr:col>13</xdr:col>
      <xdr:colOff>885825</xdr:colOff>
      <xdr:row>107</xdr:row>
      <xdr:rowOff>1209675</xdr:rowOff>
    </xdr:to>
    <xdr:pic>
      <xdr:nvPicPr>
        <xdr:cNvPr id="1540" name="Изображение 77" descr="resizeПП-00171277"/>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11353800" y="996791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108</xdr:row>
      <xdr:rowOff>28575</xdr:rowOff>
    </xdr:from>
    <xdr:to>
      <xdr:col>13</xdr:col>
      <xdr:colOff>885825</xdr:colOff>
      <xdr:row>108</xdr:row>
      <xdr:rowOff>1209675</xdr:rowOff>
    </xdr:to>
    <xdr:pic>
      <xdr:nvPicPr>
        <xdr:cNvPr id="1541" name="Изображение 78" descr="resizeПП-00258279"/>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11353800" y="1008983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109</xdr:row>
      <xdr:rowOff>28575</xdr:rowOff>
    </xdr:from>
    <xdr:to>
      <xdr:col>13</xdr:col>
      <xdr:colOff>885825</xdr:colOff>
      <xdr:row>109</xdr:row>
      <xdr:rowOff>1209675</xdr:rowOff>
    </xdr:to>
    <xdr:pic>
      <xdr:nvPicPr>
        <xdr:cNvPr id="1542" name="Изображение 79" descr="resizeПП-00171279"/>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11353800" y="1021175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111</xdr:row>
      <xdr:rowOff>28575</xdr:rowOff>
    </xdr:from>
    <xdr:to>
      <xdr:col>13</xdr:col>
      <xdr:colOff>885825</xdr:colOff>
      <xdr:row>111</xdr:row>
      <xdr:rowOff>1209675</xdr:rowOff>
    </xdr:to>
    <xdr:pic>
      <xdr:nvPicPr>
        <xdr:cNvPr id="1543" name="Изображение 80" descr="resizeПП-00281707"/>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11353800" y="1034891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112</xdr:row>
      <xdr:rowOff>28575</xdr:rowOff>
    </xdr:from>
    <xdr:to>
      <xdr:col>13</xdr:col>
      <xdr:colOff>885825</xdr:colOff>
      <xdr:row>112</xdr:row>
      <xdr:rowOff>1209675</xdr:rowOff>
    </xdr:to>
    <xdr:pic>
      <xdr:nvPicPr>
        <xdr:cNvPr id="1544" name="Изображение 81" descr="resizeПП-00281709"/>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11353800" y="1047083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113</xdr:row>
      <xdr:rowOff>28575</xdr:rowOff>
    </xdr:from>
    <xdr:to>
      <xdr:col>13</xdr:col>
      <xdr:colOff>885825</xdr:colOff>
      <xdr:row>113</xdr:row>
      <xdr:rowOff>1209675</xdr:rowOff>
    </xdr:to>
    <xdr:pic>
      <xdr:nvPicPr>
        <xdr:cNvPr id="1545" name="Изображение 82" descr="resizeПП-00281712"/>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11353800" y="1059275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114</xdr:row>
      <xdr:rowOff>28575</xdr:rowOff>
    </xdr:from>
    <xdr:to>
      <xdr:col>13</xdr:col>
      <xdr:colOff>885825</xdr:colOff>
      <xdr:row>114</xdr:row>
      <xdr:rowOff>1209675</xdr:rowOff>
    </xdr:to>
    <xdr:pic>
      <xdr:nvPicPr>
        <xdr:cNvPr id="1546" name="Изображение 83" descr="resizeПП-00281710"/>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11353800" y="1071467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116</xdr:row>
      <xdr:rowOff>28575</xdr:rowOff>
    </xdr:from>
    <xdr:to>
      <xdr:col>13</xdr:col>
      <xdr:colOff>885825</xdr:colOff>
      <xdr:row>116</xdr:row>
      <xdr:rowOff>1209675</xdr:rowOff>
    </xdr:to>
    <xdr:pic>
      <xdr:nvPicPr>
        <xdr:cNvPr id="1547" name="Изображение 84" descr="resizeПП-00280159"/>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11353800" y="1085183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117</xdr:row>
      <xdr:rowOff>28575</xdr:rowOff>
    </xdr:from>
    <xdr:to>
      <xdr:col>13</xdr:col>
      <xdr:colOff>885825</xdr:colOff>
      <xdr:row>117</xdr:row>
      <xdr:rowOff>1209675</xdr:rowOff>
    </xdr:to>
    <xdr:pic>
      <xdr:nvPicPr>
        <xdr:cNvPr id="1548" name="Изображение 85" descr="resizeПП-00278116"/>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11353800" y="1097375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118</xdr:row>
      <xdr:rowOff>28575</xdr:rowOff>
    </xdr:from>
    <xdr:to>
      <xdr:col>13</xdr:col>
      <xdr:colOff>885825</xdr:colOff>
      <xdr:row>118</xdr:row>
      <xdr:rowOff>1209675</xdr:rowOff>
    </xdr:to>
    <xdr:pic>
      <xdr:nvPicPr>
        <xdr:cNvPr id="1549" name="Изображение 86" descr="resizeПП-00278115"/>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11353800" y="1109567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119</xdr:row>
      <xdr:rowOff>28575</xdr:rowOff>
    </xdr:from>
    <xdr:to>
      <xdr:col>13</xdr:col>
      <xdr:colOff>885825</xdr:colOff>
      <xdr:row>119</xdr:row>
      <xdr:rowOff>1209675</xdr:rowOff>
    </xdr:to>
    <xdr:pic>
      <xdr:nvPicPr>
        <xdr:cNvPr id="1550" name="Изображение 87" descr="resizeПП-00280158"/>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11353800" y="1121759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121</xdr:row>
      <xdr:rowOff>28575</xdr:rowOff>
    </xdr:from>
    <xdr:to>
      <xdr:col>13</xdr:col>
      <xdr:colOff>885825</xdr:colOff>
      <xdr:row>121</xdr:row>
      <xdr:rowOff>1209675</xdr:rowOff>
    </xdr:to>
    <xdr:pic>
      <xdr:nvPicPr>
        <xdr:cNvPr id="1551" name="Изображение 88" descr="resizeПП-00264420"/>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11353800" y="1135475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122</xdr:row>
      <xdr:rowOff>28575</xdr:rowOff>
    </xdr:from>
    <xdr:to>
      <xdr:col>13</xdr:col>
      <xdr:colOff>885825</xdr:colOff>
      <xdr:row>122</xdr:row>
      <xdr:rowOff>1209675</xdr:rowOff>
    </xdr:to>
    <xdr:pic>
      <xdr:nvPicPr>
        <xdr:cNvPr id="1552" name="Изображение 89" descr="resizeПП-00261544"/>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11353800" y="1147667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124</xdr:row>
      <xdr:rowOff>28575</xdr:rowOff>
    </xdr:from>
    <xdr:to>
      <xdr:col>13</xdr:col>
      <xdr:colOff>885825</xdr:colOff>
      <xdr:row>124</xdr:row>
      <xdr:rowOff>1209675</xdr:rowOff>
    </xdr:to>
    <xdr:pic>
      <xdr:nvPicPr>
        <xdr:cNvPr id="1553" name="Изображение 90" descr="resizeПП-00281696"/>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11353800" y="1161383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125</xdr:row>
      <xdr:rowOff>28575</xdr:rowOff>
    </xdr:from>
    <xdr:to>
      <xdr:col>13</xdr:col>
      <xdr:colOff>885825</xdr:colOff>
      <xdr:row>125</xdr:row>
      <xdr:rowOff>1209675</xdr:rowOff>
    </xdr:to>
    <xdr:pic>
      <xdr:nvPicPr>
        <xdr:cNvPr id="1554" name="Изображение 91" descr="resizeПП-00281699"/>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11353800" y="1173575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126</xdr:row>
      <xdr:rowOff>28575</xdr:rowOff>
    </xdr:from>
    <xdr:to>
      <xdr:col>13</xdr:col>
      <xdr:colOff>885825</xdr:colOff>
      <xdr:row>126</xdr:row>
      <xdr:rowOff>1209675</xdr:rowOff>
    </xdr:to>
    <xdr:pic>
      <xdr:nvPicPr>
        <xdr:cNvPr id="1555" name="Изображение 92" descr="resizeПП-00281697"/>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11353800" y="1185767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127</xdr:row>
      <xdr:rowOff>28575</xdr:rowOff>
    </xdr:from>
    <xdr:to>
      <xdr:col>13</xdr:col>
      <xdr:colOff>885825</xdr:colOff>
      <xdr:row>127</xdr:row>
      <xdr:rowOff>1209675</xdr:rowOff>
    </xdr:to>
    <xdr:pic>
      <xdr:nvPicPr>
        <xdr:cNvPr id="1556" name="Изображение 93" descr="resizeПП-00281698"/>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11353800" y="1197959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129</xdr:row>
      <xdr:rowOff>28575</xdr:rowOff>
    </xdr:from>
    <xdr:to>
      <xdr:col>13</xdr:col>
      <xdr:colOff>885825</xdr:colOff>
      <xdr:row>129</xdr:row>
      <xdr:rowOff>1209675</xdr:rowOff>
    </xdr:to>
    <xdr:pic>
      <xdr:nvPicPr>
        <xdr:cNvPr id="1557" name="Изображение 94" descr="resizeПП-00199161"/>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11353800" y="1211675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130</xdr:row>
      <xdr:rowOff>28575</xdr:rowOff>
    </xdr:from>
    <xdr:to>
      <xdr:col>13</xdr:col>
      <xdr:colOff>885825</xdr:colOff>
      <xdr:row>130</xdr:row>
      <xdr:rowOff>1209675</xdr:rowOff>
    </xdr:to>
    <xdr:pic>
      <xdr:nvPicPr>
        <xdr:cNvPr id="1558" name="Изображение 95" descr="resizeПП-00199162"/>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11353800" y="1223867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132</xdr:row>
      <xdr:rowOff>28575</xdr:rowOff>
    </xdr:from>
    <xdr:to>
      <xdr:col>13</xdr:col>
      <xdr:colOff>885825</xdr:colOff>
      <xdr:row>132</xdr:row>
      <xdr:rowOff>1209675</xdr:rowOff>
    </xdr:to>
    <xdr:pic>
      <xdr:nvPicPr>
        <xdr:cNvPr id="1559" name="Изображение 96" descr="resizeПП-00171782"/>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11353800" y="1237583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133</xdr:row>
      <xdr:rowOff>28575</xdr:rowOff>
    </xdr:from>
    <xdr:to>
      <xdr:col>13</xdr:col>
      <xdr:colOff>885825</xdr:colOff>
      <xdr:row>133</xdr:row>
      <xdr:rowOff>1209675</xdr:rowOff>
    </xdr:to>
    <xdr:pic>
      <xdr:nvPicPr>
        <xdr:cNvPr id="1560" name="Изображение 97" descr="resizeПП-00171780"/>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11353800" y="1249775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135</xdr:row>
      <xdr:rowOff>28575</xdr:rowOff>
    </xdr:from>
    <xdr:to>
      <xdr:col>13</xdr:col>
      <xdr:colOff>885825</xdr:colOff>
      <xdr:row>135</xdr:row>
      <xdr:rowOff>1209675</xdr:rowOff>
    </xdr:to>
    <xdr:pic>
      <xdr:nvPicPr>
        <xdr:cNvPr id="1561" name="Изображение 98" descr="resizeПП-00172783"/>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11353800" y="126492000"/>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136</xdr:row>
      <xdr:rowOff>28575</xdr:rowOff>
    </xdr:from>
    <xdr:to>
      <xdr:col>13</xdr:col>
      <xdr:colOff>885825</xdr:colOff>
      <xdr:row>136</xdr:row>
      <xdr:rowOff>1209675</xdr:rowOff>
    </xdr:to>
    <xdr:pic>
      <xdr:nvPicPr>
        <xdr:cNvPr id="1562" name="Изображение 99" descr="resizeПП-00172782"/>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11353800" y="127711200"/>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138</xdr:row>
      <xdr:rowOff>28575</xdr:rowOff>
    </xdr:from>
    <xdr:to>
      <xdr:col>13</xdr:col>
      <xdr:colOff>885825</xdr:colOff>
      <xdr:row>138</xdr:row>
      <xdr:rowOff>1209675</xdr:rowOff>
    </xdr:to>
    <xdr:pic>
      <xdr:nvPicPr>
        <xdr:cNvPr id="1563" name="Изображение 100" descr="resizeПП-00044869"/>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11353800" y="129082800"/>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140</xdr:row>
      <xdr:rowOff>28575</xdr:rowOff>
    </xdr:from>
    <xdr:to>
      <xdr:col>13</xdr:col>
      <xdr:colOff>885825</xdr:colOff>
      <xdr:row>140</xdr:row>
      <xdr:rowOff>1209675</xdr:rowOff>
    </xdr:to>
    <xdr:pic>
      <xdr:nvPicPr>
        <xdr:cNvPr id="1564" name="Изображение 101" descr="resizeПП-00065467"/>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1353800" y="130454400"/>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144</xdr:row>
      <xdr:rowOff>28575</xdr:rowOff>
    </xdr:from>
    <xdr:to>
      <xdr:col>13</xdr:col>
      <xdr:colOff>885825</xdr:colOff>
      <xdr:row>144</xdr:row>
      <xdr:rowOff>1209675</xdr:rowOff>
    </xdr:to>
    <xdr:pic>
      <xdr:nvPicPr>
        <xdr:cNvPr id="1565" name="Изображение 102" descr="resizeПП-00259934"/>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11353800" y="1321784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145</xdr:row>
      <xdr:rowOff>28575</xdr:rowOff>
    </xdr:from>
    <xdr:to>
      <xdr:col>13</xdr:col>
      <xdr:colOff>885825</xdr:colOff>
      <xdr:row>145</xdr:row>
      <xdr:rowOff>1209675</xdr:rowOff>
    </xdr:to>
    <xdr:pic>
      <xdr:nvPicPr>
        <xdr:cNvPr id="1566" name="Изображение 103" descr="resizeПП-00246560"/>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11353800" y="1333976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147</xdr:row>
      <xdr:rowOff>28575</xdr:rowOff>
    </xdr:from>
    <xdr:to>
      <xdr:col>13</xdr:col>
      <xdr:colOff>885825</xdr:colOff>
      <xdr:row>147</xdr:row>
      <xdr:rowOff>1209675</xdr:rowOff>
    </xdr:to>
    <xdr:pic>
      <xdr:nvPicPr>
        <xdr:cNvPr id="1567" name="Изображение 104" descr="resizeПП-00281725"/>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11353800" y="1347692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149</xdr:row>
      <xdr:rowOff>28575</xdr:rowOff>
    </xdr:from>
    <xdr:to>
      <xdr:col>13</xdr:col>
      <xdr:colOff>885825</xdr:colOff>
      <xdr:row>149</xdr:row>
      <xdr:rowOff>1209675</xdr:rowOff>
    </xdr:to>
    <xdr:pic>
      <xdr:nvPicPr>
        <xdr:cNvPr id="1568" name="Изображение 105" descr="resizeПП-00116801"/>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11353800" y="1361408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150</xdr:row>
      <xdr:rowOff>28575</xdr:rowOff>
    </xdr:from>
    <xdr:to>
      <xdr:col>13</xdr:col>
      <xdr:colOff>885825</xdr:colOff>
      <xdr:row>150</xdr:row>
      <xdr:rowOff>1209675</xdr:rowOff>
    </xdr:to>
    <xdr:pic>
      <xdr:nvPicPr>
        <xdr:cNvPr id="1569" name="Изображение 106" descr="resizeПП-00107013"/>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11353800" y="1373600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152</xdr:row>
      <xdr:rowOff>28575</xdr:rowOff>
    </xdr:from>
    <xdr:to>
      <xdr:col>13</xdr:col>
      <xdr:colOff>885825</xdr:colOff>
      <xdr:row>152</xdr:row>
      <xdr:rowOff>1209675</xdr:rowOff>
    </xdr:to>
    <xdr:pic>
      <xdr:nvPicPr>
        <xdr:cNvPr id="1570" name="Изображение 107" descr="resizeПП-00280982"/>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11353800" y="1387316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153</xdr:row>
      <xdr:rowOff>28575</xdr:rowOff>
    </xdr:from>
    <xdr:to>
      <xdr:col>13</xdr:col>
      <xdr:colOff>885825</xdr:colOff>
      <xdr:row>153</xdr:row>
      <xdr:rowOff>1209675</xdr:rowOff>
    </xdr:to>
    <xdr:pic>
      <xdr:nvPicPr>
        <xdr:cNvPr id="1571" name="Изображение 108" descr="resizeПП-00280133"/>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11353800" y="1399508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156</xdr:row>
      <xdr:rowOff>28575</xdr:rowOff>
    </xdr:from>
    <xdr:to>
      <xdr:col>13</xdr:col>
      <xdr:colOff>885825</xdr:colOff>
      <xdr:row>156</xdr:row>
      <xdr:rowOff>1209675</xdr:rowOff>
    </xdr:to>
    <xdr:pic>
      <xdr:nvPicPr>
        <xdr:cNvPr id="1572" name="Изображение 109" descr="resizeПП-00258361"/>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11353800" y="1414748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9525</xdr:colOff>
      <xdr:row>157</xdr:row>
      <xdr:rowOff>28575</xdr:rowOff>
    </xdr:from>
    <xdr:to>
      <xdr:col>13</xdr:col>
      <xdr:colOff>885825</xdr:colOff>
      <xdr:row>157</xdr:row>
      <xdr:rowOff>1209675</xdr:rowOff>
    </xdr:to>
    <xdr:pic>
      <xdr:nvPicPr>
        <xdr:cNvPr id="1573" name="Изображение 110" descr="resizeПП-00280125"/>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11353800" y="142694025"/>
          <a:ext cx="8763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AM158"/>
  <sheetViews>
    <sheetView tabSelected="1" workbookViewId="0">
      <selection activeCell="M2" sqref="M2"/>
    </sheetView>
  </sheetViews>
  <sheetFormatPr defaultColWidth="10.5" defaultRowHeight="11.25" outlineLevelRow="4" x14ac:dyDescent="0.2"/>
  <cols>
    <col min="1" max="1" width="7.83203125" bestFit="1" customWidth="1"/>
    <col min="2" max="2" width="12.1640625" bestFit="1" customWidth="1"/>
    <col min="3" max="6" width="17.5" bestFit="1" customWidth="1"/>
    <col min="7" max="8" width="15.1640625" bestFit="1" customWidth="1"/>
    <col min="9" max="9" width="21.33203125" bestFit="1" customWidth="1"/>
    <col min="10" max="12" width="11.6640625" bestFit="1" customWidth="1"/>
    <col min="13" max="13" width="16.33203125" bestFit="1" customWidth="1"/>
    <col min="14" max="14" width="21.33203125" style="1" bestFit="1" customWidth="1"/>
    <col min="15" max="15" width="11.6640625" bestFit="1" customWidth="1"/>
    <col min="16" max="16" width="16.5" bestFit="1" customWidth="1"/>
    <col min="17" max="18" width="11.6640625" bestFit="1" customWidth="1"/>
    <col min="19" max="19" width="13.6640625" bestFit="1" customWidth="1"/>
    <col min="23" max="23" width="19.83203125" bestFit="1" customWidth="1"/>
    <col min="25" max="39" width="13.5" bestFit="1" customWidth="1"/>
  </cols>
  <sheetData>
    <row r="1" spans="1:39" ht="11.25" customHeight="1" x14ac:dyDescent="0.2"/>
    <row r="2" spans="1:39" ht="24" customHeight="1" x14ac:dyDescent="0.35">
      <c r="E2" s="2" t="s">
        <v>0</v>
      </c>
    </row>
    <row r="3" spans="1:39" ht="15.75" customHeight="1" x14ac:dyDescent="0.2">
      <c r="A3" s="52" t="s">
        <v>1</v>
      </c>
      <c r="B3" s="52"/>
      <c r="C3" s="53" t="s">
        <v>2</v>
      </c>
      <c r="D3" s="53"/>
      <c r="E3" s="53"/>
      <c r="F3" s="53"/>
      <c r="R3" s="54" t="s">
        <v>3</v>
      </c>
      <c r="S3" s="54"/>
      <c r="T3" s="19"/>
    </row>
    <row r="4" spans="1:39" ht="20.100000000000001" customHeight="1" x14ac:dyDescent="0.2">
      <c r="A4" s="44" t="s">
        <v>4</v>
      </c>
      <c r="B4" s="39" t="s">
        <v>5</v>
      </c>
      <c r="C4" s="39" t="s">
        <v>6</v>
      </c>
      <c r="D4" s="39"/>
      <c r="E4" s="39"/>
      <c r="F4" s="39"/>
      <c r="G4" s="39" t="s">
        <v>7</v>
      </c>
      <c r="H4" s="39" t="s">
        <v>8</v>
      </c>
      <c r="I4" s="44" t="s">
        <v>9</v>
      </c>
      <c r="J4" s="37" t="s">
        <v>10</v>
      </c>
      <c r="K4" s="37" t="s">
        <v>11</v>
      </c>
      <c r="L4" s="37" t="s">
        <v>12</v>
      </c>
      <c r="M4" s="42" t="s">
        <v>13</v>
      </c>
      <c r="N4" s="39" t="s">
        <v>14</v>
      </c>
      <c r="O4" s="37" t="s">
        <v>15</v>
      </c>
      <c r="P4" s="42" t="s">
        <v>16</v>
      </c>
      <c r="Q4" s="39" t="s">
        <v>17</v>
      </c>
      <c r="R4" s="39" t="s">
        <v>18</v>
      </c>
      <c r="S4" s="39" t="s">
        <v>19</v>
      </c>
      <c r="T4" s="39" t="s">
        <v>20</v>
      </c>
      <c r="U4" s="39" t="s">
        <v>21</v>
      </c>
      <c r="V4" s="39" t="s">
        <v>22</v>
      </c>
      <c r="W4" s="39" t="s">
        <v>23</v>
      </c>
      <c r="X4" s="37" t="s">
        <v>24</v>
      </c>
      <c r="Y4" s="37" t="s">
        <v>25</v>
      </c>
      <c r="Z4" s="37" t="s">
        <v>26</v>
      </c>
      <c r="AA4" s="37" t="s">
        <v>27</v>
      </c>
      <c r="AB4" s="37" t="s">
        <v>28</v>
      </c>
      <c r="AC4" s="37" t="s">
        <v>29</v>
      </c>
      <c r="AD4" s="37" t="s">
        <v>30</v>
      </c>
      <c r="AE4" s="37" t="s">
        <v>31</v>
      </c>
      <c r="AF4" s="37" t="s">
        <v>32</v>
      </c>
      <c r="AG4" s="37" t="s">
        <v>33</v>
      </c>
      <c r="AH4" s="37" t="s">
        <v>34</v>
      </c>
      <c r="AI4" s="37" t="s">
        <v>35</v>
      </c>
      <c r="AJ4" s="37" t="s">
        <v>36</v>
      </c>
      <c r="AK4" s="37" t="s">
        <v>37</v>
      </c>
      <c r="AL4" s="37" t="s">
        <v>38</v>
      </c>
      <c r="AM4" s="37" t="s">
        <v>39</v>
      </c>
    </row>
    <row r="5" spans="1:39" ht="24.75" customHeight="1" x14ac:dyDescent="0.2">
      <c r="A5" s="45"/>
      <c r="B5" s="41"/>
      <c r="C5" s="40"/>
      <c r="D5" s="40"/>
      <c r="E5" s="40"/>
      <c r="F5" s="41"/>
      <c r="G5" s="41"/>
      <c r="H5" s="41"/>
      <c r="I5" s="45"/>
      <c r="J5" s="38"/>
      <c r="K5" s="38"/>
      <c r="L5" s="38"/>
      <c r="M5" s="43"/>
      <c r="N5" s="41"/>
      <c r="O5" s="38"/>
      <c r="P5" s="43"/>
      <c r="Q5" s="41"/>
      <c r="R5" s="41"/>
      <c r="S5" s="41"/>
      <c r="T5" s="41"/>
      <c r="U5" s="41"/>
      <c r="V5" s="41"/>
      <c r="W5" s="41"/>
      <c r="X5" s="38"/>
      <c r="Y5" s="38"/>
      <c r="Z5" s="38"/>
      <c r="AA5" s="38"/>
      <c r="AB5" s="38"/>
      <c r="AC5" s="38"/>
      <c r="AD5" s="38"/>
      <c r="AE5" s="38"/>
      <c r="AF5" s="38"/>
      <c r="AG5" s="38"/>
      <c r="AH5" s="38"/>
      <c r="AI5" s="38"/>
      <c r="AJ5" s="38"/>
      <c r="AK5" s="38"/>
      <c r="AL5" s="38"/>
      <c r="AM5" s="38"/>
    </row>
    <row r="6" spans="1:39" ht="15.75" customHeight="1" x14ac:dyDescent="0.2">
      <c r="A6" s="51" t="s">
        <v>40</v>
      </c>
      <c r="B6" s="51"/>
      <c r="C6" s="51"/>
      <c r="D6" s="51"/>
      <c r="E6" s="51"/>
      <c r="F6" s="51"/>
    </row>
    <row r="7" spans="1:39" ht="15.75" customHeight="1" outlineLevel="1" x14ac:dyDescent="0.2">
      <c r="A7" s="49" t="s">
        <v>41</v>
      </c>
      <c r="B7" s="49"/>
      <c r="C7" s="49"/>
      <c r="D7" s="49"/>
      <c r="E7" s="49"/>
      <c r="F7" s="49"/>
    </row>
    <row r="8" spans="1:39" ht="12" customHeight="1" outlineLevel="2" x14ac:dyDescent="0.2">
      <c r="A8" s="46" t="s">
        <v>42</v>
      </c>
      <c r="B8" s="46"/>
      <c r="C8" s="46"/>
      <c r="D8" s="46"/>
      <c r="E8" s="46"/>
      <c r="F8" s="46"/>
    </row>
    <row r="9" spans="1:39" ht="12" customHeight="1" outlineLevel="3" x14ac:dyDescent="0.2">
      <c r="A9" s="47" t="s">
        <v>43</v>
      </c>
      <c r="B9" s="47"/>
      <c r="C9" s="47"/>
      <c r="D9" s="47"/>
      <c r="E9" s="47"/>
      <c r="F9" s="47"/>
    </row>
    <row r="10" spans="1:39" ht="96.2" customHeight="1" outlineLevel="4" x14ac:dyDescent="0.2">
      <c r="A10" s="3">
        <v>1</v>
      </c>
      <c r="B10" s="4" t="s">
        <v>44</v>
      </c>
      <c r="C10" s="50" t="s">
        <v>45</v>
      </c>
      <c r="D10" s="50"/>
      <c r="E10" s="50"/>
      <c r="F10" s="50"/>
      <c r="G10" s="5" t="s">
        <v>46</v>
      </c>
      <c r="H10" s="9"/>
      <c r="I10" s="10" t="s">
        <v>47</v>
      </c>
      <c r="J10" s="11"/>
      <c r="K10" s="12">
        <v>100</v>
      </c>
      <c r="L10" s="11"/>
      <c r="M10" s="11" t="s">
        <v>48</v>
      </c>
      <c r="N10" s="13"/>
      <c r="O10" s="11"/>
      <c r="P10" s="3">
        <v>2</v>
      </c>
      <c r="Q10" s="20">
        <f>349*(1-T3/100)</f>
        <v>349</v>
      </c>
      <c r="R10" s="21"/>
      <c r="S10" s="11">
        <f>Q10*R10</f>
        <v>0</v>
      </c>
      <c r="T10" s="22">
        <f>0.145*R10</f>
        <v>0</v>
      </c>
      <c r="U10" s="23">
        <f>0.00021*R10</f>
        <v>0</v>
      </c>
      <c r="V10" s="24" t="s">
        <v>49</v>
      </c>
      <c r="W10" s="25" t="s">
        <v>50</v>
      </c>
      <c r="X10" s="25" t="s">
        <v>51</v>
      </c>
      <c r="Y10" s="4" t="s">
        <v>52</v>
      </c>
      <c r="Z10" s="4"/>
      <c r="AA10" s="4" t="s">
        <v>53</v>
      </c>
      <c r="AB10" s="4"/>
      <c r="AC10" s="4"/>
      <c r="AD10" s="4" t="str">
        <f>HYPERLINK("https://knigipp.ru/api/getInfo/image/c107cc17-a541-11f1-a29c-00155d82e908")</f>
        <v>https://knigipp.ru/api/getInfo/image/c107cc17-a541-11f1-a29c-00155d82e908</v>
      </c>
      <c r="AE10" s="4" t="s">
        <v>54</v>
      </c>
      <c r="AF10" s="35">
        <v>64</v>
      </c>
      <c r="AG10" s="4" t="s">
        <v>55</v>
      </c>
      <c r="AH10" s="4" t="s">
        <v>56</v>
      </c>
      <c r="AI10" s="4"/>
      <c r="AJ10" s="4" t="s">
        <v>57</v>
      </c>
      <c r="AK10" s="4"/>
      <c r="AL10" s="4"/>
      <c r="AM10" s="4" t="s">
        <v>58</v>
      </c>
    </row>
    <row r="11" spans="1:39" ht="12" customHeight="1" outlineLevel="2" x14ac:dyDescent="0.2">
      <c r="A11" s="46" t="s">
        <v>59</v>
      </c>
      <c r="B11" s="46"/>
      <c r="C11" s="46"/>
      <c r="D11" s="46"/>
      <c r="E11" s="46"/>
      <c r="F11" s="46"/>
    </row>
    <row r="12" spans="1:39" ht="96.2" customHeight="1" outlineLevel="3" x14ac:dyDescent="0.2">
      <c r="A12" s="6">
        <v>2</v>
      </c>
      <c r="B12" s="7" t="s">
        <v>60</v>
      </c>
      <c r="C12" s="48" t="s">
        <v>61</v>
      </c>
      <c r="D12" s="48"/>
      <c r="E12" s="48"/>
      <c r="F12" s="48"/>
      <c r="G12" s="8" t="s">
        <v>62</v>
      </c>
      <c r="H12" s="14"/>
      <c r="I12" s="15"/>
      <c r="J12" s="16"/>
      <c r="K12" s="17">
        <v>30</v>
      </c>
      <c r="L12" s="16"/>
      <c r="M12" s="16" t="s">
        <v>48</v>
      </c>
      <c r="N12" s="18"/>
      <c r="O12" s="16"/>
      <c r="P12" s="6">
        <v>2</v>
      </c>
      <c r="Q12" s="26">
        <f>337*(1-T3/100)</f>
        <v>337</v>
      </c>
      <c r="R12" s="21"/>
      <c r="S12" s="16">
        <f>Q12*R12</f>
        <v>0</v>
      </c>
      <c r="T12" s="27">
        <f>0.146*R12</f>
        <v>0</v>
      </c>
      <c r="U12" s="28">
        <f>0.00016*R12</f>
        <v>0</v>
      </c>
      <c r="V12" s="29"/>
      <c r="W12" s="30" t="s">
        <v>63</v>
      </c>
      <c r="X12" s="30" t="s">
        <v>64</v>
      </c>
      <c r="Y12" s="7"/>
      <c r="Z12" s="7"/>
      <c r="AA12" s="7" t="s">
        <v>53</v>
      </c>
      <c r="AB12" s="7"/>
      <c r="AC12" s="7"/>
      <c r="AD12" s="7" t="str">
        <f>HYPERLINK("https://knigipp.ru/api/getInfo/image/e26d2de2-6b08-11f1-a29a-00155d82e908")</f>
        <v>https://knigipp.ru/api/getInfo/image/e26d2de2-6b08-11f1-a29a-00155d82e908</v>
      </c>
      <c r="AE12" s="7" t="s">
        <v>65</v>
      </c>
      <c r="AF12" s="36">
        <v>24</v>
      </c>
      <c r="AG12" s="7" t="s">
        <v>66</v>
      </c>
      <c r="AH12" s="7" t="s">
        <v>67</v>
      </c>
      <c r="AI12" s="7"/>
      <c r="AJ12" s="7"/>
      <c r="AK12" s="7"/>
      <c r="AL12" s="7"/>
      <c r="AM12" s="7" t="s">
        <v>68</v>
      </c>
    </row>
    <row r="13" spans="1:39" ht="15.75" customHeight="1" outlineLevel="1" x14ac:dyDescent="0.2">
      <c r="A13" s="49" t="s">
        <v>69</v>
      </c>
      <c r="B13" s="49"/>
      <c r="C13" s="49"/>
      <c r="D13" s="49"/>
      <c r="E13" s="49"/>
      <c r="F13" s="49"/>
    </row>
    <row r="14" spans="1:39" ht="12" customHeight="1" outlineLevel="2" x14ac:dyDescent="0.2">
      <c r="A14" s="46" t="s">
        <v>70</v>
      </c>
      <c r="B14" s="46"/>
      <c r="C14" s="46"/>
      <c r="D14" s="46"/>
      <c r="E14" s="46"/>
      <c r="F14" s="46"/>
    </row>
    <row r="15" spans="1:39" ht="96.2" customHeight="1" outlineLevel="3" x14ac:dyDescent="0.2">
      <c r="A15" s="6">
        <v>3</v>
      </c>
      <c r="B15" s="7" t="s">
        <v>71</v>
      </c>
      <c r="C15" s="48" t="s">
        <v>72</v>
      </c>
      <c r="D15" s="48"/>
      <c r="E15" s="48"/>
      <c r="F15" s="48"/>
      <c r="G15" s="8" t="s">
        <v>73</v>
      </c>
      <c r="H15" s="14"/>
      <c r="I15" s="15" t="s">
        <v>74</v>
      </c>
      <c r="J15" s="16"/>
      <c r="K15" s="17">
        <v>40</v>
      </c>
      <c r="L15" s="16"/>
      <c r="M15" s="16" t="s">
        <v>48</v>
      </c>
      <c r="N15" s="18"/>
      <c r="O15" s="16"/>
      <c r="P15" s="6">
        <v>5</v>
      </c>
      <c r="Q15" s="26">
        <f>147*(1-T3/100)</f>
        <v>147</v>
      </c>
      <c r="R15" s="21"/>
      <c r="S15" s="16">
        <f t="shared" ref="S15:S22" si="0">Q15*R15</f>
        <v>0</v>
      </c>
      <c r="T15" s="27">
        <f>0.082*R15</f>
        <v>0</v>
      </c>
      <c r="U15" s="28">
        <f>0.00025*R15</f>
        <v>0</v>
      </c>
      <c r="V15" s="29"/>
      <c r="W15" s="30" t="s">
        <v>75</v>
      </c>
      <c r="X15" s="30" t="s">
        <v>51</v>
      </c>
      <c r="Y15" s="7" t="s">
        <v>76</v>
      </c>
      <c r="Z15" s="7" t="s">
        <v>77</v>
      </c>
      <c r="AA15" s="7" t="s">
        <v>53</v>
      </c>
      <c r="AB15" s="7"/>
      <c r="AC15" s="7"/>
      <c r="AD15" s="7" t="str">
        <f>HYPERLINK("https://knigipp.ru/api/getInfo/image/249ed082-1cba-11ef-a25e-00155d82e908")</f>
        <v>https://knigipp.ru/api/getInfo/image/249ed082-1cba-11ef-a25e-00155d82e908</v>
      </c>
      <c r="AE15" s="7" t="s">
        <v>65</v>
      </c>
      <c r="AF15" s="36">
        <v>10</v>
      </c>
      <c r="AG15" s="7" t="s">
        <v>66</v>
      </c>
      <c r="AH15" s="7" t="s">
        <v>78</v>
      </c>
      <c r="AI15" s="7"/>
      <c r="AJ15" s="7" t="s">
        <v>57</v>
      </c>
      <c r="AK15" s="7"/>
      <c r="AL15" s="7"/>
      <c r="AM15" s="7" t="s">
        <v>79</v>
      </c>
    </row>
    <row r="16" spans="1:39" ht="96.2" customHeight="1" outlineLevel="3" x14ac:dyDescent="0.2">
      <c r="A16" s="6">
        <v>4</v>
      </c>
      <c r="B16" s="7" t="s">
        <v>80</v>
      </c>
      <c r="C16" s="48" t="s">
        <v>81</v>
      </c>
      <c r="D16" s="48"/>
      <c r="E16" s="48"/>
      <c r="F16" s="48"/>
      <c r="G16" s="8" t="s">
        <v>82</v>
      </c>
      <c r="H16" s="14"/>
      <c r="I16" s="15"/>
      <c r="J16" s="16"/>
      <c r="K16" s="17">
        <v>40</v>
      </c>
      <c r="L16" s="16"/>
      <c r="M16" s="16" t="s">
        <v>48</v>
      </c>
      <c r="N16" s="18"/>
      <c r="O16" s="16"/>
      <c r="P16" s="6">
        <v>5</v>
      </c>
      <c r="Q16" s="26">
        <f>147*(1-T3/100)</f>
        <v>147</v>
      </c>
      <c r="R16" s="21"/>
      <c r="S16" s="16">
        <f t="shared" si="0"/>
        <v>0</v>
      </c>
      <c r="T16" s="27">
        <f>0.082*R16</f>
        <v>0</v>
      </c>
      <c r="U16" s="28">
        <f>0.00017*R16</f>
        <v>0</v>
      </c>
      <c r="V16" s="29"/>
      <c r="W16" s="30" t="s">
        <v>83</v>
      </c>
      <c r="X16" s="30" t="s">
        <v>51</v>
      </c>
      <c r="Y16" s="7" t="s">
        <v>52</v>
      </c>
      <c r="Z16" s="7" t="s">
        <v>84</v>
      </c>
      <c r="AA16" s="7" t="s">
        <v>53</v>
      </c>
      <c r="AB16" s="7"/>
      <c r="AC16" s="7"/>
      <c r="AD16" s="7" t="str">
        <f>HYPERLINK("https://knigipp.ru/api/getInfo/image/88fda4f4-68bc-11f1-a29a-00155d82e908")</f>
        <v>https://knigipp.ru/api/getInfo/image/88fda4f4-68bc-11f1-a29a-00155d82e908</v>
      </c>
      <c r="AE16" s="7" t="s">
        <v>65</v>
      </c>
      <c r="AF16" s="36">
        <v>10</v>
      </c>
      <c r="AG16" s="7" t="s">
        <v>66</v>
      </c>
      <c r="AH16" s="7" t="s">
        <v>78</v>
      </c>
      <c r="AI16" s="7"/>
      <c r="AJ16" s="7" t="s">
        <v>57</v>
      </c>
      <c r="AK16" s="7"/>
      <c r="AL16" s="7"/>
      <c r="AM16" s="7" t="s">
        <v>85</v>
      </c>
    </row>
    <row r="17" spans="1:39" ht="96.2" customHeight="1" outlineLevel="3" x14ac:dyDescent="0.2">
      <c r="A17" s="6">
        <v>5</v>
      </c>
      <c r="B17" s="7" t="s">
        <v>86</v>
      </c>
      <c r="C17" s="48" t="s">
        <v>87</v>
      </c>
      <c r="D17" s="48"/>
      <c r="E17" s="48"/>
      <c r="F17" s="48"/>
      <c r="G17" s="8" t="s">
        <v>88</v>
      </c>
      <c r="H17" s="14"/>
      <c r="I17" s="15" t="s">
        <v>89</v>
      </c>
      <c r="J17" s="16"/>
      <c r="K17" s="17">
        <v>40</v>
      </c>
      <c r="L17" s="16"/>
      <c r="M17" s="16" t="s">
        <v>48</v>
      </c>
      <c r="N17" s="18"/>
      <c r="O17" s="16"/>
      <c r="P17" s="6">
        <v>5</v>
      </c>
      <c r="Q17" s="26">
        <f>147*(1-T3/100)</f>
        <v>147</v>
      </c>
      <c r="R17" s="21"/>
      <c r="S17" s="16">
        <f t="shared" si="0"/>
        <v>0</v>
      </c>
      <c r="T17" s="27">
        <f>0.082*R17</f>
        <v>0</v>
      </c>
      <c r="U17" s="28">
        <f>0.00405*R17</f>
        <v>0</v>
      </c>
      <c r="V17" s="29"/>
      <c r="W17" s="30" t="s">
        <v>90</v>
      </c>
      <c r="X17" s="30" t="s">
        <v>51</v>
      </c>
      <c r="Y17" s="7"/>
      <c r="Z17" s="7" t="s">
        <v>91</v>
      </c>
      <c r="AA17" s="7" t="s">
        <v>53</v>
      </c>
      <c r="AB17" s="7"/>
      <c r="AC17" s="7"/>
      <c r="AD17" s="7" t="str">
        <f>HYPERLINK("https://knigipp.ru/api/getInfo/image/0757ece5-f93c-11ec-a213-ac1f6b442185")</f>
        <v>https://knigipp.ru/api/getInfo/image/0757ece5-f93c-11ec-a213-ac1f6b442185</v>
      </c>
      <c r="AE17" s="7" t="s">
        <v>65</v>
      </c>
      <c r="AF17" s="36">
        <v>10</v>
      </c>
      <c r="AG17" s="7"/>
      <c r="AH17" s="7" t="s">
        <v>78</v>
      </c>
      <c r="AI17" s="7"/>
      <c r="AJ17" s="7" t="s">
        <v>57</v>
      </c>
      <c r="AK17" s="7"/>
      <c r="AL17" s="7"/>
      <c r="AM17" s="7" t="s">
        <v>92</v>
      </c>
    </row>
    <row r="18" spans="1:39" ht="96.2" customHeight="1" outlineLevel="3" x14ac:dyDescent="0.2">
      <c r="A18" s="6">
        <v>6</v>
      </c>
      <c r="B18" s="7" t="s">
        <v>93</v>
      </c>
      <c r="C18" s="48" t="s">
        <v>94</v>
      </c>
      <c r="D18" s="48"/>
      <c r="E18" s="48"/>
      <c r="F18" s="48"/>
      <c r="G18" s="8" t="s">
        <v>95</v>
      </c>
      <c r="H18" s="14"/>
      <c r="I18" s="15"/>
      <c r="J18" s="16"/>
      <c r="K18" s="17">
        <v>40</v>
      </c>
      <c r="L18" s="16"/>
      <c r="M18" s="16" t="s">
        <v>48</v>
      </c>
      <c r="N18" s="18"/>
      <c r="O18" s="16"/>
      <c r="P18" s="6">
        <v>5</v>
      </c>
      <c r="Q18" s="26">
        <f>147*(1-T3/100)</f>
        <v>147</v>
      </c>
      <c r="R18" s="21"/>
      <c r="S18" s="16">
        <f t="shared" si="0"/>
        <v>0</v>
      </c>
      <c r="T18" s="27">
        <f>0.082*R18</f>
        <v>0</v>
      </c>
      <c r="U18" s="28">
        <f>0.00405*R18</f>
        <v>0</v>
      </c>
      <c r="V18" s="29"/>
      <c r="W18" s="30" t="s">
        <v>96</v>
      </c>
      <c r="X18" s="30" t="s">
        <v>51</v>
      </c>
      <c r="Y18" s="7" t="s">
        <v>52</v>
      </c>
      <c r="Z18" s="7" t="s">
        <v>97</v>
      </c>
      <c r="AA18" s="7" t="s">
        <v>53</v>
      </c>
      <c r="AB18" s="7"/>
      <c r="AC18" s="7"/>
      <c r="AD18" s="7" t="str">
        <f>HYPERLINK("https://knigipp.ru/api/getInfo/image/ceb7088c-68bc-11f1-a29a-00155d82e908")</f>
        <v>https://knigipp.ru/api/getInfo/image/ceb7088c-68bc-11f1-a29a-00155d82e908</v>
      </c>
      <c r="AE18" s="7" t="s">
        <v>65</v>
      </c>
      <c r="AF18" s="36">
        <v>10</v>
      </c>
      <c r="AG18" s="7" t="s">
        <v>66</v>
      </c>
      <c r="AH18" s="7" t="s">
        <v>78</v>
      </c>
      <c r="AI18" s="7"/>
      <c r="AJ18" s="7" t="s">
        <v>57</v>
      </c>
      <c r="AK18" s="7"/>
      <c r="AL18" s="7"/>
      <c r="AM18" s="7" t="s">
        <v>98</v>
      </c>
    </row>
    <row r="19" spans="1:39" ht="96.2" customHeight="1" outlineLevel="3" x14ac:dyDescent="0.2">
      <c r="A19" s="6">
        <v>7</v>
      </c>
      <c r="B19" s="7" t="s">
        <v>99</v>
      </c>
      <c r="C19" s="48" t="s">
        <v>100</v>
      </c>
      <c r="D19" s="48"/>
      <c r="E19" s="48"/>
      <c r="F19" s="48"/>
      <c r="G19" s="8" t="s">
        <v>101</v>
      </c>
      <c r="H19" s="14"/>
      <c r="I19" s="15" t="s">
        <v>102</v>
      </c>
      <c r="J19" s="16"/>
      <c r="K19" s="17">
        <v>40</v>
      </c>
      <c r="L19" s="16"/>
      <c r="M19" s="16" t="s">
        <v>48</v>
      </c>
      <c r="N19" s="18"/>
      <c r="O19" s="16"/>
      <c r="P19" s="6">
        <v>5</v>
      </c>
      <c r="Q19" s="26">
        <f>147*(1-T3/100)</f>
        <v>147</v>
      </c>
      <c r="R19" s="21"/>
      <c r="S19" s="16">
        <f t="shared" si="0"/>
        <v>0</v>
      </c>
      <c r="T19" s="27">
        <f>0.103*R19</f>
        <v>0</v>
      </c>
      <c r="U19" s="28">
        <f>0.00016*R19</f>
        <v>0</v>
      </c>
      <c r="V19" s="29"/>
      <c r="W19" s="30" t="s">
        <v>103</v>
      </c>
      <c r="X19" s="30" t="s">
        <v>51</v>
      </c>
      <c r="Y19" s="7"/>
      <c r="Z19" s="7" t="s">
        <v>104</v>
      </c>
      <c r="AA19" s="7" t="s">
        <v>53</v>
      </c>
      <c r="AB19" s="7" t="s">
        <v>105</v>
      </c>
      <c r="AC19" s="7"/>
      <c r="AD19" s="7" t="str">
        <f>HYPERLINK("https://knigipp.ru/api/getInfo/image/cbc6ba2a-447e-11e7-977d-5cf3fc4a2490")</f>
        <v>https://knigipp.ru/api/getInfo/image/cbc6ba2a-447e-11e7-977d-5cf3fc4a2490</v>
      </c>
      <c r="AE19" s="7" t="s">
        <v>65</v>
      </c>
      <c r="AF19" s="36">
        <v>10</v>
      </c>
      <c r="AG19" s="7"/>
      <c r="AH19" s="7" t="s">
        <v>78</v>
      </c>
      <c r="AI19" s="7"/>
      <c r="AJ19" s="7" t="s">
        <v>57</v>
      </c>
      <c r="AK19" s="7"/>
      <c r="AL19" s="7" t="s">
        <v>106</v>
      </c>
      <c r="AM19" s="7" t="s">
        <v>107</v>
      </c>
    </row>
    <row r="20" spans="1:39" ht="96.2" customHeight="1" outlineLevel="3" x14ac:dyDescent="0.2">
      <c r="A20" s="6">
        <v>8</v>
      </c>
      <c r="B20" s="7" t="s">
        <v>108</v>
      </c>
      <c r="C20" s="48" t="s">
        <v>109</v>
      </c>
      <c r="D20" s="48"/>
      <c r="E20" s="48"/>
      <c r="F20" s="48"/>
      <c r="G20" s="8" t="s">
        <v>110</v>
      </c>
      <c r="H20" s="14"/>
      <c r="I20" s="15" t="s">
        <v>111</v>
      </c>
      <c r="J20" s="16"/>
      <c r="K20" s="17">
        <v>40</v>
      </c>
      <c r="L20" s="16"/>
      <c r="M20" s="16" t="s">
        <v>48</v>
      </c>
      <c r="N20" s="18"/>
      <c r="O20" s="16"/>
      <c r="P20" s="6">
        <v>5</v>
      </c>
      <c r="Q20" s="26">
        <f>147*(1-T3/100)</f>
        <v>147</v>
      </c>
      <c r="R20" s="21"/>
      <c r="S20" s="16">
        <f t="shared" si="0"/>
        <v>0</v>
      </c>
      <c r="T20" s="31">
        <f>0.08*R20</f>
        <v>0</v>
      </c>
      <c r="U20" s="28">
        <f>0.00029*R20</f>
        <v>0</v>
      </c>
      <c r="V20" s="29"/>
      <c r="W20" s="30" t="s">
        <v>112</v>
      </c>
      <c r="X20" s="30" t="s">
        <v>51</v>
      </c>
      <c r="Y20" s="7"/>
      <c r="Z20" s="7" t="s">
        <v>113</v>
      </c>
      <c r="AA20" s="7" t="s">
        <v>53</v>
      </c>
      <c r="AB20" s="7"/>
      <c r="AC20" s="7"/>
      <c r="AD20" s="7" t="str">
        <f>HYPERLINK("https://knigipp.ru/api/getInfo/image/736ac2bb-da62-11eb-a209-ac1f6b442185")</f>
        <v>https://knigipp.ru/api/getInfo/image/736ac2bb-da62-11eb-a209-ac1f6b442185</v>
      </c>
      <c r="AE20" s="7" t="s">
        <v>65</v>
      </c>
      <c r="AF20" s="36">
        <v>10</v>
      </c>
      <c r="AG20" s="7"/>
      <c r="AH20" s="7" t="s">
        <v>78</v>
      </c>
      <c r="AI20" s="7"/>
      <c r="AJ20" s="7" t="s">
        <v>57</v>
      </c>
      <c r="AK20" s="7"/>
      <c r="AL20" s="7"/>
      <c r="AM20" s="7" t="s">
        <v>107</v>
      </c>
    </row>
    <row r="21" spans="1:39" ht="96.2" customHeight="1" outlineLevel="3" x14ac:dyDescent="0.2">
      <c r="A21" s="6">
        <v>9</v>
      </c>
      <c r="B21" s="7" t="s">
        <v>114</v>
      </c>
      <c r="C21" s="48" t="s">
        <v>115</v>
      </c>
      <c r="D21" s="48"/>
      <c r="E21" s="48"/>
      <c r="F21" s="48"/>
      <c r="G21" s="8" t="s">
        <v>116</v>
      </c>
      <c r="H21" s="14"/>
      <c r="I21" s="15"/>
      <c r="J21" s="16"/>
      <c r="K21" s="17">
        <v>40</v>
      </c>
      <c r="L21" s="16"/>
      <c r="M21" s="16" t="s">
        <v>48</v>
      </c>
      <c r="N21" s="18"/>
      <c r="O21" s="16"/>
      <c r="P21" s="6">
        <v>5</v>
      </c>
      <c r="Q21" s="26">
        <f>147*(1-T3/100)</f>
        <v>147</v>
      </c>
      <c r="R21" s="21"/>
      <c r="S21" s="16">
        <f t="shared" si="0"/>
        <v>0</v>
      </c>
      <c r="T21" s="27">
        <f>0.083*R21</f>
        <v>0</v>
      </c>
      <c r="U21" s="28">
        <f>0.00062*R21</f>
        <v>0</v>
      </c>
      <c r="V21" s="29"/>
      <c r="W21" s="30" t="s">
        <v>117</v>
      </c>
      <c r="X21" s="30" t="s">
        <v>51</v>
      </c>
      <c r="Y21" s="7"/>
      <c r="Z21" s="7" t="s">
        <v>118</v>
      </c>
      <c r="AA21" s="7" t="s">
        <v>53</v>
      </c>
      <c r="AB21" s="7"/>
      <c r="AC21" s="7"/>
      <c r="AD21" s="7" t="str">
        <f>HYPERLINK("https://knigipp.ru/api/getInfo/image/47139b7b-68bd-11f1-a29a-00155d82e908")</f>
        <v>https://knigipp.ru/api/getInfo/image/47139b7b-68bd-11f1-a29a-00155d82e908</v>
      </c>
      <c r="AE21" s="7" t="s">
        <v>65</v>
      </c>
      <c r="AF21" s="36">
        <v>10</v>
      </c>
      <c r="AG21" s="7" t="s">
        <v>66</v>
      </c>
      <c r="AH21" s="7" t="s">
        <v>78</v>
      </c>
      <c r="AI21" s="7"/>
      <c r="AJ21" s="7" t="s">
        <v>57</v>
      </c>
      <c r="AK21" s="7"/>
      <c r="AL21" s="7"/>
      <c r="AM21" s="7" t="s">
        <v>85</v>
      </c>
    </row>
    <row r="22" spans="1:39" ht="96.2" customHeight="1" outlineLevel="3" x14ac:dyDescent="0.2">
      <c r="A22" s="6">
        <v>10</v>
      </c>
      <c r="B22" s="7" t="s">
        <v>119</v>
      </c>
      <c r="C22" s="48" t="s">
        <v>120</v>
      </c>
      <c r="D22" s="48"/>
      <c r="E22" s="48"/>
      <c r="F22" s="48"/>
      <c r="G22" s="8" t="s">
        <v>121</v>
      </c>
      <c r="H22" s="14"/>
      <c r="I22" s="15"/>
      <c r="J22" s="16"/>
      <c r="K22" s="17">
        <v>40</v>
      </c>
      <c r="L22" s="16"/>
      <c r="M22" s="16" t="s">
        <v>48</v>
      </c>
      <c r="N22" s="18"/>
      <c r="O22" s="16"/>
      <c r="P22" s="6">
        <v>5</v>
      </c>
      <c r="Q22" s="26">
        <f>147*(1-T3/100)</f>
        <v>147</v>
      </c>
      <c r="R22" s="21"/>
      <c r="S22" s="16">
        <f t="shared" si="0"/>
        <v>0</v>
      </c>
      <c r="T22" s="27">
        <f>0.084*R22</f>
        <v>0</v>
      </c>
      <c r="U22" s="32">
        <f>0.0001*R22</f>
        <v>0</v>
      </c>
      <c r="V22" s="29"/>
      <c r="W22" s="30" t="s">
        <v>122</v>
      </c>
      <c r="X22" s="30" t="s">
        <v>51</v>
      </c>
      <c r="Y22" s="7" t="s">
        <v>52</v>
      </c>
      <c r="Z22" s="7" t="s">
        <v>123</v>
      </c>
      <c r="AA22" s="7" t="s">
        <v>53</v>
      </c>
      <c r="AB22" s="7"/>
      <c r="AC22" s="7"/>
      <c r="AD22" s="7" t="str">
        <f>HYPERLINK("https://knigipp.ru/api/getInfo/image/7d4e4b80-68bd-11f1-a29a-00155d82e908")</f>
        <v>https://knigipp.ru/api/getInfo/image/7d4e4b80-68bd-11f1-a29a-00155d82e908</v>
      </c>
      <c r="AE22" s="7" t="s">
        <v>65</v>
      </c>
      <c r="AF22" s="36">
        <v>10</v>
      </c>
      <c r="AG22" s="7" t="s">
        <v>66</v>
      </c>
      <c r="AH22" s="7" t="s">
        <v>78</v>
      </c>
      <c r="AI22" s="7"/>
      <c r="AJ22" s="7" t="s">
        <v>57</v>
      </c>
      <c r="AK22" s="7"/>
      <c r="AL22" s="7"/>
      <c r="AM22" s="7" t="s">
        <v>98</v>
      </c>
    </row>
    <row r="23" spans="1:39" ht="12" customHeight="1" outlineLevel="2" x14ac:dyDescent="0.2">
      <c r="A23" s="46" t="s">
        <v>124</v>
      </c>
      <c r="B23" s="46"/>
      <c r="C23" s="46"/>
      <c r="D23" s="46"/>
      <c r="E23" s="46"/>
      <c r="F23" s="46"/>
    </row>
    <row r="24" spans="1:39" ht="96.2" customHeight="1" outlineLevel="3" x14ac:dyDescent="0.2">
      <c r="A24" s="6">
        <v>11</v>
      </c>
      <c r="B24" s="7" t="s">
        <v>125</v>
      </c>
      <c r="C24" s="48" t="s">
        <v>126</v>
      </c>
      <c r="D24" s="48"/>
      <c r="E24" s="48"/>
      <c r="F24" s="48"/>
      <c r="G24" s="8" t="s">
        <v>127</v>
      </c>
      <c r="H24" s="14"/>
      <c r="I24" s="15" t="s">
        <v>128</v>
      </c>
      <c r="J24" s="16"/>
      <c r="K24" s="17">
        <v>40</v>
      </c>
      <c r="L24" s="16"/>
      <c r="M24" s="16" t="s">
        <v>48</v>
      </c>
      <c r="N24" s="18"/>
      <c r="O24" s="16"/>
      <c r="P24" s="6">
        <v>5</v>
      </c>
      <c r="Q24" s="26">
        <f>147*(1-T3/100)</f>
        <v>147</v>
      </c>
      <c r="R24" s="21"/>
      <c r="S24" s="16">
        <f t="shared" ref="S24:S29" si="1">Q24*R24</f>
        <v>0</v>
      </c>
      <c r="T24" s="27">
        <f>0.118*R24</f>
        <v>0</v>
      </c>
      <c r="U24" s="32">
        <f>0.0002*R24</f>
        <v>0</v>
      </c>
      <c r="V24" s="29"/>
      <c r="W24" s="30" t="s">
        <v>129</v>
      </c>
      <c r="X24" s="30" t="s">
        <v>51</v>
      </c>
      <c r="Y24" s="7" t="s">
        <v>130</v>
      </c>
      <c r="Z24" s="7" t="s">
        <v>131</v>
      </c>
      <c r="AA24" s="7" t="s">
        <v>53</v>
      </c>
      <c r="AB24" s="7" t="s">
        <v>132</v>
      </c>
      <c r="AC24" s="7"/>
      <c r="AD24" s="7" t="str">
        <f>HYPERLINK("https://knigipp.ru/api/getInfo/image/56803345-1b69-11e3-8b8b-5cf3fc4a2490")</f>
        <v>https://knigipp.ru/api/getInfo/image/56803345-1b69-11e3-8b8b-5cf3fc4a2490</v>
      </c>
      <c r="AE24" s="7" t="s">
        <v>65</v>
      </c>
      <c r="AF24" s="36">
        <v>10</v>
      </c>
      <c r="AG24" s="7"/>
      <c r="AH24" s="7" t="s">
        <v>78</v>
      </c>
      <c r="AI24" s="7"/>
      <c r="AJ24" s="7" t="s">
        <v>57</v>
      </c>
      <c r="AK24" s="7"/>
      <c r="AL24" s="7" t="s">
        <v>133</v>
      </c>
      <c r="AM24" s="7" t="s">
        <v>107</v>
      </c>
    </row>
    <row r="25" spans="1:39" ht="96.2" customHeight="1" outlineLevel="3" x14ac:dyDescent="0.2">
      <c r="A25" s="6">
        <v>12</v>
      </c>
      <c r="B25" s="7" t="s">
        <v>134</v>
      </c>
      <c r="C25" s="48" t="s">
        <v>135</v>
      </c>
      <c r="D25" s="48"/>
      <c r="E25" s="48"/>
      <c r="F25" s="48"/>
      <c r="G25" s="8" t="s">
        <v>136</v>
      </c>
      <c r="H25" s="14"/>
      <c r="I25" s="15" t="s">
        <v>128</v>
      </c>
      <c r="J25" s="16"/>
      <c r="K25" s="17">
        <v>40</v>
      </c>
      <c r="L25" s="16"/>
      <c r="M25" s="16" t="s">
        <v>137</v>
      </c>
      <c r="N25" s="18"/>
      <c r="O25" s="16"/>
      <c r="P25" s="6">
        <v>5</v>
      </c>
      <c r="Q25" s="26">
        <f>147*(1-T3/100)</f>
        <v>147</v>
      </c>
      <c r="R25" s="21"/>
      <c r="S25" s="16">
        <f t="shared" si="1"/>
        <v>0</v>
      </c>
      <c r="T25" s="27">
        <f>0.119*R25</f>
        <v>0</v>
      </c>
      <c r="U25" s="32">
        <f>0.0002*R25</f>
        <v>0</v>
      </c>
      <c r="V25" s="29"/>
      <c r="W25" s="30" t="s">
        <v>138</v>
      </c>
      <c r="X25" s="30" t="s">
        <v>51</v>
      </c>
      <c r="Y25" s="7" t="s">
        <v>139</v>
      </c>
      <c r="Z25" s="7" t="s">
        <v>140</v>
      </c>
      <c r="AA25" s="7" t="s">
        <v>53</v>
      </c>
      <c r="AB25" s="7" t="s">
        <v>132</v>
      </c>
      <c r="AC25" s="7"/>
      <c r="AD25" s="7" t="str">
        <f>HYPERLINK("https://knigipp.ru/api/getInfo/image/ba5b62aa-712b-11e7-977d-5cf3fc4a2490")</f>
        <v>https://knigipp.ru/api/getInfo/image/ba5b62aa-712b-11e7-977d-5cf3fc4a2490</v>
      </c>
      <c r="AE25" s="7" t="s">
        <v>65</v>
      </c>
      <c r="AF25" s="36">
        <v>10</v>
      </c>
      <c r="AG25" s="7"/>
      <c r="AH25" s="7" t="s">
        <v>78</v>
      </c>
      <c r="AI25" s="7"/>
      <c r="AJ25" s="7" t="s">
        <v>57</v>
      </c>
      <c r="AK25" s="7"/>
      <c r="AL25" s="7" t="s">
        <v>133</v>
      </c>
      <c r="AM25" s="7" t="s">
        <v>107</v>
      </c>
    </row>
    <row r="26" spans="1:39" ht="96.2" customHeight="1" outlineLevel="3" x14ac:dyDescent="0.2">
      <c r="A26" s="6">
        <v>13</v>
      </c>
      <c r="B26" s="7" t="s">
        <v>141</v>
      </c>
      <c r="C26" s="48" t="s">
        <v>142</v>
      </c>
      <c r="D26" s="48"/>
      <c r="E26" s="48"/>
      <c r="F26" s="48"/>
      <c r="G26" s="8" t="s">
        <v>143</v>
      </c>
      <c r="H26" s="14"/>
      <c r="I26" s="15" t="s">
        <v>144</v>
      </c>
      <c r="J26" s="16"/>
      <c r="K26" s="17">
        <v>40</v>
      </c>
      <c r="L26" s="16"/>
      <c r="M26" s="16" t="s">
        <v>137</v>
      </c>
      <c r="N26" s="18"/>
      <c r="O26" s="16"/>
      <c r="P26" s="6">
        <v>5</v>
      </c>
      <c r="Q26" s="26">
        <f>147*(1-T3/100)</f>
        <v>147</v>
      </c>
      <c r="R26" s="21"/>
      <c r="S26" s="16">
        <f t="shared" si="1"/>
        <v>0</v>
      </c>
      <c r="T26" s="16">
        <v>0</v>
      </c>
      <c r="U26" s="16">
        <v>0</v>
      </c>
      <c r="V26" s="29"/>
      <c r="W26" s="30" t="s">
        <v>145</v>
      </c>
      <c r="X26" s="30" t="s">
        <v>51</v>
      </c>
      <c r="Y26" s="7" t="s">
        <v>146</v>
      </c>
      <c r="Z26" s="7" t="s">
        <v>147</v>
      </c>
      <c r="AA26" s="7" t="s">
        <v>53</v>
      </c>
      <c r="AB26" s="7"/>
      <c r="AC26" s="7"/>
      <c r="AD26" s="7" t="str">
        <f>HYPERLINK("https://knigipp.ru/api/getInfo/image/3601b777-c8aa-11e9-a233-ac1f6b442184")</f>
        <v>https://knigipp.ru/api/getInfo/image/3601b777-c8aa-11e9-a233-ac1f6b442184</v>
      </c>
      <c r="AE26" s="7" t="s">
        <v>65</v>
      </c>
      <c r="AF26" s="36">
        <v>10</v>
      </c>
      <c r="AG26" s="7"/>
      <c r="AH26" s="7" t="s">
        <v>78</v>
      </c>
      <c r="AI26" s="7"/>
      <c r="AJ26" s="7" t="s">
        <v>57</v>
      </c>
      <c r="AK26" s="7"/>
      <c r="AL26" s="7"/>
      <c r="AM26" s="7" t="s">
        <v>107</v>
      </c>
    </row>
    <row r="27" spans="1:39" ht="96.2" customHeight="1" outlineLevel="3" x14ac:dyDescent="0.2">
      <c r="A27" s="6">
        <v>14</v>
      </c>
      <c r="B27" s="7" t="s">
        <v>148</v>
      </c>
      <c r="C27" s="48" t="s">
        <v>149</v>
      </c>
      <c r="D27" s="48"/>
      <c r="E27" s="48"/>
      <c r="F27" s="48"/>
      <c r="G27" s="8" t="s">
        <v>150</v>
      </c>
      <c r="H27" s="14"/>
      <c r="I27" s="15" t="s">
        <v>128</v>
      </c>
      <c r="J27" s="16"/>
      <c r="K27" s="17">
        <v>40</v>
      </c>
      <c r="L27" s="16"/>
      <c r="M27" s="16" t="s">
        <v>48</v>
      </c>
      <c r="N27" s="18"/>
      <c r="O27" s="16"/>
      <c r="P27" s="6">
        <v>5</v>
      </c>
      <c r="Q27" s="26">
        <f>147*(1-T3/100)</f>
        <v>147</v>
      </c>
      <c r="R27" s="21"/>
      <c r="S27" s="16">
        <f t="shared" si="1"/>
        <v>0</v>
      </c>
      <c r="T27" s="27">
        <f>0.118*R27</f>
        <v>0</v>
      </c>
      <c r="U27" s="32">
        <f>0.0002*R27</f>
        <v>0</v>
      </c>
      <c r="V27" s="29"/>
      <c r="W27" s="30" t="s">
        <v>151</v>
      </c>
      <c r="X27" s="30" t="s">
        <v>51</v>
      </c>
      <c r="Y27" s="7" t="s">
        <v>139</v>
      </c>
      <c r="Z27" s="7" t="s">
        <v>152</v>
      </c>
      <c r="AA27" s="7" t="s">
        <v>53</v>
      </c>
      <c r="AB27" s="7" t="s">
        <v>132</v>
      </c>
      <c r="AC27" s="7"/>
      <c r="AD27" s="7" t="str">
        <f>HYPERLINK("https://knigipp.ru/api/getInfo/image/ed8fcf46-48a1-11e4-98b8-5cf3fc4a2490")</f>
        <v>https://knigipp.ru/api/getInfo/image/ed8fcf46-48a1-11e4-98b8-5cf3fc4a2490</v>
      </c>
      <c r="AE27" s="7" t="s">
        <v>65</v>
      </c>
      <c r="AF27" s="36">
        <v>10</v>
      </c>
      <c r="AG27" s="7"/>
      <c r="AH27" s="7" t="s">
        <v>78</v>
      </c>
      <c r="AI27" s="7"/>
      <c r="AJ27" s="7" t="s">
        <v>57</v>
      </c>
      <c r="AK27" s="7"/>
      <c r="AL27" s="7" t="s">
        <v>133</v>
      </c>
      <c r="AM27" s="7" t="s">
        <v>107</v>
      </c>
    </row>
    <row r="28" spans="1:39" ht="96.2" customHeight="1" outlineLevel="3" x14ac:dyDescent="0.2">
      <c r="A28" s="6">
        <v>15</v>
      </c>
      <c r="B28" s="7" t="s">
        <v>153</v>
      </c>
      <c r="C28" s="48" t="s">
        <v>154</v>
      </c>
      <c r="D28" s="48"/>
      <c r="E28" s="48"/>
      <c r="F28" s="48"/>
      <c r="G28" s="8" t="s">
        <v>155</v>
      </c>
      <c r="H28" s="14"/>
      <c r="I28" s="15" t="s">
        <v>128</v>
      </c>
      <c r="J28" s="16"/>
      <c r="K28" s="17">
        <v>40</v>
      </c>
      <c r="L28" s="16"/>
      <c r="M28" s="16" t="s">
        <v>48</v>
      </c>
      <c r="N28" s="18"/>
      <c r="O28" s="16"/>
      <c r="P28" s="6">
        <v>5</v>
      </c>
      <c r="Q28" s="26">
        <f>147*(1-T3/100)</f>
        <v>147</v>
      </c>
      <c r="R28" s="21"/>
      <c r="S28" s="16">
        <f t="shared" si="1"/>
        <v>0</v>
      </c>
      <c r="T28" s="27">
        <f>0.118*R28</f>
        <v>0</v>
      </c>
      <c r="U28" s="32">
        <f>0.0002*R28</f>
        <v>0</v>
      </c>
      <c r="V28" s="29"/>
      <c r="W28" s="30" t="s">
        <v>156</v>
      </c>
      <c r="X28" s="30" t="s">
        <v>51</v>
      </c>
      <c r="Y28" s="7" t="s">
        <v>157</v>
      </c>
      <c r="Z28" s="7" t="s">
        <v>158</v>
      </c>
      <c r="AA28" s="7" t="s">
        <v>53</v>
      </c>
      <c r="AB28" s="7" t="s">
        <v>132</v>
      </c>
      <c r="AC28" s="7"/>
      <c r="AD28" s="7" t="str">
        <f>HYPERLINK("https://knigipp.ru/api/getInfo/image/938eb25f-1c75-11e3-8b8b-5cf3fc4a2490")</f>
        <v>https://knigipp.ru/api/getInfo/image/938eb25f-1c75-11e3-8b8b-5cf3fc4a2490</v>
      </c>
      <c r="AE28" s="7" t="s">
        <v>65</v>
      </c>
      <c r="AF28" s="36">
        <v>10</v>
      </c>
      <c r="AG28" s="7"/>
      <c r="AH28" s="7" t="s">
        <v>78</v>
      </c>
      <c r="AI28" s="7"/>
      <c r="AJ28" s="7" t="s">
        <v>57</v>
      </c>
      <c r="AK28" s="7"/>
      <c r="AL28" s="7" t="s">
        <v>133</v>
      </c>
      <c r="AM28" s="7" t="s">
        <v>107</v>
      </c>
    </row>
    <row r="29" spans="1:39" ht="96.2" customHeight="1" outlineLevel="3" x14ac:dyDescent="0.2">
      <c r="A29" s="6">
        <v>16</v>
      </c>
      <c r="B29" s="7" t="s">
        <v>159</v>
      </c>
      <c r="C29" s="48" t="s">
        <v>160</v>
      </c>
      <c r="D29" s="48"/>
      <c r="E29" s="48"/>
      <c r="F29" s="48"/>
      <c r="G29" s="8" t="s">
        <v>161</v>
      </c>
      <c r="H29" s="14"/>
      <c r="I29" s="15" t="s">
        <v>128</v>
      </c>
      <c r="J29" s="16"/>
      <c r="K29" s="17">
        <v>40</v>
      </c>
      <c r="L29" s="16"/>
      <c r="M29" s="16" t="s">
        <v>48</v>
      </c>
      <c r="N29" s="18"/>
      <c r="O29" s="16"/>
      <c r="P29" s="6">
        <v>5</v>
      </c>
      <c r="Q29" s="26">
        <f>147*(1-T3/100)</f>
        <v>147</v>
      </c>
      <c r="R29" s="21"/>
      <c r="S29" s="16">
        <f t="shared" si="1"/>
        <v>0</v>
      </c>
      <c r="T29" s="27">
        <f>0.118*R29</f>
        <v>0</v>
      </c>
      <c r="U29" s="32">
        <f>0.0002*R29</f>
        <v>0</v>
      </c>
      <c r="V29" s="29"/>
      <c r="W29" s="30" t="s">
        <v>162</v>
      </c>
      <c r="X29" s="30" t="s">
        <v>51</v>
      </c>
      <c r="Y29" s="7" t="s">
        <v>146</v>
      </c>
      <c r="Z29" s="7" t="s">
        <v>163</v>
      </c>
      <c r="AA29" s="7" t="s">
        <v>53</v>
      </c>
      <c r="AB29" s="7" t="s">
        <v>132</v>
      </c>
      <c r="AC29" s="7"/>
      <c r="AD29" s="7" t="str">
        <f>HYPERLINK("https://knigipp.ru/api/getInfo/image/0eef8a5f-1c49-11e3-8b8b-5cf3fc4a2490")</f>
        <v>https://knigipp.ru/api/getInfo/image/0eef8a5f-1c49-11e3-8b8b-5cf3fc4a2490</v>
      </c>
      <c r="AE29" s="7" t="s">
        <v>65</v>
      </c>
      <c r="AF29" s="36">
        <v>10</v>
      </c>
      <c r="AG29" s="7"/>
      <c r="AH29" s="7" t="s">
        <v>78</v>
      </c>
      <c r="AI29" s="7"/>
      <c r="AJ29" s="7" t="s">
        <v>57</v>
      </c>
      <c r="AK29" s="7"/>
      <c r="AL29" s="7" t="s">
        <v>133</v>
      </c>
      <c r="AM29" s="7" t="s">
        <v>107</v>
      </c>
    </row>
    <row r="30" spans="1:39" ht="12" customHeight="1" outlineLevel="2" x14ac:dyDescent="0.2">
      <c r="A30" s="46" t="s">
        <v>164</v>
      </c>
      <c r="B30" s="46"/>
      <c r="C30" s="46"/>
      <c r="D30" s="46"/>
      <c r="E30" s="46"/>
      <c r="F30" s="46"/>
    </row>
    <row r="31" spans="1:39" ht="96.2" customHeight="1" outlineLevel="3" x14ac:dyDescent="0.2">
      <c r="A31" s="6">
        <v>17</v>
      </c>
      <c r="B31" s="7" t="s">
        <v>165</v>
      </c>
      <c r="C31" s="48" t="s">
        <v>166</v>
      </c>
      <c r="D31" s="48"/>
      <c r="E31" s="48"/>
      <c r="F31" s="48"/>
      <c r="G31" s="8" t="s">
        <v>167</v>
      </c>
      <c r="H31" s="14"/>
      <c r="I31" s="15" t="s">
        <v>168</v>
      </c>
      <c r="J31" s="16"/>
      <c r="K31" s="17">
        <v>40</v>
      </c>
      <c r="L31" s="16"/>
      <c r="M31" s="16" t="s">
        <v>48</v>
      </c>
      <c r="N31" s="18"/>
      <c r="O31" s="16"/>
      <c r="P31" s="6">
        <v>5</v>
      </c>
      <c r="Q31" s="26">
        <f>147*(1-T3/100)</f>
        <v>147</v>
      </c>
      <c r="R31" s="21"/>
      <c r="S31" s="16">
        <f t="shared" ref="S31:S36" si="2">Q31*R31</f>
        <v>0</v>
      </c>
      <c r="T31" s="27">
        <f>0.069*R31</f>
        <v>0</v>
      </c>
      <c r="U31" s="28">
        <f>0.00013*R31</f>
        <v>0</v>
      </c>
      <c r="V31" s="29"/>
      <c r="W31" s="30" t="s">
        <v>169</v>
      </c>
      <c r="X31" s="30" t="s">
        <v>51</v>
      </c>
      <c r="Y31" s="7"/>
      <c r="Z31" s="7" t="s">
        <v>170</v>
      </c>
      <c r="AA31" s="7" t="s">
        <v>53</v>
      </c>
      <c r="AB31" s="7"/>
      <c r="AC31" s="7"/>
      <c r="AD31" s="7" t="str">
        <f>HYPERLINK("https://knigipp.ru/api/getInfo/image/7f77840f-9eab-11eb-a201-ac1f6b442185")</f>
        <v>https://knigipp.ru/api/getInfo/image/7f77840f-9eab-11eb-a201-ac1f6b442185</v>
      </c>
      <c r="AE31" s="7" t="s">
        <v>65</v>
      </c>
      <c r="AF31" s="36">
        <v>10</v>
      </c>
      <c r="AG31" s="7"/>
      <c r="AH31" s="7" t="s">
        <v>78</v>
      </c>
      <c r="AI31" s="7"/>
      <c r="AJ31" s="7" t="s">
        <v>57</v>
      </c>
      <c r="AK31" s="7"/>
      <c r="AL31" s="7" t="s">
        <v>171</v>
      </c>
      <c r="AM31" s="7" t="s">
        <v>172</v>
      </c>
    </row>
    <row r="32" spans="1:39" ht="96.2" customHeight="1" outlineLevel="3" x14ac:dyDescent="0.2">
      <c r="A32" s="6">
        <v>18</v>
      </c>
      <c r="B32" s="7" t="s">
        <v>173</v>
      </c>
      <c r="C32" s="48" t="s">
        <v>174</v>
      </c>
      <c r="D32" s="48"/>
      <c r="E32" s="48"/>
      <c r="F32" s="48"/>
      <c r="G32" s="8" t="s">
        <v>175</v>
      </c>
      <c r="H32" s="14"/>
      <c r="I32" s="15" t="s">
        <v>176</v>
      </c>
      <c r="J32" s="16"/>
      <c r="K32" s="17">
        <v>40</v>
      </c>
      <c r="L32" s="16"/>
      <c r="M32" s="16" t="s">
        <v>48</v>
      </c>
      <c r="N32" s="18"/>
      <c r="O32" s="16"/>
      <c r="P32" s="6">
        <v>5</v>
      </c>
      <c r="Q32" s="26">
        <f>147*(1-T3/100)</f>
        <v>147</v>
      </c>
      <c r="R32" s="21"/>
      <c r="S32" s="16">
        <f t="shared" si="2"/>
        <v>0</v>
      </c>
      <c r="T32" s="27">
        <f>0.079*R32</f>
        <v>0</v>
      </c>
      <c r="U32" s="32">
        <f>0.0004*R32</f>
        <v>0</v>
      </c>
      <c r="V32" s="29"/>
      <c r="W32" s="30" t="s">
        <v>177</v>
      </c>
      <c r="X32" s="30" t="s">
        <v>51</v>
      </c>
      <c r="Y32" s="7"/>
      <c r="Z32" s="7" t="s">
        <v>178</v>
      </c>
      <c r="AA32" s="7" t="s">
        <v>53</v>
      </c>
      <c r="AB32" s="7"/>
      <c r="AC32" s="7"/>
      <c r="AD32" s="7" t="str">
        <f>HYPERLINK("https://knigipp.ru/api/getInfo/image/0090d6a6-f93e-11ec-a213-ac1f6b442185")</f>
        <v>https://knigipp.ru/api/getInfo/image/0090d6a6-f93e-11ec-a213-ac1f6b442185</v>
      </c>
      <c r="AE32" s="7" t="s">
        <v>65</v>
      </c>
      <c r="AF32" s="36">
        <v>10</v>
      </c>
      <c r="AG32" s="7"/>
      <c r="AH32" s="7" t="s">
        <v>78</v>
      </c>
      <c r="AI32" s="7"/>
      <c r="AJ32" s="7" t="s">
        <v>57</v>
      </c>
      <c r="AK32" s="7"/>
      <c r="AL32" s="7"/>
      <c r="AM32" s="7" t="s">
        <v>179</v>
      </c>
    </row>
    <row r="33" spans="1:39" ht="96.2" customHeight="1" outlineLevel="3" x14ac:dyDescent="0.2">
      <c r="A33" s="6">
        <v>19</v>
      </c>
      <c r="B33" s="7" t="s">
        <v>180</v>
      </c>
      <c r="C33" s="48" t="s">
        <v>181</v>
      </c>
      <c r="D33" s="48"/>
      <c r="E33" s="48"/>
      <c r="F33" s="48"/>
      <c r="G33" s="8" t="s">
        <v>182</v>
      </c>
      <c r="H33" s="14"/>
      <c r="I33" s="15" t="s">
        <v>168</v>
      </c>
      <c r="J33" s="16"/>
      <c r="K33" s="17">
        <v>40</v>
      </c>
      <c r="L33" s="16"/>
      <c r="M33" s="16" t="s">
        <v>48</v>
      </c>
      <c r="N33" s="18"/>
      <c r="O33" s="16"/>
      <c r="P33" s="6">
        <v>5</v>
      </c>
      <c r="Q33" s="26">
        <f>147*(1-T3/100)</f>
        <v>147</v>
      </c>
      <c r="R33" s="21"/>
      <c r="S33" s="16">
        <f t="shared" si="2"/>
        <v>0</v>
      </c>
      <c r="T33" s="27">
        <f>0.075*R33</f>
        <v>0</v>
      </c>
      <c r="U33" s="28">
        <f>0.00017*R33</f>
        <v>0</v>
      </c>
      <c r="V33" s="29"/>
      <c r="W33" s="30" t="s">
        <v>183</v>
      </c>
      <c r="X33" s="30" t="s">
        <v>51</v>
      </c>
      <c r="Y33" s="7"/>
      <c r="Z33" s="7" t="s">
        <v>184</v>
      </c>
      <c r="AA33" s="7" t="s">
        <v>53</v>
      </c>
      <c r="AB33" s="7"/>
      <c r="AC33" s="7"/>
      <c r="AD33" s="7" t="str">
        <f>HYPERLINK("https://knigipp.ru/api/getInfo/image/fa1f9389-9eab-11eb-a201-ac1f6b442185")</f>
        <v>https://knigipp.ru/api/getInfo/image/fa1f9389-9eab-11eb-a201-ac1f6b442185</v>
      </c>
      <c r="AE33" s="7" t="s">
        <v>65</v>
      </c>
      <c r="AF33" s="36">
        <v>10</v>
      </c>
      <c r="AG33" s="7"/>
      <c r="AH33" s="7" t="s">
        <v>78</v>
      </c>
      <c r="AI33" s="7"/>
      <c r="AJ33" s="7" t="s">
        <v>57</v>
      </c>
      <c r="AK33" s="7"/>
      <c r="AL33" s="7" t="s">
        <v>171</v>
      </c>
      <c r="AM33" s="7" t="s">
        <v>172</v>
      </c>
    </row>
    <row r="34" spans="1:39" ht="96.2" customHeight="1" outlineLevel="3" x14ac:dyDescent="0.2">
      <c r="A34" s="6">
        <v>20</v>
      </c>
      <c r="B34" s="7" t="s">
        <v>185</v>
      </c>
      <c r="C34" s="48" t="s">
        <v>186</v>
      </c>
      <c r="D34" s="48"/>
      <c r="E34" s="48"/>
      <c r="F34" s="48"/>
      <c r="G34" s="8" t="s">
        <v>187</v>
      </c>
      <c r="H34" s="14"/>
      <c r="I34" s="15" t="s">
        <v>168</v>
      </c>
      <c r="J34" s="16"/>
      <c r="K34" s="17">
        <v>40</v>
      </c>
      <c r="L34" s="16"/>
      <c r="M34" s="16" t="s">
        <v>48</v>
      </c>
      <c r="N34" s="18"/>
      <c r="O34" s="16"/>
      <c r="P34" s="6">
        <v>5</v>
      </c>
      <c r="Q34" s="26">
        <f>147*(1-T3/100)</f>
        <v>147</v>
      </c>
      <c r="R34" s="21"/>
      <c r="S34" s="16">
        <f t="shared" si="2"/>
        <v>0</v>
      </c>
      <c r="T34" s="27">
        <f>0.073*R34</f>
        <v>0</v>
      </c>
      <c r="U34" s="28">
        <f>0.00018*R34</f>
        <v>0</v>
      </c>
      <c r="V34" s="29"/>
      <c r="W34" s="30" t="s">
        <v>188</v>
      </c>
      <c r="X34" s="30" t="s">
        <v>51</v>
      </c>
      <c r="Y34" s="7"/>
      <c r="Z34" s="7" t="s">
        <v>189</v>
      </c>
      <c r="AA34" s="7" t="s">
        <v>53</v>
      </c>
      <c r="AB34" s="7"/>
      <c r="AC34" s="7"/>
      <c r="AD34" s="7" t="str">
        <f>HYPERLINK("https://knigipp.ru/api/getInfo/image/d73eb495-9eab-11eb-a201-ac1f6b442185")</f>
        <v>https://knigipp.ru/api/getInfo/image/d73eb495-9eab-11eb-a201-ac1f6b442185</v>
      </c>
      <c r="AE34" s="7" t="s">
        <v>65</v>
      </c>
      <c r="AF34" s="36">
        <v>10</v>
      </c>
      <c r="AG34" s="7"/>
      <c r="AH34" s="7" t="s">
        <v>78</v>
      </c>
      <c r="AI34" s="7"/>
      <c r="AJ34" s="7" t="s">
        <v>57</v>
      </c>
      <c r="AK34" s="7"/>
      <c r="AL34" s="7" t="s">
        <v>171</v>
      </c>
      <c r="AM34" s="7" t="s">
        <v>172</v>
      </c>
    </row>
    <row r="35" spans="1:39" ht="96.2" customHeight="1" outlineLevel="3" x14ac:dyDescent="0.2">
      <c r="A35" s="6">
        <v>21</v>
      </c>
      <c r="B35" s="7" t="s">
        <v>190</v>
      </c>
      <c r="C35" s="48" t="s">
        <v>191</v>
      </c>
      <c r="D35" s="48"/>
      <c r="E35" s="48"/>
      <c r="F35" s="48"/>
      <c r="G35" s="8" t="s">
        <v>192</v>
      </c>
      <c r="H35" s="14"/>
      <c r="I35" s="15" t="s">
        <v>74</v>
      </c>
      <c r="J35" s="16"/>
      <c r="K35" s="17">
        <v>40</v>
      </c>
      <c r="L35" s="16"/>
      <c r="M35" s="16" t="s">
        <v>48</v>
      </c>
      <c r="N35" s="18"/>
      <c r="O35" s="16"/>
      <c r="P35" s="6">
        <v>5</v>
      </c>
      <c r="Q35" s="26">
        <f>147*(1-T3/100)</f>
        <v>147</v>
      </c>
      <c r="R35" s="21"/>
      <c r="S35" s="16">
        <f t="shared" si="2"/>
        <v>0</v>
      </c>
      <c r="T35" s="27">
        <f>0.078*R35</f>
        <v>0</v>
      </c>
      <c r="U35" s="28">
        <f>0.00037*R35</f>
        <v>0</v>
      </c>
      <c r="V35" s="29"/>
      <c r="W35" s="30" t="s">
        <v>193</v>
      </c>
      <c r="X35" s="30" t="s">
        <v>51</v>
      </c>
      <c r="Y35" s="7" t="s">
        <v>76</v>
      </c>
      <c r="Z35" s="7" t="s">
        <v>194</v>
      </c>
      <c r="AA35" s="7" t="s">
        <v>53</v>
      </c>
      <c r="AB35" s="7"/>
      <c r="AC35" s="7"/>
      <c r="AD35" s="7" t="str">
        <f>HYPERLINK("https://knigipp.ru/api/getInfo/image/8c785394-1cb9-11ef-a25e-00155d82e908")</f>
        <v>https://knigipp.ru/api/getInfo/image/8c785394-1cb9-11ef-a25e-00155d82e908</v>
      </c>
      <c r="AE35" s="7" t="s">
        <v>65</v>
      </c>
      <c r="AF35" s="36">
        <v>10</v>
      </c>
      <c r="AG35" s="7" t="s">
        <v>66</v>
      </c>
      <c r="AH35" s="7" t="s">
        <v>78</v>
      </c>
      <c r="AI35" s="7"/>
      <c r="AJ35" s="7" t="s">
        <v>57</v>
      </c>
      <c r="AK35" s="7"/>
      <c r="AL35" s="7"/>
      <c r="AM35" s="7" t="s">
        <v>195</v>
      </c>
    </row>
    <row r="36" spans="1:39" ht="96.2" customHeight="1" outlineLevel="3" x14ac:dyDescent="0.2">
      <c r="A36" s="6">
        <v>22</v>
      </c>
      <c r="B36" s="7" t="s">
        <v>196</v>
      </c>
      <c r="C36" s="48" t="s">
        <v>197</v>
      </c>
      <c r="D36" s="48"/>
      <c r="E36" s="48"/>
      <c r="F36" s="48"/>
      <c r="G36" s="8" t="s">
        <v>198</v>
      </c>
      <c r="H36" s="14"/>
      <c r="I36" s="15"/>
      <c r="J36" s="16"/>
      <c r="K36" s="17">
        <v>40</v>
      </c>
      <c r="L36" s="16"/>
      <c r="M36" s="16" t="s">
        <v>48</v>
      </c>
      <c r="N36" s="18"/>
      <c r="O36" s="16"/>
      <c r="P36" s="6">
        <v>5</v>
      </c>
      <c r="Q36" s="26">
        <f>147*(1-T3/100)</f>
        <v>147</v>
      </c>
      <c r="R36" s="21"/>
      <c r="S36" s="16">
        <f t="shared" si="2"/>
        <v>0</v>
      </c>
      <c r="T36" s="27">
        <f>0.081*R36</f>
        <v>0</v>
      </c>
      <c r="U36" s="32">
        <f>0.0002*R36</f>
        <v>0</v>
      </c>
      <c r="V36" s="29"/>
      <c r="W36" s="30" t="s">
        <v>199</v>
      </c>
      <c r="X36" s="30" t="s">
        <v>51</v>
      </c>
      <c r="Y36" s="7" t="s">
        <v>200</v>
      </c>
      <c r="Z36" s="7" t="s">
        <v>201</v>
      </c>
      <c r="AA36" s="7" t="s">
        <v>53</v>
      </c>
      <c r="AB36" s="7"/>
      <c r="AC36" s="7"/>
      <c r="AD36" s="7" t="str">
        <f>HYPERLINK("https://knigipp.ru/api/getInfo/image/0c1fce96-68bf-11f1-a29a-00155d82e908")</f>
        <v>https://knigipp.ru/api/getInfo/image/0c1fce96-68bf-11f1-a29a-00155d82e908</v>
      </c>
      <c r="AE36" s="7" t="s">
        <v>65</v>
      </c>
      <c r="AF36" s="36">
        <v>10</v>
      </c>
      <c r="AG36" s="7" t="s">
        <v>66</v>
      </c>
      <c r="AH36" s="7" t="s">
        <v>78</v>
      </c>
      <c r="AI36" s="7"/>
      <c r="AJ36" s="7" t="s">
        <v>57</v>
      </c>
      <c r="AK36" s="7"/>
      <c r="AL36" s="7"/>
      <c r="AM36" s="7" t="s">
        <v>85</v>
      </c>
    </row>
    <row r="37" spans="1:39" ht="12" customHeight="1" outlineLevel="2" x14ac:dyDescent="0.2">
      <c r="A37" s="46" t="s">
        <v>202</v>
      </c>
      <c r="B37" s="46"/>
      <c r="C37" s="46"/>
      <c r="D37" s="46"/>
      <c r="E37" s="46"/>
      <c r="F37" s="46"/>
    </row>
    <row r="38" spans="1:39" ht="96.2" customHeight="1" outlineLevel="3" x14ac:dyDescent="0.2">
      <c r="A38" s="6">
        <v>23</v>
      </c>
      <c r="B38" s="7" t="s">
        <v>203</v>
      </c>
      <c r="C38" s="48" t="s">
        <v>204</v>
      </c>
      <c r="D38" s="48"/>
      <c r="E38" s="48"/>
      <c r="F38" s="48"/>
      <c r="G38" s="8" t="s">
        <v>205</v>
      </c>
      <c r="H38" s="14"/>
      <c r="I38" s="15" t="s">
        <v>206</v>
      </c>
      <c r="J38" s="16"/>
      <c r="K38" s="17">
        <v>10</v>
      </c>
      <c r="L38" s="16"/>
      <c r="M38" s="16" t="s">
        <v>48</v>
      </c>
      <c r="N38" s="18"/>
      <c r="O38" s="16"/>
      <c r="P38" s="6">
        <v>1</v>
      </c>
      <c r="Q38" s="26">
        <f>599*(1-T3/100)</f>
        <v>599</v>
      </c>
      <c r="R38" s="21"/>
      <c r="S38" s="16">
        <f t="shared" ref="S38:S49" si="3">Q38*R38</f>
        <v>0</v>
      </c>
      <c r="T38" s="27">
        <f>0.412*R38</f>
        <v>0</v>
      </c>
      <c r="U38" s="28">
        <f>0.00104*R38</f>
        <v>0</v>
      </c>
      <c r="V38" s="29"/>
      <c r="W38" s="30" t="s">
        <v>207</v>
      </c>
      <c r="X38" s="30" t="s">
        <v>51</v>
      </c>
      <c r="Y38" s="7" t="s">
        <v>208</v>
      </c>
      <c r="Z38" s="7" t="s">
        <v>209</v>
      </c>
      <c r="AA38" s="7" t="s">
        <v>53</v>
      </c>
      <c r="AB38" s="7"/>
      <c r="AC38" s="7"/>
      <c r="AD38" s="7" t="str">
        <f>HYPERLINK("https://knigipp.ru/api/getInfo/image/4f109ce7-0445-11ee-a23b-00155d82e902")</f>
        <v>https://knigipp.ru/api/getInfo/image/4f109ce7-0445-11ee-a23b-00155d82e902</v>
      </c>
      <c r="AE38" s="7" t="s">
        <v>65</v>
      </c>
      <c r="AF38" s="36">
        <v>320</v>
      </c>
      <c r="AG38" s="7" t="s">
        <v>210</v>
      </c>
      <c r="AH38" s="7" t="s">
        <v>211</v>
      </c>
      <c r="AI38" s="7"/>
      <c r="AJ38" s="7" t="s">
        <v>57</v>
      </c>
      <c r="AK38" s="7"/>
      <c r="AL38" s="7" t="s">
        <v>212</v>
      </c>
      <c r="AM38" s="7" t="s">
        <v>213</v>
      </c>
    </row>
    <row r="39" spans="1:39" ht="96.2" customHeight="1" outlineLevel="3" x14ac:dyDescent="0.2">
      <c r="A39" s="6">
        <v>24</v>
      </c>
      <c r="B39" s="7" t="s">
        <v>214</v>
      </c>
      <c r="C39" s="48" t="s">
        <v>215</v>
      </c>
      <c r="D39" s="48"/>
      <c r="E39" s="48"/>
      <c r="F39" s="48"/>
      <c r="G39" s="8" t="s">
        <v>216</v>
      </c>
      <c r="H39" s="14"/>
      <c r="I39" s="15" t="s">
        <v>217</v>
      </c>
      <c r="J39" s="16"/>
      <c r="K39" s="17">
        <v>10</v>
      </c>
      <c r="L39" s="16"/>
      <c r="M39" s="16" t="s">
        <v>48</v>
      </c>
      <c r="N39" s="18"/>
      <c r="O39" s="16"/>
      <c r="P39" s="6">
        <v>1</v>
      </c>
      <c r="Q39" s="26">
        <f>677*(1-T3/100)</f>
        <v>677</v>
      </c>
      <c r="R39" s="21"/>
      <c r="S39" s="16">
        <f t="shared" si="3"/>
        <v>0</v>
      </c>
      <c r="T39" s="27">
        <f>0.299*R39</f>
        <v>0</v>
      </c>
      <c r="U39" s="28">
        <f>0.00032*R39</f>
        <v>0</v>
      </c>
      <c r="V39" s="29"/>
      <c r="W39" s="30" t="s">
        <v>218</v>
      </c>
      <c r="X39" s="30" t="s">
        <v>51</v>
      </c>
      <c r="Y39" s="7" t="s">
        <v>219</v>
      </c>
      <c r="Z39" s="7" t="s">
        <v>220</v>
      </c>
      <c r="AA39" s="7" t="s">
        <v>53</v>
      </c>
      <c r="AB39" s="7"/>
      <c r="AC39" s="7"/>
      <c r="AD39" s="7" t="str">
        <f>HYPERLINK("https://knigipp.ru/api/getInfo/image/588d0080-5b54-11f1-a295-00155d82e908")</f>
        <v>https://knigipp.ru/api/getInfo/image/588d0080-5b54-11f1-a295-00155d82e908</v>
      </c>
      <c r="AE39" s="7" t="s">
        <v>65</v>
      </c>
      <c r="AF39" s="36">
        <v>64</v>
      </c>
      <c r="AG39" s="7" t="s">
        <v>221</v>
      </c>
      <c r="AH39" s="7" t="s">
        <v>211</v>
      </c>
      <c r="AI39" s="7"/>
      <c r="AJ39" s="7" t="s">
        <v>57</v>
      </c>
      <c r="AK39" s="7"/>
      <c r="AL39" s="7"/>
      <c r="AM39" s="7" t="s">
        <v>222</v>
      </c>
    </row>
    <row r="40" spans="1:39" ht="96.2" customHeight="1" outlineLevel="3" x14ac:dyDescent="0.2">
      <c r="A40" s="6">
        <v>25</v>
      </c>
      <c r="B40" s="7" t="s">
        <v>223</v>
      </c>
      <c r="C40" s="48" t="s">
        <v>224</v>
      </c>
      <c r="D40" s="48"/>
      <c r="E40" s="48"/>
      <c r="F40" s="48"/>
      <c r="G40" s="8" t="s">
        <v>225</v>
      </c>
      <c r="H40" s="14"/>
      <c r="I40" s="15" t="s">
        <v>226</v>
      </c>
      <c r="J40" s="16"/>
      <c r="K40" s="17">
        <v>12</v>
      </c>
      <c r="L40" s="16"/>
      <c r="M40" s="16" t="s">
        <v>227</v>
      </c>
      <c r="N40" s="18"/>
      <c r="O40" s="16"/>
      <c r="P40" s="6">
        <v>1</v>
      </c>
      <c r="Q40" s="26">
        <f>499*(1-T3/100)</f>
        <v>499</v>
      </c>
      <c r="R40" s="21"/>
      <c r="S40" s="16">
        <f t="shared" si="3"/>
        <v>0</v>
      </c>
      <c r="T40" s="27">
        <f>0.338*R40</f>
        <v>0</v>
      </c>
      <c r="U40" s="28">
        <f>0.00058*R40</f>
        <v>0</v>
      </c>
      <c r="V40" s="29"/>
      <c r="W40" s="30" t="s">
        <v>228</v>
      </c>
      <c r="X40" s="30" t="s">
        <v>51</v>
      </c>
      <c r="Y40" s="7" t="s">
        <v>229</v>
      </c>
      <c r="Z40" s="7" t="s">
        <v>230</v>
      </c>
      <c r="AA40" s="7" t="s">
        <v>53</v>
      </c>
      <c r="AB40" s="7" t="s">
        <v>231</v>
      </c>
      <c r="AC40" s="7"/>
      <c r="AD40" s="7" t="str">
        <f>HYPERLINK("https://knigipp.ru/api/getInfo/image/eb6d69c9-ffbb-11ed-a23a-00155d82e902")</f>
        <v>https://knigipp.ru/api/getInfo/image/eb6d69c9-ffbb-11ed-a23a-00155d82e902</v>
      </c>
      <c r="AE40" s="7" t="s">
        <v>65</v>
      </c>
      <c r="AF40" s="36">
        <v>48</v>
      </c>
      <c r="AG40" s="7" t="s">
        <v>66</v>
      </c>
      <c r="AH40" s="7" t="s">
        <v>211</v>
      </c>
      <c r="AI40" s="7"/>
      <c r="AJ40" s="7" t="s">
        <v>57</v>
      </c>
      <c r="AK40" s="7"/>
      <c r="AL40" s="7"/>
      <c r="AM40" s="7" t="s">
        <v>232</v>
      </c>
    </row>
    <row r="41" spans="1:39" ht="96.2" customHeight="1" outlineLevel="3" x14ac:dyDescent="0.2">
      <c r="A41" s="6">
        <v>26</v>
      </c>
      <c r="B41" s="7" t="s">
        <v>233</v>
      </c>
      <c r="C41" s="48" t="s">
        <v>234</v>
      </c>
      <c r="D41" s="48"/>
      <c r="E41" s="48"/>
      <c r="F41" s="48"/>
      <c r="G41" s="8" t="s">
        <v>235</v>
      </c>
      <c r="H41" s="14"/>
      <c r="I41" s="15" t="s">
        <v>236</v>
      </c>
      <c r="J41" s="16"/>
      <c r="K41" s="17">
        <v>10</v>
      </c>
      <c r="L41" s="16"/>
      <c r="M41" s="16" t="s">
        <v>48</v>
      </c>
      <c r="N41" s="18"/>
      <c r="O41" s="16"/>
      <c r="P41" s="6">
        <v>1</v>
      </c>
      <c r="Q41" s="26">
        <f>597*(1-T3/100)</f>
        <v>597</v>
      </c>
      <c r="R41" s="21"/>
      <c r="S41" s="16">
        <f t="shared" si="3"/>
        <v>0</v>
      </c>
      <c r="T41" s="27">
        <f>0.346*R41</f>
        <v>0</v>
      </c>
      <c r="U41" s="28">
        <f>0.00046*R41</f>
        <v>0</v>
      </c>
      <c r="V41" s="29"/>
      <c r="W41" s="30" t="s">
        <v>237</v>
      </c>
      <c r="X41" s="30" t="s">
        <v>51</v>
      </c>
      <c r="Y41" s="7"/>
      <c r="Z41" s="7" t="s">
        <v>238</v>
      </c>
      <c r="AA41" s="7" t="s">
        <v>53</v>
      </c>
      <c r="AB41" s="7"/>
      <c r="AC41" s="7"/>
      <c r="AD41" s="7" t="str">
        <f>HYPERLINK("https://knigipp.ru/api/getInfo/image/b884e943-5101-11f0-a27e-00155d82e908")</f>
        <v>https://knigipp.ru/api/getInfo/image/b884e943-5101-11f0-a27e-00155d82e908</v>
      </c>
      <c r="AE41" s="7" t="s">
        <v>65</v>
      </c>
      <c r="AF41" s="36">
        <v>240</v>
      </c>
      <c r="AG41" s="7" t="s">
        <v>239</v>
      </c>
      <c r="AH41" s="7" t="s">
        <v>211</v>
      </c>
      <c r="AI41" s="7"/>
      <c r="AJ41" s="7" t="s">
        <v>57</v>
      </c>
      <c r="AK41" s="7"/>
      <c r="AL41" s="7"/>
      <c r="AM41" s="7" t="s">
        <v>240</v>
      </c>
    </row>
    <row r="42" spans="1:39" ht="96.2" customHeight="1" outlineLevel="3" x14ac:dyDescent="0.2">
      <c r="A42" s="6">
        <v>27</v>
      </c>
      <c r="B42" s="7" t="s">
        <v>241</v>
      </c>
      <c r="C42" s="48" t="s">
        <v>242</v>
      </c>
      <c r="D42" s="48"/>
      <c r="E42" s="48"/>
      <c r="F42" s="48"/>
      <c r="G42" s="8" t="s">
        <v>243</v>
      </c>
      <c r="H42" s="14"/>
      <c r="I42" s="15" t="s">
        <v>244</v>
      </c>
      <c r="J42" s="16"/>
      <c r="K42" s="17">
        <v>24</v>
      </c>
      <c r="L42" s="16"/>
      <c r="M42" s="16" t="s">
        <v>48</v>
      </c>
      <c r="N42" s="18"/>
      <c r="O42" s="16"/>
      <c r="P42" s="6">
        <v>1</v>
      </c>
      <c r="Q42" s="26">
        <f>399*(1-T3/100)</f>
        <v>399</v>
      </c>
      <c r="R42" s="21"/>
      <c r="S42" s="16">
        <f t="shared" si="3"/>
        <v>0</v>
      </c>
      <c r="T42" s="27">
        <f>0.142*R42</f>
        <v>0</v>
      </c>
      <c r="U42" s="28">
        <f>0.00031*R42</f>
        <v>0</v>
      </c>
      <c r="V42" s="29"/>
      <c r="W42" s="30" t="s">
        <v>245</v>
      </c>
      <c r="X42" s="30" t="s">
        <v>51</v>
      </c>
      <c r="Y42" s="7" t="s">
        <v>246</v>
      </c>
      <c r="Z42" s="7"/>
      <c r="AA42" s="7" t="s">
        <v>53</v>
      </c>
      <c r="AB42" s="7"/>
      <c r="AC42" s="7"/>
      <c r="AD42" s="7" t="str">
        <f>HYPERLINK("https://knigipp.ru/api/getInfo/image/9a488baa-10de-11ee-a23b-00155d82e902")</f>
        <v>https://knigipp.ru/api/getInfo/image/9a488baa-10de-11ee-a23b-00155d82e902</v>
      </c>
      <c r="AE42" s="7" t="s">
        <v>65</v>
      </c>
      <c r="AF42" s="36">
        <v>48</v>
      </c>
      <c r="AG42" s="7" t="s">
        <v>66</v>
      </c>
      <c r="AH42" s="7" t="s">
        <v>211</v>
      </c>
      <c r="AI42" s="7"/>
      <c r="AJ42" s="7" t="s">
        <v>57</v>
      </c>
      <c r="AK42" s="7"/>
      <c r="AL42" s="7"/>
      <c r="AM42" s="7" t="s">
        <v>247</v>
      </c>
    </row>
    <row r="43" spans="1:39" ht="96.2" customHeight="1" outlineLevel="3" x14ac:dyDescent="0.2">
      <c r="A43" s="6">
        <v>28</v>
      </c>
      <c r="B43" s="7" t="s">
        <v>248</v>
      </c>
      <c r="C43" s="48" t="s">
        <v>249</v>
      </c>
      <c r="D43" s="48"/>
      <c r="E43" s="48"/>
      <c r="F43" s="48"/>
      <c r="G43" s="8" t="s">
        <v>250</v>
      </c>
      <c r="H43" s="14"/>
      <c r="I43" s="15" t="s">
        <v>251</v>
      </c>
      <c r="J43" s="16"/>
      <c r="K43" s="17">
        <v>12</v>
      </c>
      <c r="L43" s="16"/>
      <c r="M43" s="16" t="s">
        <v>48</v>
      </c>
      <c r="N43" s="18"/>
      <c r="O43" s="16"/>
      <c r="P43" s="6">
        <v>1</v>
      </c>
      <c r="Q43" s="26">
        <f>577*(1-T3/100)</f>
        <v>577</v>
      </c>
      <c r="R43" s="21"/>
      <c r="S43" s="16">
        <f t="shared" si="3"/>
        <v>0</v>
      </c>
      <c r="T43" s="33">
        <f>0.4*R43</f>
        <v>0</v>
      </c>
      <c r="U43" s="28">
        <f>0.00045*R43</f>
        <v>0</v>
      </c>
      <c r="V43" s="29"/>
      <c r="W43" s="30" t="s">
        <v>252</v>
      </c>
      <c r="X43" s="30" t="s">
        <v>51</v>
      </c>
      <c r="Y43" s="7" t="s">
        <v>253</v>
      </c>
      <c r="Z43" s="7" t="s">
        <v>254</v>
      </c>
      <c r="AA43" s="7" t="s">
        <v>53</v>
      </c>
      <c r="AB43" s="7"/>
      <c r="AC43" s="7"/>
      <c r="AD43" s="7" t="str">
        <f>HYPERLINK("https://knigipp.ru/api/getInfo/image/68704ea6-748b-11f1-a29a-00155d82e908")</f>
        <v>https://knigipp.ru/api/getInfo/image/68704ea6-748b-11f1-a29a-00155d82e908</v>
      </c>
      <c r="AE43" s="7" t="s">
        <v>65</v>
      </c>
      <c r="AF43" s="36">
        <v>48</v>
      </c>
      <c r="AG43" s="7" t="s">
        <v>66</v>
      </c>
      <c r="AH43" s="7" t="s">
        <v>211</v>
      </c>
      <c r="AI43" s="7"/>
      <c r="AJ43" s="7" t="s">
        <v>57</v>
      </c>
      <c r="AK43" s="7"/>
      <c r="AL43" s="7"/>
      <c r="AM43" s="7" t="s">
        <v>255</v>
      </c>
    </row>
    <row r="44" spans="1:39" ht="96.2" customHeight="1" outlineLevel="3" x14ac:dyDescent="0.2">
      <c r="A44" s="6">
        <v>29</v>
      </c>
      <c r="B44" s="7" t="s">
        <v>256</v>
      </c>
      <c r="C44" s="48" t="s">
        <v>257</v>
      </c>
      <c r="D44" s="48"/>
      <c r="E44" s="48"/>
      <c r="F44" s="48"/>
      <c r="G44" s="8" t="s">
        <v>258</v>
      </c>
      <c r="H44" s="14"/>
      <c r="I44" s="15" t="s">
        <v>259</v>
      </c>
      <c r="J44" s="16"/>
      <c r="K44" s="17">
        <v>10</v>
      </c>
      <c r="L44" s="16"/>
      <c r="M44" s="16" t="s">
        <v>48</v>
      </c>
      <c r="N44" s="18"/>
      <c r="O44" s="16"/>
      <c r="P44" s="6">
        <v>1</v>
      </c>
      <c r="Q44" s="26">
        <f>278.85*(1-T3/100)</f>
        <v>278.85000000000002</v>
      </c>
      <c r="R44" s="21"/>
      <c r="S44" s="16">
        <f t="shared" si="3"/>
        <v>0</v>
      </c>
      <c r="T44" s="27">
        <f>0.361*R44</f>
        <v>0</v>
      </c>
      <c r="U44" s="28">
        <f>0.00058*R44</f>
        <v>0</v>
      </c>
      <c r="V44" s="29"/>
      <c r="W44" s="30" t="s">
        <v>260</v>
      </c>
      <c r="X44" s="30" t="s">
        <v>51</v>
      </c>
      <c r="Y44" s="7"/>
      <c r="Z44" s="7"/>
      <c r="AA44" s="7" t="s">
        <v>53</v>
      </c>
      <c r="AB44" s="7"/>
      <c r="AC44" s="7"/>
      <c r="AD44" s="7" t="str">
        <f>HYPERLINK("https://knigipp.ru/api/getInfo/image/a850ac5a-ae4e-11eb-a201-ac1f6b442185")</f>
        <v>https://knigipp.ru/api/getInfo/image/a850ac5a-ae4e-11eb-a201-ac1f6b442185</v>
      </c>
      <c r="AE44" s="7" t="s">
        <v>65</v>
      </c>
      <c r="AF44" s="36">
        <v>24</v>
      </c>
      <c r="AG44" s="7"/>
      <c r="AH44" s="7" t="s">
        <v>211</v>
      </c>
      <c r="AI44" s="7"/>
      <c r="AJ44" s="7" t="s">
        <v>57</v>
      </c>
      <c r="AK44" s="7"/>
      <c r="AL44" s="7"/>
      <c r="AM44" s="7" t="s">
        <v>261</v>
      </c>
    </row>
    <row r="45" spans="1:39" ht="96.2" customHeight="1" outlineLevel="3" x14ac:dyDescent="0.2">
      <c r="A45" s="6">
        <v>30</v>
      </c>
      <c r="B45" s="7" t="s">
        <v>262</v>
      </c>
      <c r="C45" s="48" t="s">
        <v>263</v>
      </c>
      <c r="D45" s="48"/>
      <c r="E45" s="48"/>
      <c r="F45" s="48"/>
      <c r="G45" s="8" t="s">
        <v>264</v>
      </c>
      <c r="H45" s="14"/>
      <c r="I45" s="15" t="s">
        <v>265</v>
      </c>
      <c r="J45" s="16"/>
      <c r="K45" s="17">
        <v>5</v>
      </c>
      <c r="L45" s="16"/>
      <c r="M45" s="16" t="s">
        <v>227</v>
      </c>
      <c r="N45" s="18"/>
      <c r="O45" s="16"/>
      <c r="P45" s="6">
        <v>1</v>
      </c>
      <c r="Q45" s="34">
        <f>1090*(1-T3/100)</f>
        <v>1090</v>
      </c>
      <c r="R45" s="21"/>
      <c r="S45" s="16">
        <f t="shared" si="3"/>
        <v>0</v>
      </c>
      <c r="T45" s="27">
        <f>0.902*R45</f>
        <v>0</v>
      </c>
      <c r="U45" s="28">
        <f>0.00116*R45</f>
        <v>0</v>
      </c>
      <c r="V45" s="29"/>
      <c r="W45" s="30" t="s">
        <v>266</v>
      </c>
      <c r="X45" s="30" t="s">
        <v>51</v>
      </c>
      <c r="Y45" s="7" t="s">
        <v>267</v>
      </c>
      <c r="Z45" s="7"/>
      <c r="AA45" s="7" t="s">
        <v>268</v>
      </c>
      <c r="AB45" s="7"/>
      <c r="AC45" s="7"/>
      <c r="AD45" s="7" t="str">
        <f>HYPERLINK("https://knigipp.ru/api/getInfo/image/12baf8bb-98da-11e9-a227-ac1f6b442184")</f>
        <v>https://knigipp.ru/api/getInfo/image/12baf8bb-98da-11e9-a227-ac1f6b442184</v>
      </c>
      <c r="AE45" s="7" t="s">
        <v>65</v>
      </c>
      <c r="AF45" s="36">
        <v>128</v>
      </c>
      <c r="AG45" s="7"/>
      <c r="AH45" s="7" t="s">
        <v>211</v>
      </c>
      <c r="AI45" s="7"/>
      <c r="AJ45" s="7" t="s">
        <v>57</v>
      </c>
      <c r="AK45" s="7"/>
      <c r="AL45" s="7" t="s">
        <v>269</v>
      </c>
      <c r="AM45" s="7" t="s">
        <v>270</v>
      </c>
    </row>
    <row r="46" spans="1:39" ht="96.2" customHeight="1" outlineLevel="3" x14ac:dyDescent="0.2">
      <c r="A46" s="6">
        <v>31</v>
      </c>
      <c r="B46" s="7" t="s">
        <v>271</v>
      </c>
      <c r="C46" s="48" t="s">
        <v>272</v>
      </c>
      <c r="D46" s="48"/>
      <c r="E46" s="48"/>
      <c r="F46" s="48"/>
      <c r="G46" s="8" t="s">
        <v>273</v>
      </c>
      <c r="H46" s="14"/>
      <c r="I46" s="15" t="s">
        <v>274</v>
      </c>
      <c r="J46" s="16"/>
      <c r="K46" s="17">
        <v>8</v>
      </c>
      <c r="L46" s="16"/>
      <c r="M46" s="16" t="s">
        <v>48</v>
      </c>
      <c r="N46" s="18"/>
      <c r="O46" s="16"/>
      <c r="P46" s="6">
        <v>1</v>
      </c>
      <c r="Q46" s="26">
        <f>597*(1-T3/100)</f>
        <v>597</v>
      </c>
      <c r="R46" s="21"/>
      <c r="S46" s="16">
        <f t="shared" si="3"/>
        <v>0</v>
      </c>
      <c r="T46" s="27">
        <f>0.328*R46</f>
        <v>0</v>
      </c>
      <c r="U46" s="28">
        <f>0.00076*R46</f>
        <v>0</v>
      </c>
      <c r="V46" s="29"/>
      <c r="W46" s="30" t="s">
        <v>275</v>
      </c>
      <c r="X46" s="30" t="s">
        <v>51</v>
      </c>
      <c r="Y46" s="7"/>
      <c r="Z46" s="7"/>
      <c r="AA46" s="7" t="s">
        <v>53</v>
      </c>
      <c r="AB46" s="7"/>
      <c r="AC46" s="7"/>
      <c r="AD46" s="7" t="str">
        <f>HYPERLINK("https://knigipp.ru/api/getInfo/image/7f985894-a645-11ea-a248-ac1f6b442184")</f>
        <v>https://knigipp.ru/api/getInfo/image/7f985894-a645-11ea-a248-ac1f6b442184</v>
      </c>
      <c r="AE46" s="7" t="s">
        <v>65</v>
      </c>
      <c r="AF46" s="36">
        <v>128</v>
      </c>
      <c r="AG46" s="7"/>
      <c r="AH46" s="7" t="s">
        <v>211</v>
      </c>
      <c r="AI46" s="7"/>
      <c r="AJ46" s="7" t="s">
        <v>57</v>
      </c>
      <c r="AK46" s="7"/>
      <c r="AL46" s="7" t="s">
        <v>276</v>
      </c>
      <c r="AM46" s="7" t="s">
        <v>277</v>
      </c>
    </row>
    <row r="47" spans="1:39" ht="96.2" customHeight="1" outlineLevel="3" x14ac:dyDescent="0.2">
      <c r="A47" s="6">
        <v>32</v>
      </c>
      <c r="B47" s="7" t="s">
        <v>278</v>
      </c>
      <c r="C47" s="48" t="s">
        <v>279</v>
      </c>
      <c r="D47" s="48"/>
      <c r="E47" s="48"/>
      <c r="F47" s="48"/>
      <c r="G47" s="8" t="s">
        <v>280</v>
      </c>
      <c r="H47" s="14"/>
      <c r="I47" s="15" t="s">
        <v>281</v>
      </c>
      <c r="J47" s="16"/>
      <c r="K47" s="17">
        <v>24</v>
      </c>
      <c r="L47" s="16"/>
      <c r="M47" s="16" t="s">
        <v>48</v>
      </c>
      <c r="N47" s="18"/>
      <c r="O47" s="16"/>
      <c r="P47" s="6">
        <v>1</v>
      </c>
      <c r="Q47" s="26">
        <f>299*(1-T3/100)</f>
        <v>299</v>
      </c>
      <c r="R47" s="21"/>
      <c r="S47" s="16">
        <f t="shared" si="3"/>
        <v>0</v>
      </c>
      <c r="T47" s="27">
        <f>0.141*R47</f>
        <v>0</v>
      </c>
      <c r="U47" s="28">
        <f>0.00065*R47</f>
        <v>0</v>
      </c>
      <c r="V47" s="29"/>
      <c r="W47" s="30" t="s">
        <v>282</v>
      </c>
      <c r="X47" s="30" t="s">
        <v>51</v>
      </c>
      <c r="Y47" s="7" t="s">
        <v>283</v>
      </c>
      <c r="Z47" s="7" t="s">
        <v>284</v>
      </c>
      <c r="AA47" s="7" t="s">
        <v>53</v>
      </c>
      <c r="AB47" s="7"/>
      <c r="AC47" s="7"/>
      <c r="AD47" s="7" t="str">
        <f>HYPERLINK("https://knigipp.ru/api/getInfo/image/7b0e3ba4-edc0-11ee-a25b-00155d82e908")</f>
        <v>https://knigipp.ru/api/getInfo/image/7b0e3ba4-edc0-11ee-a25b-00155d82e908</v>
      </c>
      <c r="AE47" s="7" t="s">
        <v>65</v>
      </c>
      <c r="AF47" s="36">
        <v>48</v>
      </c>
      <c r="AG47" s="7" t="s">
        <v>66</v>
      </c>
      <c r="AH47" s="7" t="s">
        <v>211</v>
      </c>
      <c r="AI47" s="7"/>
      <c r="AJ47" s="7" t="s">
        <v>57</v>
      </c>
      <c r="AK47" s="7"/>
      <c r="AL47" s="7"/>
      <c r="AM47" s="7" t="s">
        <v>285</v>
      </c>
    </row>
    <row r="48" spans="1:39" ht="96.2" customHeight="1" outlineLevel="3" x14ac:dyDescent="0.2">
      <c r="A48" s="6">
        <v>33</v>
      </c>
      <c r="B48" s="7" t="s">
        <v>286</v>
      </c>
      <c r="C48" s="48" t="s">
        <v>287</v>
      </c>
      <c r="D48" s="48"/>
      <c r="E48" s="48"/>
      <c r="F48" s="48"/>
      <c r="G48" s="8" t="s">
        <v>288</v>
      </c>
      <c r="H48" s="14"/>
      <c r="I48" s="15" t="s">
        <v>289</v>
      </c>
      <c r="J48" s="16"/>
      <c r="K48" s="17">
        <v>20</v>
      </c>
      <c r="L48" s="16"/>
      <c r="M48" s="16" t="s">
        <v>48</v>
      </c>
      <c r="N48" s="18"/>
      <c r="O48" s="16"/>
      <c r="P48" s="6">
        <v>1</v>
      </c>
      <c r="Q48" s="26">
        <f>327*(1-T3/100)</f>
        <v>327</v>
      </c>
      <c r="R48" s="21"/>
      <c r="S48" s="16">
        <f t="shared" si="3"/>
        <v>0</v>
      </c>
      <c r="T48" s="27">
        <f>0.315*R48</f>
        <v>0</v>
      </c>
      <c r="U48" s="28">
        <f>0.00042*R48</f>
        <v>0</v>
      </c>
      <c r="V48" s="29"/>
      <c r="W48" s="30" t="s">
        <v>290</v>
      </c>
      <c r="X48" s="30" t="s">
        <v>51</v>
      </c>
      <c r="Y48" s="7" t="s">
        <v>291</v>
      </c>
      <c r="Z48" s="7" t="s">
        <v>292</v>
      </c>
      <c r="AA48" s="7" t="s">
        <v>53</v>
      </c>
      <c r="AB48" s="7"/>
      <c r="AC48" s="7"/>
      <c r="AD48" s="7" t="str">
        <f>HYPERLINK("https://knigipp.ru/api/getInfo/image/1c9a9a74-edd5-11ee-a25b-00155d82e908")</f>
        <v>https://knigipp.ru/api/getInfo/image/1c9a9a74-edd5-11ee-a25b-00155d82e908</v>
      </c>
      <c r="AE48" s="7" t="s">
        <v>65</v>
      </c>
      <c r="AF48" s="36">
        <v>32</v>
      </c>
      <c r="AG48" s="7" t="s">
        <v>66</v>
      </c>
      <c r="AH48" s="7" t="s">
        <v>211</v>
      </c>
      <c r="AI48" s="7"/>
      <c r="AJ48" s="7" t="s">
        <v>57</v>
      </c>
      <c r="AK48" s="7"/>
      <c r="AL48" s="7"/>
      <c r="AM48" s="7" t="s">
        <v>293</v>
      </c>
    </row>
    <row r="49" spans="1:39" ht="96.2" customHeight="1" outlineLevel="3" x14ac:dyDescent="0.2">
      <c r="A49" s="6">
        <v>34</v>
      </c>
      <c r="B49" s="7" t="s">
        <v>294</v>
      </c>
      <c r="C49" s="48" t="s">
        <v>295</v>
      </c>
      <c r="D49" s="48"/>
      <c r="E49" s="48"/>
      <c r="F49" s="48"/>
      <c r="G49" s="8" t="s">
        <v>296</v>
      </c>
      <c r="H49" s="14"/>
      <c r="I49" s="15" t="s">
        <v>297</v>
      </c>
      <c r="J49" s="16"/>
      <c r="K49" s="17">
        <v>10</v>
      </c>
      <c r="L49" s="16"/>
      <c r="M49" s="16" t="s">
        <v>48</v>
      </c>
      <c r="N49" s="18"/>
      <c r="O49" s="16"/>
      <c r="P49" s="6">
        <v>1</v>
      </c>
      <c r="Q49" s="26">
        <f>537*(1-T3/100)</f>
        <v>537</v>
      </c>
      <c r="R49" s="21"/>
      <c r="S49" s="16">
        <f t="shared" si="3"/>
        <v>0</v>
      </c>
      <c r="T49" s="27">
        <f>0.244*R49</f>
        <v>0</v>
      </c>
      <c r="U49" s="28">
        <f>0.00031*R49</f>
        <v>0</v>
      </c>
      <c r="V49" s="29"/>
      <c r="W49" s="30" t="s">
        <v>298</v>
      </c>
      <c r="X49" s="30" t="s">
        <v>51</v>
      </c>
      <c r="Y49" s="7" t="s">
        <v>299</v>
      </c>
      <c r="Z49" s="7" t="s">
        <v>300</v>
      </c>
      <c r="AA49" s="7" t="s">
        <v>53</v>
      </c>
      <c r="AB49" s="7"/>
      <c r="AC49" s="7"/>
      <c r="AD49" s="7" t="str">
        <f>HYPERLINK("https://knigipp.ru/api/getInfo/image/3ddbc5eb-5b56-11f1-a295-00155d82e908")</f>
        <v>https://knigipp.ru/api/getInfo/image/3ddbc5eb-5b56-11f1-a295-00155d82e908</v>
      </c>
      <c r="AE49" s="7" t="s">
        <v>65</v>
      </c>
      <c r="AF49" s="36">
        <v>80</v>
      </c>
      <c r="AG49" s="7" t="s">
        <v>66</v>
      </c>
      <c r="AH49" s="7" t="s">
        <v>211</v>
      </c>
      <c r="AI49" s="7"/>
      <c r="AJ49" s="7" t="s">
        <v>57</v>
      </c>
      <c r="AK49" s="7"/>
      <c r="AL49" s="7"/>
      <c r="AM49" s="7" t="s">
        <v>301</v>
      </c>
    </row>
    <row r="50" spans="1:39" ht="12" customHeight="1" outlineLevel="2" x14ac:dyDescent="0.2">
      <c r="A50" s="46" t="s">
        <v>302</v>
      </c>
      <c r="B50" s="46"/>
      <c r="C50" s="46"/>
      <c r="D50" s="46"/>
      <c r="E50" s="46"/>
      <c r="F50" s="46"/>
    </row>
    <row r="51" spans="1:39" ht="96.2" customHeight="1" outlineLevel="3" x14ac:dyDescent="0.2">
      <c r="A51" s="6">
        <v>35</v>
      </c>
      <c r="B51" s="7" t="s">
        <v>303</v>
      </c>
      <c r="C51" s="48" t="s">
        <v>304</v>
      </c>
      <c r="D51" s="48"/>
      <c r="E51" s="48"/>
      <c r="F51" s="48"/>
      <c r="G51" s="8" t="s">
        <v>305</v>
      </c>
      <c r="H51" s="14"/>
      <c r="I51" s="15" t="s">
        <v>306</v>
      </c>
      <c r="J51" s="16"/>
      <c r="K51" s="17">
        <v>25</v>
      </c>
      <c r="L51" s="16"/>
      <c r="M51" s="16" t="s">
        <v>48</v>
      </c>
      <c r="N51" s="18"/>
      <c r="O51" s="16"/>
      <c r="P51" s="6">
        <v>1</v>
      </c>
      <c r="Q51" s="26">
        <f>270*(1-T3/100)</f>
        <v>270</v>
      </c>
      <c r="R51" s="21"/>
      <c r="S51" s="16">
        <f t="shared" ref="S51:S59" si="4">Q51*R51</f>
        <v>0</v>
      </c>
      <c r="T51" s="27">
        <f>0.146*R51</f>
        <v>0</v>
      </c>
      <c r="U51" s="28">
        <f>0.00026*R51</f>
        <v>0</v>
      </c>
      <c r="V51" s="29"/>
      <c r="W51" s="30" t="s">
        <v>307</v>
      </c>
      <c r="X51" s="30" t="s">
        <v>51</v>
      </c>
      <c r="Y51" s="7"/>
      <c r="Z51" s="7"/>
      <c r="AA51" s="7" t="s">
        <v>53</v>
      </c>
      <c r="AB51" s="7"/>
      <c r="AC51" s="7"/>
      <c r="AD51" s="7" t="str">
        <f>HYPERLINK("https://knigipp.ru/api/getInfo/image/be6d18cb-b584-11ec-a211-ac1f6b442185")</f>
        <v>https://knigipp.ru/api/getInfo/image/be6d18cb-b584-11ec-a211-ac1f6b442185</v>
      </c>
      <c r="AE51" s="7" t="s">
        <v>65</v>
      </c>
      <c r="AF51" s="36">
        <v>48</v>
      </c>
      <c r="AG51" s="7"/>
      <c r="AH51" s="7" t="s">
        <v>56</v>
      </c>
      <c r="AI51" s="7"/>
      <c r="AJ51" s="7" t="s">
        <v>57</v>
      </c>
      <c r="AK51" s="7"/>
      <c r="AL51" s="7"/>
      <c r="AM51" s="7" t="s">
        <v>308</v>
      </c>
    </row>
    <row r="52" spans="1:39" ht="96.2" customHeight="1" outlineLevel="3" x14ac:dyDescent="0.2">
      <c r="A52" s="6">
        <v>36</v>
      </c>
      <c r="B52" s="7" t="s">
        <v>309</v>
      </c>
      <c r="C52" s="48" t="s">
        <v>310</v>
      </c>
      <c r="D52" s="48"/>
      <c r="E52" s="48"/>
      <c r="F52" s="48"/>
      <c r="G52" s="8" t="s">
        <v>311</v>
      </c>
      <c r="H52" s="14"/>
      <c r="I52" s="15" t="s">
        <v>312</v>
      </c>
      <c r="J52" s="16"/>
      <c r="K52" s="17">
        <v>1</v>
      </c>
      <c r="L52" s="16"/>
      <c r="M52" s="16" t="s">
        <v>48</v>
      </c>
      <c r="N52" s="18"/>
      <c r="O52" s="16"/>
      <c r="P52" s="6">
        <v>1</v>
      </c>
      <c r="Q52" s="26">
        <f>899*(1-T3/100)</f>
        <v>899</v>
      </c>
      <c r="R52" s="21"/>
      <c r="S52" s="16">
        <f t="shared" si="4"/>
        <v>0</v>
      </c>
      <c r="T52" s="27">
        <f>0.677*R52</f>
        <v>0</v>
      </c>
      <c r="U52" s="28">
        <f>0.00521*R52</f>
        <v>0</v>
      </c>
      <c r="V52" s="29"/>
      <c r="W52" s="30" t="s">
        <v>313</v>
      </c>
      <c r="X52" s="30" t="s">
        <v>51</v>
      </c>
      <c r="Y52" s="7"/>
      <c r="Z52" s="7"/>
      <c r="AA52" s="7" t="s">
        <v>53</v>
      </c>
      <c r="AB52" s="7" t="s">
        <v>314</v>
      </c>
      <c r="AC52" s="7"/>
      <c r="AD52" s="7" t="str">
        <f>HYPERLINK("https://knigipp.ru/api/getInfo/image/5b04725c-1f54-11ef-a25f-00155d82e908")</f>
        <v>https://knigipp.ru/api/getInfo/image/5b04725c-1f54-11ef-a25f-00155d82e908</v>
      </c>
      <c r="AE52" s="7" t="s">
        <v>65</v>
      </c>
      <c r="AF52" s="7"/>
      <c r="AG52" s="7"/>
      <c r="AH52" s="7" t="s">
        <v>315</v>
      </c>
      <c r="AI52" s="7"/>
      <c r="AJ52" s="7" t="s">
        <v>57</v>
      </c>
      <c r="AK52" s="7"/>
      <c r="AL52" s="7"/>
      <c r="AM52" s="7" t="s">
        <v>316</v>
      </c>
    </row>
    <row r="53" spans="1:39" ht="96.2" customHeight="1" outlineLevel="3" x14ac:dyDescent="0.2">
      <c r="A53" s="6">
        <v>37</v>
      </c>
      <c r="B53" s="7" t="s">
        <v>317</v>
      </c>
      <c r="C53" s="48" t="s">
        <v>318</v>
      </c>
      <c r="D53" s="48"/>
      <c r="E53" s="48"/>
      <c r="F53" s="48"/>
      <c r="G53" s="8" t="s">
        <v>319</v>
      </c>
      <c r="H53" s="14"/>
      <c r="I53" s="15" t="s">
        <v>312</v>
      </c>
      <c r="J53" s="16"/>
      <c r="K53" s="17">
        <v>1</v>
      </c>
      <c r="L53" s="16"/>
      <c r="M53" s="16" t="s">
        <v>48</v>
      </c>
      <c r="N53" s="18"/>
      <c r="O53" s="16"/>
      <c r="P53" s="6">
        <v>1</v>
      </c>
      <c r="Q53" s="26">
        <f>899*(1-T3/100)</f>
        <v>899</v>
      </c>
      <c r="R53" s="21"/>
      <c r="S53" s="16">
        <f t="shared" si="4"/>
        <v>0</v>
      </c>
      <c r="T53" s="27">
        <f>0.157*R53</f>
        <v>0</v>
      </c>
      <c r="U53" s="28">
        <f>0.00098*R53</f>
        <v>0</v>
      </c>
      <c r="V53" s="29"/>
      <c r="W53" s="30" t="s">
        <v>320</v>
      </c>
      <c r="X53" s="30" t="s">
        <v>51</v>
      </c>
      <c r="Y53" s="7"/>
      <c r="Z53" s="7"/>
      <c r="AA53" s="7" t="s">
        <v>53</v>
      </c>
      <c r="AB53" s="7" t="s">
        <v>314</v>
      </c>
      <c r="AC53" s="7"/>
      <c r="AD53" s="7" t="str">
        <f>HYPERLINK("https://knigipp.ru/api/getInfo/image/8058530c-1f54-11ef-a25f-00155d82e908")</f>
        <v>https://knigipp.ru/api/getInfo/image/8058530c-1f54-11ef-a25f-00155d82e908</v>
      </c>
      <c r="AE53" s="7" t="s">
        <v>65</v>
      </c>
      <c r="AF53" s="7"/>
      <c r="AG53" s="7"/>
      <c r="AH53" s="7" t="s">
        <v>315</v>
      </c>
      <c r="AI53" s="7"/>
      <c r="AJ53" s="7" t="s">
        <v>57</v>
      </c>
      <c r="AK53" s="7"/>
      <c r="AL53" s="7"/>
      <c r="AM53" s="7" t="s">
        <v>316</v>
      </c>
    </row>
    <row r="54" spans="1:39" ht="96.2" customHeight="1" outlineLevel="3" x14ac:dyDescent="0.2">
      <c r="A54" s="6">
        <v>38</v>
      </c>
      <c r="B54" s="7" t="s">
        <v>321</v>
      </c>
      <c r="C54" s="48" t="s">
        <v>322</v>
      </c>
      <c r="D54" s="48"/>
      <c r="E54" s="48"/>
      <c r="F54" s="48"/>
      <c r="G54" s="8" t="s">
        <v>323</v>
      </c>
      <c r="H54" s="14"/>
      <c r="I54" s="15" t="s">
        <v>324</v>
      </c>
      <c r="J54" s="16"/>
      <c r="K54" s="17">
        <v>50</v>
      </c>
      <c r="L54" s="16"/>
      <c r="M54" s="16" t="s">
        <v>48</v>
      </c>
      <c r="N54" s="18"/>
      <c r="O54" s="16"/>
      <c r="P54" s="6">
        <v>1</v>
      </c>
      <c r="Q54" s="26">
        <f>199*(1-T3/100)</f>
        <v>199</v>
      </c>
      <c r="R54" s="21"/>
      <c r="S54" s="16">
        <f t="shared" si="4"/>
        <v>0</v>
      </c>
      <c r="T54" s="27">
        <f>0.122*R54</f>
        <v>0</v>
      </c>
      <c r="U54" s="28">
        <f>0.00055*R54</f>
        <v>0</v>
      </c>
      <c r="V54" s="29"/>
      <c r="W54" s="30" t="s">
        <v>325</v>
      </c>
      <c r="X54" s="30" t="s">
        <v>51</v>
      </c>
      <c r="Y54" s="7"/>
      <c r="Z54" s="7"/>
      <c r="AA54" s="7" t="s">
        <v>326</v>
      </c>
      <c r="AB54" s="7" t="s">
        <v>327</v>
      </c>
      <c r="AC54" s="7"/>
      <c r="AD54" s="7" t="str">
        <f>HYPERLINK("https://knigipp.ru/api/getInfo/image/4c465974-73b2-11e8-844d-5cf3fc4a2490")</f>
        <v>https://knigipp.ru/api/getInfo/image/4c465974-73b2-11e8-844d-5cf3fc4a2490</v>
      </c>
      <c r="AE54" s="7" t="s">
        <v>65</v>
      </c>
      <c r="AF54" s="7"/>
      <c r="AG54" s="7"/>
      <c r="AH54" s="7" t="s">
        <v>328</v>
      </c>
      <c r="AI54" s="7"/>
      <c r="AJ54" s="7" t="s">
        <v>57</v>
      </c>
      <c r="AK54" s="7"/>
      <c r="AL54" s="7"/>
      <c r="AM54" s="7" t="s">
        <v>329</v>
      </c>
    </row>
    <row r="55" spans="1:39" ht="96.2" customHeight="1" outlineLevel="3" x14ac:dyDescent="0.2">
      <c r="A55" s="6">
        <v>39</v>
      </c>
      <c r="B55" s="7" t="s">
        <v>330</v>
      </c>
      <c r="C55" s="48" t="s">
        <v>331</v>
      </c>
      <c r="D55" s="48"/>
      <c r="E55" s="48"/>
      <c r="F55" s="48"/>
      <c r="G55" s="8" t="s">
        <v>332</v>
      </c>
      <c r="H55" s="14"/>
      <c r="I55" s="15" t="s">
        <v>333</v>
      </c>
      <c r="J55" s="16"/>
      <c r="K55" s="17">
        <v>50</v>
      </c>
      <c r="L55" s="16"/>
      <c r="M55" s="16" t="s">
        <v>48</v>
      </c>
      <c r="N55" s="18"/>
      <c r="O55" s="16"/>
      <c r="P55" s="6">
        <v>1</v>
      </c>
      <c r="Q55" s="26">
        <f>199*(1-T3/100)</f>
        <v>199</v>
      </c>
      <c r="R55" s="21"/>
      <c r="S55" s="16">
        <f t="shared" si="4"/>
        <v>0</v>
      </c>
      <c r="T55" s="27">
        <f>0.119*R55</f>
        <v>0</v>
      </c>
      <c r="U55" s="28">
        <f>0.00038*R55</f>
        <v>0</v>
      </c>
      <c r="V55" s="29"/>
      <c r="W55" s="30" t="s">
        <v>334</v>
      </c>
      <c r="X55" s="30" t="s">
        <v>51</v>
      </c>
      <c r="Y55" s="7"/>
      <c r="Z55" s="7" t="s">
        <v>335</v>
      </c>
      <c r="AA55" s="7" t="s">
        <v>336</v>
      </c>
      <c r="AB55" s="7"/>
      <c r="AC55" s="7"/>
      <c r="AD55" s="7" t="str">
        <f>HYPERLINK("https://knigipp.ru/api/getInfo/image/e13719e8-354c-11ef-a261-00155d82e908")</f>
        <v>https://knigipp.ru/api/getInfo/image/e13719e8-354c-11ef-a261-00155d82e908</v>
      </c>
      <c r="AE55" s="7" t="s">
        <v>65</v>
      </c>
      <c r="AF55" s="7"/>
      <c r="AG55" s="7"/>
      <c r="AH55" s="7" t="s">
        <v>328</v>
      </c>
      <c r="AI55" s="7"/>
      <c r="AJ55" s="7" t="s">
        <v>57</v>
      </c>
      <c r="AK55" s="7"/>
      <c r="AL55" s="7"/>
      <c r="AM55" s="7" t="s">
        <v>337</v>
      </c>
    </row>
    <row r="56" spans="1:39" ht="96.2" customHeight="1" outlineLevel="3" x14ac:dyDescent="0.2">
      <c r="A56" s="6">
        <v>40</v>
      </c>
      <c r="B56" s="7" t="s">
        <v>338</v>
      </c>
      <c r="C56" s="48" t="s">
        <v>339</v>
      </c>
      <c r="D56" s="48"/>
      <c r="E56" s="48"/>
      <c r="F56" s="48"/>
      <c r="G56" s="8" t="s">
        <v>340</v>
      </c>
      <c r="H56" s="14"/>
      <c r="I56" s="15" t="s">
        <v>341</v>
      </c>
      <c r="J56" s="16"/>
      <c r="K56" s="17">
        <v>50</v>
      </c>
      <c r="L56" s="16"/>
      <c r="M56" s="16" t="s">
        <v>137</v>
      </c>
      <c r="N56" s="18"/>
      <c r="O56" s="16"/>
      <c r="P56" s="6">
        <v>1</v>
      </c>
      <c r="Q56" s="26">
        <f>199*(1-T3/100)</f>
        <v>199</v>
      </c>
      <c r="R56" s="21"/>
      <c r="S56" s="16">
        <f t="shared" si="4"/>
        <v>0</v>
      </c>
      <c r="T56" s="27">
        <f>0.117*R56</f>
        <v>0</v>
      </c>
      <c r="U56" s="28">
        <f>0.00002*R56</f>
        <v>0</v>
      </c>
      <c r="V56" s="29"/>
      <c r="W56" s="30" t="s">
        <v>342</v>
      </c>
      <c r="X56" s="30" t="s">
        <v>51</v>
      </c>
      <c r="Y56" s="7"/>
      <c r="Z56" s="7"/>
      <c r="AA56" s="7" t="s">
        <v>326</v>
      </c>
      <c r="AB56" s="7"/>
      <c r="AC56" s="7"/>
      <c r="AD56" s="7" t="str">
        <f>HYPERLINK("https://knigipp.ru/api/getInfo/image/f5b555d5-c02c-11e9-a232-ac1f6b442184")</f>
        <v>https://knigipp.ru/api/getInfo/image/f5b555d5-c02c-11e9-a232-ac1f6b442184</v>
      </c>
      <c r="AE56" s="7" t="s">
        <v>65</v>
      </c>
      <c r="AF56" s="7"/>
      <c r="AG56" s="7"/>
      <c r="AH56" s="7" t="s">
        <v>328</v>
      </c>
      <c r="AI56" s="7"/>
      <c r="AJ56" s="7" t="s">
        <v>343</v>
      </c>
      <c r="AK56" s="7"/>
      <c r="AL56" s="7"/>
      <c r="AM56" s="7" t="s">
        <v>329</v>
      </c>
    </row>
    <row r="57" spans="1:39" ht="96.2" customHeight="1" outlineLevel="3" x14ac:dyDescent="0.2">
      <c r="A57" s="3">
        <v>41</v>
      </c>
      <c r="B57" s="4" t="s">
        <v>344</v>
      </c>
      <c r="C57" s="50" t="s">
        <v>345</v>
      </c>
      <c r="D57" s="50"/>
      <c r="E57" s="50"/>
      <c r="F57" s="50"/>
      <c r="G57" s="5" t="s">
        <v>346</v>
      </c>
      <c r="H57" s="9"/>
      <c r="I57" s="10"/>
      <c r="J57" s="11"/>
      <c r="K57" s="12">
        <v>10</v>
      </c>
      <c r="L57" s="11"/>
      <c r="M57" s="11" t="s">
        <v>48</v>
      </c>
      <c r="N57" s="13"/>
      <c r="O57" s="11"/>
      <c r="P57" s="3">
        <v>1</v>
      </c>
      <c r="Q57" s="20">
        <f>497*(1-T3/100)</f>
        <v>497</v>
      </c>
      <c r="R57" s="21"/>
      <c r="S57" s="11">
        <f t="shared" si="4"/>
        <v>0</v>
      </c>
      <c r="T57" s="22">
        <f>0.175*R57</f>
        <v>0</v>
      </c>
      <c r="U57" s="23">
        <f>0.00023*R57</f>
        <v>0</v>
      </c>
      <c r="V57" s="24" t="s">
        <v>49</v>
      </c>
      <c r="W57" s="25" t="s">
        <v>347</v>
      </c>
      <c r="X57" s="25" t="s">
        <v>51</v>
      </c>
      <c r="Y57" s="4"/>
      <c r="Z57" s="4"/>
      <c r="AA57" s="4" t="s">
        <v>53</v>
      </c>
      <c r="AB57" s="4"/>
      <c r="AC57" s="4"/>
      <c r="AD57" s="4" t="str">
        <f>HYPERLINK("https://knigipp.ru/api/getInfo/image/5015cfa3-68c4-11f1-a29a-00155d82e908")</f>
        <v>https://knigipp.ru/api/getInfo/image/5015cfa3-68c4-11f1-a29a-00155d82e908</v>
      </c>
      <c r="AE57" s="4" t="s">
        <v>65</v>
      </c>
      <c r="AF57" s="35">
        <v>10</v>
      </c>
      <c r="AG57" s="4" t="s">
        <v>66</v>
      </c>
      <c r="AH57" s="4" t="s">
        <v>78</v>
      </c>
      <c r="AI57" s="4"/>
      <c r="AJ57" s="4"/>
      <c r="AK57" s="4"/>
      <c r="AL57" s="4"/>
      <c r="AM57" s="4" t="s">
        <v>348</v>
      </c>
    </row>
    <row r="58" spans="1:39" ht="96.2" customHeight="1" outlineLevel="3" x14ac:dyDescent="0.2">
      <c r="A58" s="6">
        <v>42</v>
      </c>
      <c r="B58" s="7" t="s">
        <v>349</v>
      </c>
      <c r="C58" s="48" t="s">
        <v>350</v>
      </c>
      <c r="D58" s="48"/>
      <c r="E58" s="48"/>
      <c r="F58" s="48"/>
      <c r="G58" s="8" t="s">
        <v>351</v>
      </c>
      <c r="H58" s="14"/>
      <c r="I58" s="15" t="s">
        <v>352</v>
      </c>
      <c r="J58" s="16"/>
      <c r="K58" s="17">
        <v>5</v>
      </c>
      <c r="L58" s="16"/>
      <c r="M58" s="16" t="s">
        <v>48</v>
      </c>
      <c r="N58" s="18"/>
      <c r="O58" s="16"/>
      <c r="P58" s="6">
        <v>1</v>
      </c>
      <c r="Q58" s="26">
        <f>599*(1-T3/100)</f>
        <v>599</v>
      </c>
      <c r="R58" s="21"/>
      <c r="S58" s="16">
        <f t="shared" si="4"/>
        <v>0</v>
      </c>
      <c r="T58" s="33">
        <f>0.3*R58</f>
        <v>0</v>
      </c>
      <c r="U58" s="28">
        <f>0.00292*R58</f>
        <v>0</v>
      </c>
      <c r="V58" s="29"/>
      <c r="W58" s="30" t="s">
        <v>353</v>
      </c>
      <c r="X58" s="30" t="s">
        <v>51</v>
      </c>
      <c r="Y58" s="7"/>
      <c r="Z58" s="7"/>
      <c r="AA58" s="7" t="s">
        <v>53</v>
      </c>
      <c r="AB58" s="7"/>
      <c r="AC58" s="7"/>
      <c r="AD58" s="7" t="str">
        <f>HYPERLINK("https://knigipp.ru/api/getInfo/image/6a79b120-ad95-11eb-a201-ac1f6b442185")</f>
        <v>https://knigipp.ru/api/getInfo/image/6a79b120-ad95-11eb-a201-ac1f6b442185</v>
      </c>
      <c r="AE58" s="7" t="s">
        <v>65</v>
      </c>
      <c r="AF58" s="36">
        <v>10</v>
      </c>
      <c r="AG58" s="7"/>
      <c r="AH58" s="7" t="s">
        <v>78</v>
      </c>
      <c r="AI58" s="7"/>
      <c r="AJ58" s="7" t="s">
        <v>57</v>
      </c>
      <c r="AK58" s="7"/>
      <c r="AL58" s="7"/>
      <c r="AM58" s="7" t="s">
        <v>354</v>
      </c>
    </row>
    <row r="59" spans="1:39" ht="96.2" customHeight="1" outlineLevel="3" x14ac:dyDescent="0.2">
      <c r="A59" s="6">
        <v>43</v>
      </c>
      <c r="B59" s="7" t="s">
        <v>355</v>
      </c>
      <c r="C59" s="48" t="s">
        <v>356</v>
      </c>
      <c r="D59" s="48"/>
      <c r="E59" s="48"/>
      <c r="F59" s="48"/>
      <c r="G59" s="8" t="s">
        <v>357</v>
      </c>
      <c r="H59" s="14"/>
      <c r="I59" s="15" t="s">
        <v>358</v>
      </c>
      <c r="J59" s="16"/>
      <c r="K59" s="17">
        <v>6</v>
      </c>
      <c r="L59" s="16"/>
      <c r="M59" s="16" t="s">
        <v>48</v>
      </c>
      <c r="N59" s="18"/>
      <c r="O59" s="16"/>
      <c r="P59" s="6">
        <v>1</v>
      </c>
      <c r="Q59" s="26">
        <f>687*(1-T3/100)</f>
        <v>687</v>
      </c>
      <c r="R59" s="21"/>
      <c r="S59" s="16">
        <f t="shared" si="4"/>
        <v>0</v>
      </c>
      <c r="T59" s="27">
        <f>0.394*R59</f>
        <v>0</v>
      </c>
      <c r="U59" s="28">
        <f>0.00253*R59</f>
        <v>0</v>
      </c>
      <c r="V59" s="29"/>
      <c r="W59" s="30" t="s">
        <v>359</v>
      </c>
      <c r="X59" s="30" t="s">
        <v>51</v>
      </c>
      <c r="Y59" s="7" t="s">
        <v>360</v>
      </c>
      <c r="Z59" s="7" t="s">
        <v>361</v>
      </c>
      <c r="AA59" s="7" t="s">
        <v>53</v>
      </c>
      <c r="AB59" s="7"/>
      <c r="AC59" s="7"/>
      <c r="AD59" s="7" t="str">
        <f>HYPERLINK("https://knigipp.ru/api/getInfo/image/d187b817-1f49-11ef-a25f-00155d82e908")</f>
        <v>https://knigipp.ru/api/getInfo/image/d187b817-1f49-11ef-a25f-00155d82e908</v>
      </c>
      <c r="AE59" s="7" t="s">
        <v>65</v>
      </c>
      <c r="AF59" s="36">
        <v>32</v>
      </c>
      <c r="AG59" s="7" t="s">
        <v>66</v>
      </c>
      <c r="AH59" s="7" t="s">
        <v>211</v>
      </c>
      <c r="AI59" s="7"/>
      <c r="AJ59" s="7" t="s">
        <v>57</v>
      </c>
      <c r="AK59" s="7"/>
      <c r="AL59" s="7"/>
      <c r="AM59" s="7" t="s">
        <v>362</v>
      </c>
    </row>
    <row r="60" spans="1:39" ht="23.25" customHeight="1" outlineLevel="2" x14ac:dyDescent="0.2">
      <c r="A60" s="46" t="s">
        <v>363</v>
      </c>
      <c r="B60" s="46"/>
      <c r="C60" s="46"/>
      <c r="D60" s="46"/>
      <c r="E60" s="46"/>
      <c r="F60" s="46"/>
    </row>
    <row r="61" spans="1:39" ht="96.2" customHeight="1" outlineLevel="3" x14ac:dyDescent="0.2">
      <c r="A61" s="6">
        <v>44</v>
      </c>
      <c r="B61" s="7" t="s">
        <v>364</v>
      </c>
      <c r="C61" s="48" t="s">
        <v>365</v>
      </c>
      <c r="D61" s="48"/>
      <c r="E61" s="48"/>
      <c r="F61" s="48"/>
      <c r="G61" s="8" t="s">
        <v>366</v>
      </c>
      <c r="H61" s="14"/>
      <c r="I61" s="15"/>
      <c r="J61" s="16"/>
      <c r="K61" s="17">
        <v>10</v>
      </c>
      <c r="L61" s="16"/>
      <c r="M61" s="16" t="s">
        <v>48</v>
      </c>
      <c r="N61" s="18"/>
      <c r="O61" s="16"/>
      <c r="P61" s="6">
        <v>3</v>
      </c>
      <c r="Q61" s="26">
        <f>249*(1-T3/100)</f>
        <v>249</v>
      </c>
      <c r="R61" s="21"/>
      <c r="S61" s="16">
        <f>Q61*R61</f>
        <v>0</v>
      </c>
      <c r="T61" s="27">
        <f>0.286*R61</f>
        <v>0</v>
      </c>
      <c r="U61" s="28">
        <f>0.00076*R61</f>
        <v>0</v>
      </c>
      <c r="V61" s="29"/>
      <c r="W61" s="30" t="s">
        <v>367</v>
      </c>
      <c r="X61" s="30" t="s">
        <v>64</v>
      </c>
      <c r="Y61" s="7"/>
      <c r="Z61" s="7"/>
      <c r="AA61" s="7" t="s">
        <v>53</v>
      </c>
      <c r="AB61" s="7"/>
      <c r="AC61" s="7"/>
      <c r="AD61" s="7" t="str">
        <f>HYPERLINK("https://knigipp.ru/api/getInfo/image/f4e9a03d-fb22-11ee-a25d-00155d82e908")</f>
        <v>https://knigipp.ru/api/getInfo/image/f4e9a03d-fb22-11ee-a25d-00155d82e908</v>
      </c>
      <c r="AE61" s="7" t="s">
        <v>368</v>
      </c>
      <c r="AF61" s="36">
        <v>128</v>
      </c>
      <c r="AG61" s="7" t="s">
        <v>369</v>
      </c>
      <c r="AH61" s="7" t="s">
        <v>211</v>
      </c>
      <c r="AI61" s="7"/>
      <c r="AJ61" s="7" t="s">
        <v>57</v>
      </c>
      <c r="AK61" s="7"/>
      <c r="AL61" s="7"/>
      <c r="AM61" s="7" t="s">
        <v>370</v>
      </c>
    </row>
    <row r="62" spans="1:39" ht="96.2" customHeight="1" outlineLevel="3" x14ac:dyDescent="0.2">
      <c r="A62" s="6">
        <v>45</v>
      </c>
      <c r="B62" s="7" t="s">
        <v>371</v>
      </c>
      <c r="C62" s="48" t="s">
        <v>372</v>
      </c>
      <c r="D62" s="48"/>
      <c r="E62" s="48"/>
      <c r="F62" s="48"/>
      <c r="G62" s="8" t="s">
        <v>373</v>
      </c>
      <c r="H62" s="14"/>
      <c r="I62" s="15"/>
      <c r="J62" s="16"/>
      <c r="K62" s="17">
        <v>10</v>
      </c>
      <c r="L62" s="16"/>
      <c r="M62" s="16" t="s">
        <v>227</v>
      </c>
      <c r="N62" s="18"/>
      <c r="O62" s="16"/>
      <c r="P62" s="6">
        <v>3</v>
      </c>
      <c r="Q62" s="26">
        <f>249*(1-T3/100)</f>
        <v>249</v>
      </c>
      <c r="R62" s="21"/>
      <c r="S62" s="16">
        <f>Q62*R62</f>
        <v>0</v>
      </c>
      <c r="T62" s="27">
        <f>0.286*R62</f>
        <v>0</v>
      </c>
      <c r="U62" s="28">
        <f>0.00076*R62</f>
        <v>0</v>
      </c>
      <c r="V62" s="29"/>
      <c r="W62" s="30" t="s">
        <v>374</v>
      </c>
      <c r="X62" s="30" t="s">
        <v>64</v>
      </c>
      <c r="Y62" s="7"/>
      <c r="Z62" s="7"/>
      <c r="AA62" s="7" t="s">
        <v>53</v>
      </c>
      <c r="AB62" s="7"/>
      <c r="AC62" s="7"/>
      <c r="AD62" s="7" t="str">
        <f>HYPERLINK("https://knigipp.ru/api/getInfo/image/785faa9e-fb22-11ee-a25d-00155d82e908")</f>
        <v>https://knigipp.ru/api/getInfo/image/785faa9e-fb22-11ee-a25d-00155d82e908</v>
      </c>
      <c r="AE62" s="7" t="s">
        <v>368</v>
      </c>
      <c r="AF62" s="36">
        <v>128</v>
      </c>
      <c r="AG62" s="7" t="s">
        <v>369</v>
      </c>
      <c r="AH62" s="7" t="s">
        <v>211</v>
      </c>
      <c r="AI62" s="7"/>
      <c r="AJ62" s="7" t="s">
        <v>57</v>
      </c>
      <c r="AK62" s="7"/>
      <c r="AL62" s="7"/>
      <c r="AM62" s="7" t="s">
        <v>370</v>
      </c>
    </row>
    <row r="63" spans="1:39" ht="96.2" customHeight="1" outlineLevel="3" x14ac:dyDescent="0.2">
      <c r="A63" s="6">
        <v>46</v>
      </c>
      <c r="B63" s="7" t="s">
        <v>375</v>
      </c>
      <c r="C63" s="48" t="s">
        <v>376</v>
      </c>
      <c r="D63" s="48"/>
      <c r="E63" s="48"/>
      <c r="F63" s="48"/>
      <c r="G63" s="8" t="s">
        <v>377</v>
      </c>
      <c r="H63" s="14"/>
      <c r="I63" s="15"/>
      <c r="J63" s="16"/>
      <c r="K63" s="17">
        <v>10</v>
      </c>
      <c r="L63" s="16"/>
      <c r="M63" s="16" t="s">
        <v>48</v>
      </c>
      <c r="N63" s="18"/>
      <c r="O63" s="16"/>
      <c r="P63" s="6">
        <v>3</v>
      </c>
      <c r="Q63" s="26">
        <f>249*(1-T3/100)</f>
        <v>249</v>
      </c>
      <c r="R63" s="21"/>
      <c r="S63" s="16">
        <f>Q63*R63</f>
        <v>0</v>
      </c>
      <c r="T63" s="27">
        <f>0.284*R63</f>
        <v>0</v>
      </c>
      <c r="U63" s="28">
        <f>0.00048*R63</f>
        <v>0</v>
      </c>
      <c r="V63" s="29"/>
      <c r="W63" s="30" t="s">
        <v>378</v>
      </c>
      <c r="X63" s="30" t="s">
        <v>64</v>
      </c>
      <c r="Y63" s="7"/>
      <c r="Z63" s="7"/>
      <c r="AA63" s="7" t="s">
        <v>53</v>
      </c>
      <c r="AB63" s="7"/>
      <c r="AC63" s="7"/>
      <c r="AD63" s="7" t="str">
        <f>HYPERLINK("https://knigipp.ru/api/getInfo/image/ae55f1ec-fb22-11ee-a25d-00155d82e908")</f>
        <v>https://knigipp.ru/api/getInfo/image/ae55f1ec-fb22-11ee-a25d-00155d82e908</v>
      </c>
      <c r="AE63" s="7" t="s">
        <v>368</v>
      </c>
      <c r="AF63" s="36">
        <v>128</v>
      </c>
      <c r="AG63" s="7" t="s">
        <v>369</v>
      </c>
      <c r="AH63" s="7" t="s">
        <v>211</v>
      </c>
      <c r="AI63" s="7"/>
      <c r="AJ63" s="7" t="s">
        <v>57</v>
      </c>
      <c r="AK63" s="7"/>
      <c r="AL63" s="7"/>
      <c r="AM63" s="7" t="s">
        <v>370</v>
      </c>
    </row>
    <row r="64" spans="1:39" ht="96.2" customHeight="1" outlineLevel="3" x14ac:dyDescent="0.2">
      <c r="A64" s="6">
        <v>47</v>
      </c>
      <c r="B64" s="7" t="s">
        <v>379</v>
      </c>
      <c r="C64" s="48" t="s">
        <v>380</v>
      </c>
      <c r="D64" s="48"/>
      <c r="E64" s="48"/>
      <c r="F64" s="48"/>
      <c r="G64" s="8" t="s">
        <v>381</v>
      </c>
      <c r="H64" s="14"/>
      <c r="I64" s="15"/>
      <c r="J64" s="16"/>
      <c r="K64" s="17">
        <v>10</v>
      </c>
      <c r="L64" s="16"/>
      <c r="M64" s="16" t="s">
        <v>48</v>
      </c>
      <c r="N64" s="18"/>
      <c r="O64" s="16"/>
      <c r="P64" s="6">
        <v>3</v>
      </c>
      <c r="Q64" s="26">
        <f>249*(1-T3/100)</f>
        <v>249</v>
      </c>
      <c r="R64" s="21"/>
      <c r="S64" s="16">
        <f>Q64*R64</f>
        <v>0</v>
      </c>
      <c r="T64" s="27">
        <f>0.286*R64</f>
        <v>0</v>
      </c>
      <c r="U64" s="28">
        <f>0.00044*R64</f>
        <v>0</v>
      </c>
      <c r="V64" s="29"/>
      <c r="W64" s="30" t="s">
        <v>382</v>
      </c>
      <c r="X64" s="30" t="s">
        <v>64</v>
      </c>
      <c r="Y64" s="7"/>
      <c r="Z64" s="7"/>
      <c r="AA64" s="7" t="s">
        <v>53</v>
      </c>
      <c r="AB64" s="7"/>
      <c r="AC64" s="7"/>
      <c r="AD64" s="7" t="str">
        <f>HYPERLINK("https://knigipp.ru/api/getInfo/image/d43dc487-fb22-11ee-a25d-00155d82e908")</f>
        <v>https://knigipp.ru/api/getInfo/image/d43dc487-fb22-11ee-a25d-00155d82e908</v>
      </c>
      <c r="AE64" s="7" t="s">
        <v>368</v>
      </c>
      <c r="AF64" s="36">
        <v>128</v>
      </c>
      <c r="AG64" s="7" t="s">
        <v>369</v>
      </c>
      <c r="AH64" s="7" t="s">
        <v>211</v>
      </c>
      <c r="AI64" s="7"/>
      <c r="AJ64" s="7" t="s">
        <v>57</v>
      </c>
      <c r="AK64" s="7"/>
      <c r="AL64" s="7"/>
      <c r="AM64" s="7" t="s">
        <v>370</v>
      </c>
    </row>
    <row r="65" spans="1:39" ht="23.25" customHeight="1" outlineLevel="2" x14ac:dyDescent="0.2">
      <c r="A65" s="46" t="s">
        <v>383</v>
      </c>
      <c r="B65" s="46"/>
      <c r="C65" s="46"/>
      <c r="D65" s="46"/>
      <c r="E65" s="46"/>
      <c r="F65" s="46"/>
    </row>
    <row r="66" spans="1:39" ht="96.2" customHeight="1" outlineLevel="3" x14ac:dyDescent="0.2">
      <c r="A66" s="6">
        <v>48</v>
      </c>
      <c r="B66" s="7" t="s">
        <v>384</v>
      </c>
      <c r="C66" s="48" t="s">
        <v>385</v>
      </c>
      <c r="D66" s="48"/>
      <c r="E66" s="48"/>
      <c r="F66" s="48"/>
      <c r="G66" s="8" t="s">
        <v>386</v>
      </c>
      <c r="H66" s="14"/>
      <c r="I66" s="15"/>
      <c r="J66" s="16"/>
      <c r="K66" s="17">
        <v>20</v>
      </c>
      <c r="L66" s="16"/>
      <c r="M66" s="16" t="s">
        <v>48</v>
      </c>
      <c r="N66" s="18"/>
      <c r="O66" s="16"/>
      <c r="P66" s="6">
        <v>4</v>
      </c>
      <c r="Q66" s="26">
        <f>249*(1-T3/100)</f>
        <v>249</v>
      </c>
      <c r="R66" s="21"/>
      <c r="S66" s="16">
        <f t="shared" ref="S66:S71" si="5">Q66*R66</f>
        <v>0</v>
      </c>
      <c r="T66" s="27">
        <f t="shared" ref="T66:T71" si="6">0.126*R66</f>
        <v>0</v>
      </c>
      <c r="U66" s="32">
        <f>0.0004*R66</f>
        <v>0</v>
      </c>
      <c r="V66" s="29"/>
      <c r="W66" s="30" t="s">
        <v>387</v>
      </c>
      <c r="X66" s="30" t="s">
        <v>51</v>
      </c>
      <c r="Y66" s="7"/>
      <c r="Z66" s="7"/>
      <c r="AA66" s="7" t="s">
        <v>53</v>
      </c>
      <c r="AB66" s="7"/>
      <c r="AC66" s="7"/>
      <c r="AD66" s="7" t="str">
        <f>HYPERLINK("https://knigipp.ru/api/getInfo/image/cbfc98bc-748d-11f1-a29a-00155d82e908")</f>
        <v>https://knigipp.ru/api/getInfo/image/cbfc98bc-748d-11f1-a29a-00155d82e908</v>
      </c>
      <c r="AE66" s="7" t="s">
        <v>65</v>
      </c>
      <c r="AF66" s="36">
        <v>16</v>
      </c>
      <c r="AG66" s="7" t="s">
        <v>66</v>
      </c>
      <c r="AH66" s="7" t="s">
        <v>67</v>
      </c>
      <c r="AI66" s="7"/>
      <c r="AJ66" s="7"/>
      <c r="AK66" s="7"/>
      <c r="AL66" s="7"/>
      <c r="AM66" s="7" t="s">
        <v>388</v>
      </c>
    </row>
    <row r="67" spans="1:39" ht="96.2" customHeight="1" outlineLevel="3" x14ac:dyDescent="0.2">
      <c r="A67" s="6">
        <v>49</v>
      </c>
      <c r="B67" s="7" t="s">
        <v>389</v>
      </c>
      <c r="C67" s="48" t="s">
        <v>390</v>
      </c>
      <c r="D67" s="48"/>
      <c r="E67" s="48"/>
      <c r="F67" s="48"/>
      <c r="G67" s="8" t="s">
        <v>391</v>
      </c>
      <c r="H67" s="14"/>
      <c r="I67" s="15"/>
      <c r="J67" s="16"/>
      <c r="K67" s="17">
        <v>20</v>
      </c>
      <c r="L67" s="16"/>
      <c r="M67" s="16" t="s">
        <v>48</v>
      </c>
      <c r="N67" s="18"/>
      <c r="O67" s="16"/>
      <c r="P67" s="6">
        <v>4</v>
      </c>
      <c r="Q67" s="26">
        <f>249*(1-T3/100)</f>
        <v>249</v>
      </c>
      <c r="R67" s="21"/>
      <c r="S67" s="16">
        <f t="shared" si="5"/>
        <v>0</v>
      </c>
      <c r="T67" s="27">
        <f t="shared" si="6"/>
        <v>0</v>
      </c>
      <c r="U67" s="32">
        <f>0.0004*R67</f>
        <v>0</v>
      </c>
      <c r="V67" s="29"/>
      <c r="W67" s="30" t="s">
        <v>392</v>
      </c>
      <c r="X67" s="30" t="s">
        <v>51</v>
      </c>
      <c r="Y67" s="7"/>
      <c r="Z67" s="7"/>
      <c r="AA67" s="7" t="s">
        <v>53</v>
      </c>
      <c r="AB67" s="7"/>
      <c r="AC67" s="7"/>
      <c r="AD67" s="7" t="str">
        <f>HYPERLINK("https://knigipp.ru/api/getInfo/image/f797d8b4-748d-11f1-a29a-00155d82e908")</f>
        <v>https://knigipp.ru/api/getInfo/image/f797d8b4-748d-11f1-a29a-00155d82e908</v>
      </c>
      <c r="AE67" s="7" t="s">
        <v>65</v>
      </c>
      <c r="AF67" s="36">
        <v>16</v>
      </c>
      <c r="AG67" s="7" t="s">
        <v>66</v>
      </c>
      <c r="AH67" s="7" t="s">
        <v>67</v>
      </c>
      <c r="AI67" s="7"/>
      <c r="AJ67" s="7"/>
      <c r="AK67" s="7"/>
      <c r="AL67" s="7"/>
      <c r="AM67" s="7" t="s">
        <v>388</v>
      </c>
    </row>
    <row r="68" spans="1:39" ht="96.2" customHeight="1" outlineLevel="3" x14ac:dyDescent="0.2">
      <c r="A68" s="6">
        <v>50</v>
      </c>
      <c r="B68" s="7" t="s">
        <v>393</v>
      </c>
      <c r="C68" s="48" t="s">
        <v>394</v>
      </c>
      <c r="D68" s="48"/>
      <c r="E68" s="48"/>
      <c r="F68" s="48"/>
      <c r="G68" s="8" t="s">
        <v>395</v>
      </c>
      <c r="H68" s="14"/>
      <c r="I68" s="15"/>
      <c r="J68" s="16"/>
      <c r="K68" s="17">
        <v>20</v>
      </c>
      <c r="L68" s="16"/>
      <c r="M68" s="16" t="s">
        <v>48</v>
      </c>
      <c r="N68" s="18"/>
      <c r="O68" s="16"/>
      <c r="P68" s="6">
        <v>4</v>
      </c>
      <c r="Q68" s="26">
        <f>249*(1-T3/100)</f>
        <v>249</v>
      </c>
      <c r="R68" s="21"/>
      <c r="S68" s="16">
        <f t="shared" si="5"/>
        <v>0</v>
      </c>
      <c r="T68" s="27">
        <f t="shared" si="6"/>
        <v>0</v>
      </c>
      <c r="U68" s="32">
        <f>0.0004*R68</f>
        <v>0</v>
      </c>
      <c r="V68" s="29"/>
      <c r="W68" s="30" t="s">
        <v>396</v>
      </c>
      <c r="X68" s="30" t="s">
        <v>51</v>
      </c>
      <c r="Y68" s="7"/>
      <c r="Z68" s="7"/>
      <c r="AA68" s="7" t="s">
        <v>53</v>
      </c>
      <c r="AB68" s="7"/>
      <c r="AC68" s="7"/>
      <c r="AD68" s="7" t="str">
        <f>HYPERLINK("https://knigipp.ru/api/getInfo/image/23125457-748e-11f1-a29a-00155d82e908")</f>
        <v>https://knigipp.ru/api/getInfo/image/23125457-748e-11f1-a29a-00155d82e908</v>
      </c>
      <c r="AE68" s="7" t="s">
        <v>65</v>
      </c>
      <c r="AF68" s="36">
        <v>16</v>
      </c>
      <c r="AG68" s="7" t="s">
        <v>66</v>
      </c>
      <c r="AH68" s="7" t="s">
        <v>67</v>
      </c>
      <c r="AI68" s="7"/>
      <c r="AJ68" s="7"/>
      <c r="AK68" s="7"/>
      <c r="AL68" s="7"/>
      <c r="AM68" s="7" t="s">
        <v>388</v>
      </c>
    </row>
    <row r="69" spans="1:39" ht="96.2" customHeight="1" outlineLevel="3" x14ac:dyDescent="0.2">
      <c r="A69" s="6">
        <v>51</v>
      </c>
      <c r="B69" s="7" t="s">
        <v>397</v>
      </c>
      <c r="C69" s="48" t="s">
        <v>398</v>
      </c>
      <c r="D69" s="48"/>
      <c r="E69" s="48"/>
      <c r="F69" s="48"/>
      <c r="G69" s="8" t="s">
        <v>399</v>
      </c>
      <c r="H69" s="14"/>
      <c r="I69" s="15"/>
      <c r="J69" s="16"/>
      <c r="K69" s="17">
        <v>20</v>
      </c>
      <c r="L69" s="16"/>
      <c r="M69" s="16" t="s">
        <v>227</v>
      </c>
      <c r="N69" s="18"/>
      <c r="O69" s="16"/>
      <c r="P69" s="6">
        <v>4</v>
      </c>
      <c r="Q69" s="26">
        <f>249*(1-T3/100)</f>
        <v>249</v>
      </c>
      <c r="R69" s="21"/>
      <c r="S69" s="16">
        <f t="shared" si="5"/>
        <v>0</v>
      </c>
      <c r="T69" s="27">
        <f t="shared" si="6"/>
        <v>0</v>
      </c>
      <c r="U69" s="32">
        <f>0.0004*R69</f>
        <v>0</v>
      </c>
      <c r="V69" s="29"/>
      <c r="W69" s="30" t="s">
        <v>400</v>
      </c>
      <c r="X69" s="30" t="s">
        <v>51</v>
      </c>
      <c r="Y69" s="7"/>
      <c r="Z69" s="7"/>
      <c r="AA69" s="7" t="s">
        <v>53</v>
      </c>
      <c r="AB69" s="7"/>
      <c r="AC69" s="7"/>
      <c r="AD69" s="7" t="str">
        <f>HYPERLINK("https://knigipp.ru/api/getInfo/image/45e45309-748e-11f1-a29a-00155d82e908")</f>
        <v>https://knigipp.ru/api/getInfo/image/45e45309-748e-11f1-a29a-00155d82e908</v>
      </c>
      <c r="AE69" s="7" t="s">
        <v>65</v>
      </c>
      <c r="AF69" s="36">
        <v>16</v>
      </c>
      <c r="AG69" s="7" t="s">
        <v>66</v>
      </c>
      <c r="AH69" s="7" t="s">
        <v>67</v>
      </c>
      <c r="AI69" s="7"/>
      <c r="AJ69" s="7"/>
      <c r="AK69" s="7"/>
      <c r="AL69" s="7"/>
      <c r="AM69" s="7" t="s">
        <v>388</v>
      </c>
    </row>
    <row r="70" spans="1:39" ht="96.2" customHeight="1" outlineLevel="3" x14ac:dyDescent="0.2">
      <c r="A70" s="6">
        <v>52</v>
      </c>
      <c r="B70" s="7" t="s">
        <v>401</v>
      </c>
      <c r="C70" s="48" t="s">
        <v>402</v>
      </c>
      <c r="D70" s="48"/>
      <c r="E70" s="48"/>
      <c r="F70" s="48"/>
      <c r="G70" s="8" t="s">
        <v>403</v>
      </c>
      <c r="H70" s="14"/>
      <c r="I70" s="15"/>
      <c r="J70" s="16"/>
      <c r="K70" s="17">
        <v>20</v>
      </c>
      <c r="L70" s="16"/>
      <c r="M70" s="16" t="s">
        <v>48</v>
      </c>
      <c r="N70" s="18"/>
      <c r="O70" s="16"/>
      <c r="P70" s="6">
        <v>4</v>
      </c>
      <c r="Q70" s="26">
        <f>249*(1-T3/100)</f>
        <v>249</v>
      </c>
      <c r="R70" s="21"/>
      <c r="S70" s="16">
        <f t="shared" si="5"/>
        <v>0</v>
      </c>
      <c r="T70" s="27">
        <f t="shared" si="6"/>
        <v>0</v>
      </c>
      <c r="U70" s="32">
        <f>0.0004*R70</f>
        <v>0</v>
      </c>
      <c r="V70" s="29"/>
      <c r="W70" s="30" t="s">
        <v>404</v>
      </c>
      <c r="X70" s="30" t="s">
        <v>51</v>
      </c>
      <c r="Y70" s="7"/>
      <c r="Z70" s="7"/>
      <c r="AA70" s="7" t="s">
        <v>53</v>
      </c>
      <c r="AB70" s="7"/>
      <c r="AC70" s="7"/>
      <c r="AD70" s="7" t="str">
        <f>HYPERLINK("https://knigipp.ru/api/getInfo/image/89b68bc4-748d-11f1-a29a-00155d82e908")</f>
        <v>https://knigipp.ru/api/getInfo/image/89b68bc4-748d-11f1-a29a-00155d82e908</v>
      </c>
      <c r="AE70" s="7" t="s">
        <v>65</v>
      </c>
      <c r="AF70" s="36">
        <v>16</v>
      </c>
      <c r="AG70" s="7" t="s">
        <v>66</v>
      </c>
      <c r="AH70" s="7" t="s">
        <v>67</v>
      </c>
      <c r="AI70" s="7"/>
      <c r="AJ70" s="7"/>
      <c r="AK70" s="7"/>
      <c r="AL70" s="7"/>
      <c r="AM70" s="7" t="s">
        <v>388</v>
      </c>
    </row>
    <row r="71" spans="1:39" ht="96.2" customHeight="1" outlineLevel="3" x14ac:dyDescent="0.2">
      <c r="A71" s="6">
        <v>53</v>
      </c>
      <c r="B71" s="7" t="s">
        <v>405</v>
      </c>
      <c r="C71" s="48" t="s">
        <v>406</v>
      </c>
      <c r="D71" s="48"/>
      <c r="E71" s="48"/>
      <c r="F71" s="48"/>
      <c r="G71" s="8" t="s">
        <v>407</v>
      </c>
      <c r="H71" s="14"/>
      <c r="I71" s="15"/>
      <c r="J71" s="16"/>
      <c r="K71" s="17">
        <v>20</v>
      </c>
      <c r="L71" s="16"/>
      <c r="M71" s="16" t="s">
        <v>48</v>
      </c>
      <c r="N71" s="18"/>
      <c r="O71" s="16"/>
      <c r="P71" s="6">
        <v>4</v>
      </c>
      <c r="Q71" s="26">
        <f>249*(1-T3/100)</f>
        <v>249</v>
      </c>
      <c r="R71" s="21"/>
      <c r="S71" s="16">
        <f t="shared" si="5"/>
        <v>0</v>
      </c>
      <c r="T71" s="27">
        <f t="shared" si="6"/>
        <v>0</v>
      </c>
      <c r="U71" s="28">
        <f>0.00042*R71</f>
        <v>0</v>
      </c>
      <c r="V71" s="29"/>
      <c r="W71" s="30" t="s">
        <v>408</v>
      </c>
      <c r="X71" s="30" t="s">
        <v>51</v>
      </c>
      <c r="Y71" s="7"/>
      <c r="Z71" s="7"/>
      <c r="AA71" s="7" t="s">
        <v>53</v>
      </c>
      <c r="AB71" s="7"/>
      <c r="AC71" s="7"/>
      <c r="AD71" s="7" t="str">
        <f>HYPERLINK("https://knigipp.ru/api/getInfo/image/6708f07f-748e-11f1-a29a-00155d82e908")</f>
        <v>https://knigipp.ru/api/getInfo/image/6708f07f-748e-11f1-a29a-00155d82e908</v>
      </c>
      <c r="AE71" s="7" t="s">
        <v>65</v>
      </c>
      <c r="AF71" s="36">
        <v>16</v>
      </c>
      <c r="AG71" s="7" t="s">
        <v>66</v>
      </c>
      <c r="AH71" s="7" t="s">
        <v>67</v>
      </c>
      <c r="AI71" s="7"/>
      <c r="AJ71" s="7"/>
      <c r="AK71" s="7"/>
      <c r="AL71" s="7"/>
      <c r="AM71" s="7" t="s">
        <v>388</v>
      </c>
    </row>
    <row r="72" spans="1:39" ht="12" customHeight="1" outlineLevel="2" x14ac:dyDescent="0.2">
      <c r="A72" s="46" t="s">
        <v>409</v>
      </c>
      <c r="B72" s="46"/>
      <c r="C72" s="46"/>
      <c r="D72" s="46"/>
      <c r="E72" s="46"/>
      <c r="F72" s="46"/>
    </row>
    <row r="73" spans="1:39" ht="96.2" customHeight="1" outlineLevel="3" x14ac:dyDescent="0.2">
      <c r="A73" s="6">
        <v>54</v>
      </c>
      <c r="B73" s="7" t="s">
        <v>410</v>
      </c>
      <c r="C73" s="48" t="s">
        <v>411</v>
      </c>
      <c r="D73" s="48"/>
      <c r="E73" s="48"/>
      <c r="F73" s="48"/>
      <c r="G73" s="8" t="s">
        <v>412</v>
      </c>
      <c r="H73" s="14"/>
      <c r="I73" s="15" t="s">
        <v>413</v>
      </c>
      <c r="J73" s="16"/>
      <c r="K73" s="17">
        <v>50</v>
      </c>
      <c r="L73" s="16"/>
      <c r="M73" s="16" t="s">
        <v>137</v>
      </c>
      <c r="N73" s="18"/>
      <c r="O73" s="16"/>
      <c r="P73" s="6">
        <v>10</v>
      </c>
      <c r="Q73" s="26">
        <f>62.43*(1-T3/100)</f>
        <v>62.43</v>
      </c>
      <c r="R73" s="21"/>
      <c r="S73" s="16">
        <f>Q73*R73</f>
        <v>0</v>
      </c>
      <c r="T73" s="27">
        <f>0.056*R73</f>
        <v>0</v>
      </c>
      <c r="U73" s="28">
        <f>0.00011*R73</f>
        <v>0</v>
      </c>
      <c r="V73" s="29"/>
      <c r="W73" s="30" t="s">
        <v>414</v>
      </c>
      <c r="X73" s="30" t="s">
        <v>51</v>
      </c>
      <c r="Y73" s="7"/>
      <c r="Z73" s="7"/>
      <c r="AA73" s="7" t="s">
        <v>53</v>
      </c>
      <c r="AB73" s="7"/>
      <c r="AC73" s="7"/>
      <c r="AD73" s="7" t="str">
        <f>HYPERLINK("https://knigipp.ru/api/getInfo/image/5bc13908-821f-11e9-a226-ac1f6b442184")</f>
        <v>https://knigipp.ru/api/getInfo/image/5bc13908-821f-11e9-a226-ac1f6b442184</v>
      </c>
      <c r="AE73" s="7"/>
      <c r="AF73" s="36">
        <v>16</v>
      </c>
      <c r="AG73" s="7"/>
      <c r="AH73" s="7" t="s">
        <v>67</v>
      </c>
      <c r="AI73" s="7"/>
      <c r="AJ73" s="7" t="s">
        <v>57</v>
      </c>
      <c r="AK73" s="7"/>
      <c r="AL73" s="7"/>
      <c r="AM73" s="7" t="s">
        <v>415</v>
      </c>
    </row>
    <row r="74" spans="1:39" ht="12" customHeight="1" outlineLevel="2" x14ac:dyDescent="0.2">
      <c r="A74" s="46" t="s">
        <v>416</v>
      </c>
      <c r="B74" s="46"/>
      <c r="C74" s="46"/>
      <c r="D74" s="46"/>
      <c r="E74" s="46"/>
      <c r="F74" s="46"/>
    </row>
    <row r="75" spans="1:39" ht="96.2" customHeight="1" outlineLevel="3" x14ac:dyDescent="0.2">
      <c r="A75" s="6">
        <v>55</v>
      </c>
      <c r="B75" s="7" t="s">
        <v>417</v>
      </c>
      <c r="C75" s="48" t="s">
        <v>418</v>
      </c>
      <c r="D75" s="48"/>
      <c r="E75" s="48"/>
      <c r="F75" s="48"/>
      <c r="G75" s="8" t="s">
        <v>419</v>
      </c>
      <c r="H75" s="14"/>
      <c r="I75" s="15" t="s">
        <v>420</v>
      </c>
      <c r="J75" s="16"/>
      <c r="K75" s="17">
        <v>30</v>
      </c>
      <c r="L75" s="16"/>
      <c r="M75" s="16" t="s">
        <v>48</v>
      </c>
      <c r="N75" s="18"/>
      <c r="O75" s="16"/>
      <c r="P75" s="6">
        <v>1</v>
      </c>
      <c r="Q75" s="26">
        <f>149*(1-T3/100)</f>
        <v>149</v>
      </c>
      <c r="R75" s="21"/>
      <c r="S75" s="16">
        <f>Q75*R75</f>
        <v>0</v>
      </c>
      <c r="T75" s="27">
        <f>0.079*R75</f>
        <v>0</v>
      </c>
      <c r="U75" s="28">
        <f>0.00024*R75</f>
        <v>0</v>
      </c>
      <c r="V75" s="29"/>
      <c r="W75" s="30" t="s">
        <v>421</v>
      </c>
      <c r="X75" s="30" t="s">
        <v>51</v>
      </c>
      <c r="Y75" s="7"/>
      <c r="Z75" s="7" t="s">
        <v>422</v>
      </c>
      <c r="AA75" s="7" t="s">
        <v>53</v>
      </c>
      <c r="AB75" s="7"/>
      <c r="AC75" s="7"/>
      <c r="AD75" s="7" t="str">
        <f>HYPERLINK("https://knigipp.ru/api/getInfo/image/df079ad7-10dc-11ee-a23b-00155d82e902")</f>
        <v>https://knigipp.ru/api/getInfo/image/df079ad7-10dc-11ee-a23b-00155d82e902</v>
      </c>
      <c r="AE75" s="7" t="s">
        <v>65</v>
      </c>
      <c r="AF75" s="36">
        <v>16</v>
      </c>
      <c r="AG75" s="7" t="s">
        <v>66</v>
      </c>
      <c r="AH75" s="7" t="s">
        <v>67</v>
      </c>
      <c r="AI75" s="7"/>
      <c r="AJ75" s="7" t="s">
        <v>57</v>
      </c>
      <c r="AK75" s="7"/>
      <c r="AL75" s="7"/>
      <c r="AM75" s="7" t="s">
        <v>423</v>
      </c>
    </row>
    <row r="76" spans="1:39" ht="96.2" customHeight="1" outlineLevel="3" x14ac:dyDescent="0.2">
      <c r="A76" s="6">
        <v>56</v>
      </c>
      <c r="B76" s="7" t="s">
        <v>424</v>
      </c>
      <c r="C76" s="48" t="s">
        <v>425</v>
      </c>
      <c r="D76" s="48"/>
      <c r="E76" s="48"/>
      <c r="F76" s="48"/>
      <c r="G76" s="8" t="s">
        <v>426</v>
      </c>
      <c r="H76" s="14"/>
      <c r="I76" s="15" t="s">
        <v>427</v>
      </c>
      <c r="J76" s="16"/>
      <c r="K76" s="17">
        <v>25</v>
      </c>
      <c r="L76" s="16"/>
      <c r="M76" s="16" t="s">
        <v>48</v>
      </c>
      <c r="N76" s="18"/>
      <c r="O76" s="16"/>
      <c r="P76" s="6">
        <v>1</v>
      </c>
      <c r="Q76" s="26">
        <f>299*(1-T3/100)</f>
        <v>299</v>
      </c>
      <c r="R76" s="21"/>
      <c r="S76" s="16">
        <f>Q76*R76</f>
        <v>0</v>
      </c>
      <c r="T76" s="31">
        <f>0.19*R76</f>
        <v>0</v>
      </c>
      <c r="U76" s="28">
        <f>0.00074*R76</f>
        <v>0</v>
      </c>
      <c r="V76" s="29"/>
      <c r="W76" s="30" t="s">
        <v>428</v>
      </c>
      <c r="X76" s="30" t="s">
        <v>51</v>
      </c>
      <c r="Y76" s="7"/>
      <c r="Z76" s="7"/>
      <c r="AA76" s="7" t="s">
        <v>53</v>
      </c>
      <c r="AB76" s="7"/>
      <c r="AC76" s="7"/>
      <c r="AD76" s="7" t="str">
        <f>HYPERLINK("https://knigipp.ru/api/getInfo/image/67d84718-da6e-11eb-a209-ac1f6b442185")</f>
        <v>https://knigipp.ru/api/getInfo/image/67d84718-da6e-11eb-a209-ac1f6b442185</v>
      </c>
      <c r="AE76" s="7" t="s">
        <v>65</v>
      </c>
      <c r="AF76" s="36">
        <v>32</v>
      </c>
      <c r="AG76" s="7"/>
      <c r="AH76" s="7" t="s">
        <v>67</v>
      </c>
      <c r="AI76" s="7"/>
      <c r="AJ76" s="7" t="s">
        <v>57</v>
      </c>
      <c r="AK76" s="7"/>
      <c r="AL76" s="7"/>
      <c r="AM76" s="7" t="s">
        <v>429</v>
      </c>
    </row>
    <row r="77" spans="1:39" ht="96.2" customHeight="1" outlineLevel="3" x14ac:dyDescent="0.2">
      <c r="A77" s="6">
        <v>57</v>
      </c>
      <c r="B77" s="7" t="s">
        <v>430</v>
      </c>
      <c r="C77" s="48" t="s">
        <v>431</v>
      </c>
      <c r="D77" s="48"/>
      <c r="E77" s="48"/>
      <c r="F77" s="48"/>
      <c r="G77" s="8" t="s">
        <v>432</v>
      </c>
      <c r="H77" s="14"/>
      <c r="I77" s="15" t="s">
        <v>433</v>
      </c>
      <c r="J77" s="16"/>
      <c r="K77" s="17">
        <v>10</v>
      </c>
      <c r="L77" s="16"/>
      <c r="M77" s="16" t="s">
        <v>48</v>
      </c>
      <c r="N77" s="18"/>
      <c r="O77" s="16"/>
      <c r="P77" s="6">
        <v>1</v>
      </c>
      <c r="Q77" s="26">
        <f>335.54*(1-T3/100)</f>
        <v>335.54</v>
      </c>
      <c r="R77" s="21"/>
      <c r="S77" s="16">
        <f>Q77*R77</f>
        <v>0</v>
      </c>
      <c r="T77" s="27">
        <f>0.128*R77</f>
        <v>0</v>
      </c>
      <c r="U77" s="28">
        <f>0.00091*R77</f>
        <v>0</v>
      </c>
      <c r="V77" s="29"/>
      <c r="W77" s="30" t="s">
        <v>434</v>
      </c>
      <c r="X77" s="30" t="s">
        <v>51</v>
      </c>
      <c r="Y77" s="7"/>
      <c r="Z77" s="7"/>
      <c r="AA77" s="7" t="s">
        <v>53</v>
      </c>
      <c r="AB77" s="7"/>
      <c r="AC77" s="7"/>
      <c r="AD77" s="7" t="str">
        <f>HYPERLINK("https://knigipp.ru/api/getInfo/image/1b381711-821f-11e9-a226-ac1f6b442184")</f>
        <v>https://knigipp.ru/api/getInfo/image/1b381711-821f-11e9-a226-ac1f6b442184</v>
      </c>
      <c r="AE77" s="7" t="s">
        <v>65</v>
      </c>
      <c r="AF77" s="36">
        <v>12</v>
      </c>
      <c r="AG77" s="7"/>
      <c r="AH77" s="7" t="s">
        <v>67</v>
      </c>
      <c r="AI77" s="7"/>
      <c r="AJ77" s="7" t="s">
        <v>57</v>
      </c>
      <c r="AK77" s="7"/>
      <c r="AL77" s="7"/>
      <c r="AM77" s="7" t="s">
        <v>435</v>
      </c>
    </row>
    <row r="78" spans="1:39" ht="96.2" customHeight="1" outlineLevel="3" x14ac:dyDescent="0.2">
      <c r="A78" s="6">
        <v>58</v>
      </c>
      <c r="B78" s="7" t="s">
        <v>436</v>
      </c>
      <c r="C78" s="48" t="s">
        <v>437</v>
      </c>
      <c r="D78" s="48"/>
      <c r="E78" s="48"/>
      <c r="F78" s="48"/>
      <c r="G78" s="8" t="s">
        <v>438</v>
      </c>
      <c r="H78" s="14"/>
      <c r="I78" s="15" t="s">
        <v>439</v>
      </c>
      <c r="J78" s="16"/>
      <c r="K78" s="17">
        <v>100</v>
      </c>
      <c r="L78" s="16"/>
      <c r="M78" s="16" t="s">
        <v>48</v>
      </c>
      <c r="N78" s="18"/>
      <c r="O78" s="16"/>
      <c r="P78" s="6">
        <v>1</v>
      </c>
      <c r="Q78" s="26">
        <f>249*(1-T3/100)</f>
        <v>249</v>
      </c>
      <c r="R78" s="21"/>
      <c r="S78" s="16">
        <f>Q78*R78</f>
        <v>0</v>
      </c>
      <c r="T78" s="27">
        <f>0.079*R78</f>
        <v>0</v>
      </c>
      <c r="U78" s="28">
        <f>0.00011*R78</f>
        <v>0</v>
      </c>
      <c r="V78" s="29"/>
      <c r="W78" s="30" t="s">
        <v>440</v>
      </c>
      <c r="X78" s="30" t="s">
        <v>51</v>
      </c>
      <c r="Y78" s="7"/>
      <c r="Z78" s="7"/>
      <c r="AA78" s="7" t="s">
        <v>53</v>
      </c>
      <c r="AB78" s="7"/>
      <c r="AC78" s="7"/>
      <c r="AD78" s="7" t="str">
        <f>HYPERLINK("https://knigipp.ru/api/getInfo/image/22a256f4-028d-11ed-a213-ac1f6b442185")</f>
        <v>https://knigipp.ru/api/getInfo/image/22a256f4-028d-11ed-a213-ac1f6b442185</v>
      </c>
      <c r="AE78" s="7" t="s">
        <v>65</v>
      </c>
      <c r="AF78" s="36">
        <v>2</v>
      </c>
      <c r="AG78" s="7" t="s">
        <v>66</v>
      </c>
      <c r="AH78" s="7"/>
      <c r="AI78" s="7"/>
      <c r="AJ78" s="7" t="s">
        <v>57</v>
      </c>
      <c r="AK78" s="7"/>
      <c r="AL78" s="7"/>
      <c r="AM78" s="7" t="s">
        <v>441</v>
      </c>
    </row>
    <row r="79" spans="1:39" ht="12" customHeight="1" outlineLevel="2" x14ac:dyDescent="0.2">
      <c r="A79" s="46" t="s">
        <v>442</v>
      </c>
      <c r="B79" s="46"/>
      <c r="C79" s="46"/>
      <c r="D79" s="46"/>
      <c r="E79" s="46"/>
      <c r="F79" s="46"/>
    </row>
    <row r="80" spans="1:39" ht="96.2" customHeight="1" outlineLevel="3" x14ac:dyDescent="0.2">
      <c r="A80" s="6">
        <v>59</v>
      </c>
      <c r="B80" s="7" t="s">
        <v>443</v>
      </c>
      <c r="C80" s="48" t="s">
        <v>444</v>
      </c>
      <c r="D80" s="48"/>
      <c r="E80" s="48"/>
      <c r="F80" s="48"/>
      <c r="G80" s="8" t="s">
        <v>445</v>
      </c>
      <c r="H80" s="14"/>
      <c r="I80" s="15" t="s">
        <v>446</v>
      </c>
      <c r="J80" s="16"/>
      <c r="K80" s="17">
        <v>30</v>
      </c>
      <c r="L80" s="16"/>
      <c r="M80" s="16" t="s">
        <v>227</v>
      </c>
      <c r="N80" s="18"/>
      <c r="O80" s="16"/>
      <c r="P80" s="6">
        <v>4</v>
      </c>
      <c r="Q80" s="26">
        <f>179.4*(1-T3/100)</f>
        <v>179.4</v>
      </c>
      <c r="R80" s="21"/>
      <c r="S80" s="16">
        <f>Q80*R80</f>
        <v>0</v>
      </c>
      <c r="T80" s="27">
        <f>0.086*R80</f>
        <v>0</v>
      </c>
      <c r="U80" s="28">
        <f>0.00032*R80</f>
        <v>0</v>
      </c>
      <c r="V80" s="29"/>
      <c r="W80" s="30" t="s">
        <v>447</v>
      </c>
      <c r="X80" s="30" t="s">
        <v>64</v>
      </c>
      <c r="Y80" s="7"/>
      <c r="Z80" s="7"/>
      <c r="AA80" s="7" t="s">
        <v>53</v>
      </c>
      <c r="AB80" s="7"/>
      <c r="AC80" s="7"/>
      <c r="AD80" s="7" t="str">
        <f>HYPERLINK("https://knigipp.ru/api/getInfo/image/99b03844-9dcc-11eb-a201-ac1f6b442185")</f>
        <v>https://knigipp.ru/api/getInfo/image/99b03844-9dcc-11eb-a201-ac1f6b442185</v>
      </c>
      <c r="AE80" s="7" t="s">
        <v>65</v>
      </c>
      <c r="AF80" s="36">
        <v>8</v>
      </c>
      <c r="AG80" s="7"/>
      <c r="AH80" s="7" t="s">
        <v>67</v>
      </c>
      <c r="AI80" s="7"/>
      <c r="AJ80" s="7" t="s">
        <v>57</v>
      </c>
      <c r="AK80" s="7"/>
      <c r="AL80" s="7"/>
      <c r="AM80" s="7" t="s">
        <v>448</v>
      </c>
    </row>
    <row r="81" spans="1:39" ht="96.2" customHeight="1" outlineLevel="3" x14ac:dyDescent="0.2">
      <c r="A81" s="6">
        <v>60</v>
      </c>
      <c r="B81" s="7" t="s">
        <v>449</v>
      </c>
      <c r="C81" s="48" t="s">
        <v>450</v>
      </c>
      <c r="D81" s="48"/>
      <c r="E81" s="48"/>
      <c r="F81" s="48"/>
      <c r="G81" s="8" t="s">
        <v>451</v>
      </c>
      <c r="H81" s="14"/>
      <c r="I81" s="15" t="s">
        <v>446</v>
      </c>
      <c r="J81" s="16"/>
      <c r="K81" s="17">
        <v>30</v>
      </c>
      <c r="L81" s="16"/>
      <c r="M81" s="16" t="s">
        <v>48</v>
      </c>
      <c r="N81" s="18"/>
      <c r="O81" s="16"/>
      <c r="P81" s="6">
        <v>4</v>
      </c>
      <c r="Q81" s="26">
        <f>179.4*(1-T3/100)</f>
        <v>179.4</v>
      </c>
      <c r="R81" s="21"/>
      <c r="S81" s="16">
        <f>Q81*R81</f>
        <v>0</v>
      </c>
      <c r="T81" s="27">
        <f>0.092*R81</f>
        <v>0</v>
      </c>
      <c r="U81" s="28">
        <f>0.00051*R81</f>
        <v>0</v>
      </c>
      <c r="V81" s="29"/>
      <c r="W81" s="30" t="s">
        <v>452</v>
      </c>
      <c r="X81" s="30" t="s">
        <v>64</v>
      </c>
      <c r="Y81" s="7"/>
      <c r="Z81" s="7"/>
      <c r="AA81" s="7" t="s">
        <v>53</v>
      </c>
      <c r="AB81" s="7"/>
      <c r="AC81" s="7"/>
      <c r="AD81" s="7" t="str">
        <f>HYPERLINK("https://knigipp.ru/api/getInfo/image/dbbf51ec-9dcc-11eb-a201-ac1f6b442185")</f>
        <v>https://knigipp.ru/api/getInfo/image/dbbf51ec-9dcc-11eb-a201-ac1f6b442185</v>
      </c>
      <c r="AE81" s="7" t="s">
        <v>65</v>
      </c>
      <c r="AF81" s="36">
        <v>8</v>
      </c>
      <c r="AG81" s="7"/>
      <c r="AH81" s="7" t="s">
        <v>67</v>
      </c>
      <c r="AI81" s="7"/>
      <c r="AJ81" s="7" t="s">
        <v>57</v>
      </c>
      <c r="AK81" s="7"/>
      <c r="AL81" s="7"/>
      <c r="AM81" s="7" t="s">
        <v>448</v>
      </c>
    </row>
    <row r="82" spans="1:39" ht="12" customHeight="1" outlineLevel="2" x14ac:dyDescent="0.2">
      <c r="A82" s="46" t="s">
        <v>453</v>
      </c>
      <c r="B82" s="46"/>
      <c r="C82" s="46"/>
      <c r="D82" s="46"/>
      <c r="E82" s="46"/>
      <c r="F82" s="46"/>
    </row>
    <row r="83" spans="1:39" ht="96.2" customHeight="1" outlineLevel="3" x14ac:dyDescent="0.2">
      <c r="A83" s="6">
        <v>61</v>
      </c>
      <c r="B83" s="7" t="s">
        <v>454</v>
      </c>
      <c r="C83" s="48" t="s">
        <v>455</v>
      </c>
      <c r="D83" s="48"/>
      <c r="E83" s="48"/>
      <c r="F83" s="48"/>
      <c r="G83" s="8" t="s">
        <v>456</v>
      </c>
      <c r="H83" s="14"/>
      <c r="I83" s="15" t="s">
        <v>457</v>
      </c>
      <c r="J83" s="16"/>
      <c r="K83" s="17">
        <v>48</v>
      </c>
      <c r="L83" s="16"/>
      <c r="M83" s="16" t="s">
        <v>48</v>
      </c>
      <c r="N83" s="18"/>
      <c r="O83" s="16"/>
      <c r="P83" s="6">
        <v>15</v>
      </c>
      <c r="Q83" s="26">
        <f>107*(1-T3/100)</f>
        <v>107</v>
      </c>
      <c r="R83" s="21"/>
      <c r="S83" s="16">
        <f>Q83*R83</f>
        <v>0</v>
      </c>
      <c r="T83" s="27">
        <f>0.059*R83</f>
        <v>0</v>
      </c>
      <c r="U83" s="28">
        <f>0.00009*R83</f>
        <v>0</v>
      </c>
      <c r="V83" s="29"/>
      <c r="W83" s="30" t="s">
        <v>458</v>
      </c>
      <c r="X83" s="30" t="s">
        <v>51</v>
      </c>
      <c r="Y83" s="7" t="s">
        <v>146</v>
      </c>
      <c r="Z83" s="7"/>
      <c r="AA83" s="7" t="s">
        <v>53</v>
      </c>
      <c r="AB83" s="7"/>
      <c r="AC83" s="7"/>
      <c r="AD83" s="7" t="str">
        <f>HYPERLINK("https://knigipp.ru/api/getInfo/image/a62e8b4f-4490-11f1-a294-00155d82e908")</f>
        <v>https://knigipp.ru/api/getInfo/image/a62e8b4f-4490-11f1-a294-00155d82e908</v>
      </c>
      <c r="AE83" s="7" t="s">
        <v>65</v>
      </c>
      <c r="AF83" s="36">
        <v>10</v>
      </c>
      <c r="AG83" s="7" t="s">
        <v>66</v>
      </c>
      <c r="AH83" s="7" t="s">
        <v>78</v>
      </c>
      <c r="AI83" s="7"/>
      <c r="AJ83" s="7" t="s">
        <v>57</v>
      </c>
      <c r="AK83" s="7"/>
      <c r="AL83" s="7"/>
      <c r="AM83" s="7" t="s">
        <v>459</v>
      </c>
    </row>
    <row r="84" spans="1:39" ht="96.2" customHeight="1" outlineLevel="3" x14ac:dyDescent="0.2">
      <c r="A84" s="6">
        <v>62</v>
      </c>
      <c r="B84" s="7" t="s">
        <v>460</v>
      </c>
      <c r="C84" s="48" t="s">
        <v>461</v>
      </c>
      <c r="D84" s="48"/>
      <c r="E84" s="48"/>
      <c r="F84" s="48"/>
      <c r="G84" s="8" t="s">
        <v>462</v>
      </c>
      <c r="H84" s="14"/>
      <c r="I84" s="15" t="s">
        <v>457</v>
      </c>
      <c r="J84" s="16"/>
      <c r="K84" s="17">
        <v>48</v>
      </c>
      <c r="L84" s="16"/>
      <c r="M84" s="16" t="s">
        <v>48</v>
      </c>
      <c r="N84" s="18"/>
      <c r="O84" s="16"/>
      <c r="P84" s="6">
        <v>15</v>
      </c>
      <c r="Q84" s="26">
        <f>107*(1-T3/100)</f>
        <v>107</v>
      </c>
      <c r="R84" s="21"/>
      <c r="S84" s="16">
        <f>Q84*R84</f>
        <v>0</v>
      </c>
      <c r="T84" s="27">
        <f>0.053*R84</f>
        <v>0</v>
      </c>
      <c r="U84" s="28">
        <f>0.00006*R84</f>
        <v>0</v>
      </c>
      <c r="V84" s="29"/>
      <c r="W84" s="30" t="s">
        <v>463</v>
      </c>
      <c r="X84" s="30" t="s">
        <v>51</v>
      </c>
      <c r="Y84" s="7" t="s">
        <v>464</v>
      </c>
      <c r="Z84" s="7"/>
      <c r="AA84" s="7" t="s">
        <v>53</v>
      </c>
      <c r="AB84" s="7"/>
      <c r="AC84" s="7"/>
      <c r="AD84" s="7" t="str">
        <f>HYPERLINK("https://knigipp.ru/api/getInfo/image/12d07f89-4491-11f1-a294-00155d82e908")</f>
        <v>https://knigipp.ru/api/getInfo/image/12d07f89-4491-11f1-a294-00155d82e908</v>
      </c>
      <c r="AE84" s="7" t="s">
        <v>65</v>
      </c>
      <c r="AF84" s="36">
        <v>10</v>
      </c>
      <c r="AG84" s="7" t="s">
        <v>66</v>
      </c>
      <c r="AH84" s="7" t="s">
        <v>78</v>
      </c>
      <c r="AI84" s="7"/>
      <c r="AJ84" s="7" t="s">
        <v>57</v>
      </c>
      <c r="AK84" s="7"/>
      <c r="AL84" s="7"/>
      <c r="AM84" s="7" t="s">
        <v>459</v>
      </c>
    </row>
    <row r="85" spans="1:39" ht="96.2" customHeight="1" outlineLevel="3" x14ac:dyDescent="0.2">
      <c r="A85" s="6">
        <v>63</v>
      </c>
      <c r="B85" s="7" t="s">
        <v>465</v>
      </c>
      <c r="C85" s="48" t="s">
        <v>466</v>
      </c>
      <c r="D85" s="48"/>
      <c r="E85" s="48"/>
      <c r="F85" s="48"/>
      <c r="G85" s="8" t="s">
        <v>467</v>
      </c>
      <c r="H85" s="14"/>
      <c r="I85" s="15" t="s">
        <v>457</v>
      </c>
      <c r="J85" s="16"/>
      <c r="K85" s="17">
        <v>48</v>
      </c>
      <c r="L85" s="16"/>
      <c r="M85" s="16" t="s">
        <v>48</v>
      </c>
      <c r="N85" s="18"/>
      <c r="O85" s="16"/>
      <c r="P85" s="6">
        <v>15</v>
      </c>
      <c r="Q85" s="26">
        <f>107*(1-T3/100)</f>
        <v>107</v>
      </c>
      <c r="R85" s="21"/>
      <c r="S85" s="16">
        <f>Q85*R85</f>
        <v>0</v>
      </c>
      <c r="T85" s="27">
        <f>0.058*R85</f>
        <v>0</v>
      </c>
      <c r="U85" s="28">
        <f>0.00013*R85</f>
        <v>0</v>
      </c>
      <c r="V85" s="29"/>
      <c r="W85" s="30" t="s">
        <v>468</v>
      </c>
      <c r="X85" s="30" t="s">
        <v>51</v>
      </c>
      <c r="Y85" s="7" t="s">
        <v>139</v>
      </c>
      <c r="Z85" s="7"/>
      <c r="AA85" s="7" t="s">
        <v>53</v>
      </c>
      <c r="AB85" s="7"/>
      <c r="AC85" s="7"/>
      <c r="AD85" s="7" t="str">
        <f>HYPERLINK("https://knigipp.ru/api/getInfo/image/46c21787-4491-11f1-a294-00155d82e908")</f>
        <v>https://knigipp.ru/api/getInfo/image/46c21787-4491-11f1-a294-00155d82e908</v>
      </c>
      <c r="AE85" s="7" t="s">
        <v>65</v>
      </c>
      <c r="AF85" s="36">
        <v>10</v>
      </c>
      <c r="AG85" s="7" t="s">
        <v>66</v>
      </c>
      <c r="AH85" s="7" t="s">
        <v>78</v>
      </c>
      <c r="AI85" s="7"/>
      <c r="AJ85" s="7" t="s">
        <v>57</v>
      </c>
      <c r="AK85" s="7"/>
      <c r="AL85" s="7"/>
      <c r="AM85" s="7" t="s">
        <v>459</v>
      </c>
    </row>
    <row r="86" spans="1:39" ht="96.2" customHeight="1" outlineLevel="3" x14ac:dyDescent="0.2">
      <c r="A86" s="6">
        <v>64</v>
      </c>
      <c r="B86" s="7" t="s">
        <v>469</v>
      </c>
      <c r="C86" s="48" t="s">
        <v>470</v>
      </c>
      <c r="D86" s="48"/>
      <c r="E86" s="48"/>
      <c r="F86" s="48"/>
      <c r="G86" s="8" t="s">
        <v>471</v>
      </c>
      <c r="H86" s="14"/>
      <c r="I86" s="15" t="s">
        <v>457</v>
      </c>
      <c r="J86" s="16"/>
      <c r="K86" s="17">
        <v>48</v>
      </c>
      <c r="L86" s="16"/>
      <c r="M86" s="16" t="s">
        <v>48</v>
      </c>
      <c r="N86" s="18"/>
      <c r="O86" s="16"/>
      <c r="P86" s="6">
        <v>15</v>
      </c>
      <c r="Q86" s="26">
        <f>107*(1-T3/100)</f>
        <v>107</v>
      </c>
      <c r="R86" s="21"/>
      <c r="S86" s="16">
        <f>Q86*R86</f>
        <v>0</v>
      </c>
      <c r="T86" s="27">
        <f>0.049*R86</f>
        <v>0</v>
      </c>
      <c r="U86" s="28">
        <f>0.00011*R86</f>
        <v>0</v>
      </c>
      <c r="V86" s="29"/>
      <c r="W86" s="30" t="s">
        <v>472</v>
      </c>
      <c r="X86" s="30" t="s">
        <v>51</v>
      </c>
      <c r="Y86" s="7" t="s">
        <v>146</v>
      </c>
      <c r="Z86" s="7"/>
      <c r="AA86" s="7" t="s">
        <v>53</v>
      </c>
      <c r="AB86" s="7"/>
      <c r="AC86" s="7"/>
      <c r="AD86" s="7" t="str">
        <f>HYPERLINK("https://knigipp.ru/api/getInfo/image/dbd5000c-4490-11f1-a294-00155d82e908")</f>
        <v>https://knigipp.ru/api/getInfo/image/dbd5000c-4490-11f1-a294-00155d82e908</v>
      </c>
      <c r="AE86" s="7" t="s">
        <v>65</v>
      </c>
      <c r="AF86" s="36">
        <v>10</v>
      </c>
      <c r="AG86" s="7" t="s">
        <v>66</v>
      </c>
      <c r="AH86" s="7" t="s">
        <v>78</v>
      </c>
      <c r="AI86" s="7"/>
      <c r="AJ86" s="7" t="s">
        <v>57</v>
      </c>
      <c r="AK86" s="7"/>
      <c r="AL86" s="7"/>
      <c r="AM86" s="7" t="s">
        <v>459</v>
      </c>
    </row>
    <row r="87" spans="1:39" ht="12" customHeight="1" outlineLevel="2" x14ac:dyDescent="0.2">
      <c r="A87" s="46" t="s">
        <v>473</v>
      </c>
      <c r="B87" s="46"/>
      <c r="C87" s="46"/>
      <c r="D87" s="46"/>
      <c r="E87" s="46"/>
      <c r="F87" s="46"/>
    </row>
    <row r="88" spans="1:39" ht="96.2" customHeight="1" outlineLevel="3" x14ac:dyDescent="0.2">
      <c r="A88" s="6">
        <v>65</v>
      </c>
      <c r="B88" s="7" t="s">
        <v>474</v>
      </c>
      <c r="C88" s="48" t="s">
        <v>475</v>
      </c>
      <c r="D88" s="48"/>
      <c r="E88" s="48"/>
      <c r="F88" s="48"/>
      <c r="G88" s="8" t="s">
        <v>476</v>
      </c>
      <c r="H88" s="14"/>
      <c r="I88" s="15" t="s">
        <v>477</v>
      </c>
      <c r="J88" s="16"/>
      <c r="K88" s="17">
        <v>80</v>
      </c>
      <c r="L88" s="16"/>
      <c r="M88" s="16" t="s">
        <v>227</v>
      </c>
      <c r="N88" s="18"/>
      <c r="O88" s="16"/>
      <c r="P88" s="6">
        <v>4</v>
      </c>
      <c r="Q88" s="26">
        <f>155*(1-T3/100)</f>
        <v>155</v>
      </c>
      <c r="R88" s="21"/>
      <c r="S88" s="16">
        <f>Q88*R88</f>
        <v>0</v>
      </c>
      <c r="T88" s="27">
        <f>0.038*R88</f>
        <v>0</v>
      </c>
      <c r="U88" s="28">
        <f>0.00006*R88</f>
        <v>0</v>
      </c>
      <c r="V88" s="29"/>
      <c r="W88" s="30" t="s">
        <v>478</v>
      </c>
      <c r="X88" s="30" t="s">
        <v>64</v>
      </c>
      <c r="Y88" s="7"/>
      <c r="Z88" s="7"/>
      <c r="AA88" s="7" t="s">
        <v>53</v>
      </c>
      <c r="AB88" s="7"/>
      <c r="AC88" s="7"/>
      <c r="AD88" s="7" t="str">
        <f>HYPERLINK("https://knigipp.ru/api/getInfo/image/a4be715b-03a2-11ee-a23b-00155d82e902")</f>
        <v>https://knigipp.ru/api/getInfo/image/a4be715b-03a2-11ee-a23b-00155d82e902</v>
      </c>
      <c r="AE88" s="7" t="s">
        <v>65</v>
      </c>
      <c r="AF88" s="7"/>
      <c r="AG88" s="7"/>
      <c r="AH88" s="7" t="s">
        <v>479</v>
      </c>
      <c r="AI88" s="7"/>
      <c r="AJ88" s="7" t="s">
        <v>57</v>
      </c>
      <c r="AK88" s="7"/>
      <c r="AL88" s="7"/>
      <c r="AM88" s="7" t="s">
        <v>480</v>
      </c>
    </row>
    <row r="89" spans="1:39" ht="12" customHeight="1" outlineLevel="2" x14ac:dyDescent="0.2">
      <c r="A89" s="46" t="s">
        <v>481</v>
      </c>
      <c r="B89" s="46"/>
      <c r="C89" s="46"/>
      <c r="D89" s="46"/>
      <c r="E89" s="46"/>
      <c r="F89" s="46"/>
    </row>
    <row r="90" spans="1:39" ht="96.2" customHeight="1" outlineLevel="3" x14ac:dyDescent="0.2">
      <c r="A90" s="6">
        <v>66</v>
      </c>
      <c r="B90" s="7" t="s">
        <v>482</v>
      </c>
      <c r="C90" s="48" t="s">
        <v>483</v>
      </c>
      <c r="D90" s="48"/>
      <c r="E90" s="48"/>
      <c r="F90" s="48"/>
      <c r="G90" s="8" t="s">
        <v>484</v>
      </c>
      <c r="H90" s="14"/>
      <c r="I90" s="15" t="s">
        <v>485</v>
      </c>
      <c r="J90" s="16"/>
      <c r="K90" s="17">
        <v>15</v>
      </c>
      <c r="L90" s="16"/>
      <c r="M90" s="16" t="s">
        <v>137</v>
      </c>
      <c r="N90" s="18"/>
      <c r="O90" s="16"/>
      <c r="P90" s="6">
        <v>4</v>
      </c>
      <c r="Q90" s="26">
        <f>159*(1-T3/100)</f>
        <v>159</v>
      </c>
      <c r="R90" s="21"/>
      <c r="S90" s="16">
        <f>Q90*R90</f>
        <v>0</v>
      </c>
      <c r="T90" s="33">
        <f>0.1*R90</f>
        <v>0</v>
      </c>
      <c r="U90" s="28">
        <f>0.00115*R90</f>
        <v>0</v>
      </c>
      <c r="V90" s="29"/>
      <c r="W90" s="30" t="s">
        <v>486</v>
      </c>
      <c r="X90" s="30" t="s">
        <v>51</v>
      </c>
      <c r="Y90" s="7"/>
      <c r="Z90" s="7"/>
      <c r="AA90" s="7" t="s">
        <v>53</v>
      </c>
      <c r="AB90" s="7"/>
      <c r="AC90" s="7"/>
      <c r="AD90" s="7" t="str">
        <f>HYPERLINK("https://knigipp.ru/api/getInfo/image/f613f294-c2d3-11eb-a206-ac1f6b442185")</f>
        <v>https://knigipp.ru/api/getInfo/image/f613f294-c2d3-11eb-a206-ac1f6b442185</v>
      </c>
      <c r="AE90" s="7" t="s">
        <v>65</v>
      </c>
      <c r="AF90" s="7"/>
      <c r="AG90" s="7"/>
      <c r="AH90" s="7"/>
      <c r="AI90" s="7"/>
      <c r="AJ90" s="7" t="s">
        <v>57</v>
      </c>
      <c r="AK90" s="7"/>
      <c r="AL90" s="7" t="s">
        <v>487</v>
      </c>
      <c r="AM90" s="7" t="s">
        <v>488</v>
      </c>
    </row>
    <row r="91" spans="1:39" ht="12" customHeight="1" outlineLevel="2" x14ac:dyDescent="0.2">
      <c r="A91" s="46" t="s">
        <v>489</v>
      </c>
      <c r="B91" s="46"/>
      <c r="C91" s="46"/>
      <c r="D91" s="46"/>
      <c r="E91" s="46"/>
      <c r="F91" s="46"/>
    </row>
    <row r="92" spans="1:39" ht="96.2" customHeight="1" outlineLevel="3" x14ac:dyDescent="0.2">
      <c r="A92" s="6">
        <v>67</v>
      </c>
      <c r="B92" s="7" t="s">
        <v>490</v>
      </c>
      <c r="C92" s="48" t="s">
        <v>491</v>
      </c>
      <c r="D92" s="48"/>
      <c r="E92" s="48"/>
      <c r="F92" s="48"/>
      <c r="G92" s="8" t="s">
        <v>492</v>
      </c>
      <c r="H92" s="14"/>
      <c r="I92" s="15"/>
      <c r="J92" s="16"/>
      <c r="K92" s="17">
        <v>10</v>
      </c>
      <c r="L92" s="16"/>
      <c r="M92" s="16" t="s">
        <v>227</v>
      </c>
      <c r="N92" s="18"/>
      <c r="O92" s="16"/>
      <c r="P92" s="6">
        <v>2</v>
      </c>
      <c r="Q92" s="26">
        <f>337*(1-T3/100)</f>
        <v>337</v>
      </c>
      <c r="R92" s="21"/>
      <c r="S92" s="16">
        <f>Q92*R92</f>
        <v>0</v>
      </c>
      <c r="T92" s="27">
        <f>0.199*R92</f>
        <v>0</v>
      </c>
      <c r="U92" s="28">
        <f>0.00026*R92</f>
        <v>0</v>
      </c>
      <c r="V92" s="29"/>
      <c r="W92" s="30" t="s">
        <v>493</v>
      </c>
      <c r="X92" s="30" t="s">
        <v>51</v>
      </c>
      <c r="Y92" s="7"/>
      <c r="Z92" s="7" t="s">
        <v>494</v>
      </c>
      <c r="AA92" s="7" t="s">
        <v>268</v>
      </c>
      <c r="AB92" s="7"/>
      <c r="AC92" s="7"/>
      <c r="AD92" s="7" t="str">
        <f>HYPERLINK("https://knigipp.ru/api/getInfo/image/38d70605-420f-11f1-a294-00155d82e908")</f>
        <v>https://knigipp.ru/api/getInfo/image/38d70605-420f-11f1-a294-00155d82e908</v>
      </c>
      <c r="AE92" s="7" t="s">
        <v>65</v>
      </c>
      <c r="AF92" s="36">
        <v>64</v>
      </c>
      <c r="AG92" s="7" t="s">
        <v>221</v>
      </c>
      <c r="AH92" s="7" t="s">
        <v>56</v>
      </c>
      <c r="AI92" s="7"/>
      <c r="AJ92" s="7"/>
      <c r="AK92" s="7"/>
      <c r="AL92" s="7"/>
      <c r="AM92" s="7" t="s">
        <v>495</v>
      </c>
    </row>
    <row r="93" spans="1:39" ht="96.2" customHeight="1" outlineLevel="3" x14ac:dyDescent="0.2">
      <c r="A93" s="6">
        <v>68</v>
      </c>
      <c r="B93" s="7" t="s">
        <v>496</v>
      </c>
      <c r="C93" s="48" t="s">
        <v>497</v>
      </c>
      <c r="D93" s="48"/>
      <c r="E93" s="48"/>
      <c r="F93" s="48"/>
      <c r="G93" s="8" t="s">
        <v>498</v>
      </c>
      <c r="H93" s="14"/>
      <c r="I93" s="15"/>
      <c r="J93" s="16"/>
      <c r="K93" s="17">
        <v>10</v>
      </c>
      <c r="L93" s="16"/>
      <c r="M93" s="16" t="s">
        <v>48</v>
      </c>
      <c r="N93" s="18"/>
      <c r="O93" s="16"/>
      <c r="P93" s="6">
        <v>2</v>
      </c>
      <c r="Q93" s="26">
        <f>337*(1-T3/100)</f>
        <v>337</v>
      </c>
      <c r="R93" s="21"/>
      <c r="S93" s="16">
        <f>Q93*R93</f>
        <v>0</v>
      </c>
      <c r="T93" s="27">
        <f>0.196*R93</f>
        <v>0</v>
      </c>
      <c r="U93" s="28">
        <f>0.00021*R93</f>
        <v>0</v>
      </c>
      <c r="V93" s="29"/>
      <c r="W93" s="30" t="s">
        <v>499</v>
      </c>
      <c r="X93" s="30" t="s">
        <v>51</v>
      </c>
      <c r="Y93" s="7"/>
      <c r="Z93" s="7" t="s">
        <v>500</v>
      </c>
      <c r="AA93" s="7" t="s">
        <v>268</v>
      </c>
      <c r="AB93" s="7"/>
      <c r="AC93" s="7"/>
      <c r="AD93" s="7" t="str">
        <f>HYPERLINK("https://knigipp.ru/api/getInfo/image/802e1d51-420f-11f1-a294-00155d82e908")</f>
        <v>https://knigipp.ru/api/getInfo/image/802e1d51-420f-11f1-a294-00155d82e908</v>
      </c>
      <c r="AE93" s="7" t="s">
        <v>65</v>
      </c>
      <c r="AF93" s="36">
        <v>64</v>
      </c>
      <c r="AG93" s="7" t="s">
        <v>221</v>
      </c>
      <c r="AH93" s="7" t="s">
        <v>56</v>
      </c>
      <c r="AI93" s="7"/>
      <c r="AJ93" s="7"/>
      <c r="AK93" s="7"/>
      <c r="AL93" s="7"/>
      <c r="AM93" s="7" t="s">
        <v>495</v>
      </c>
    </row>
    <row r="94" spans="1:39" ht="12" customHeight="1" outlineLevel="2" x14ac:dyDescent="0.2">
      <c r="A94" s="46" t="s">
        <v>501</v>
      </c>
      <c r="B94" s="46"/>
      <c r="C94" s="46"/>
      <c r="D94" s="46"/>
      <c r="E94" s="46"/>
      <c r="F94" s="46"/>
    </row>
    <row r="95" spans="1:39" ht="96.2" customHeight="1" outlineLevel="3" x14ac:dyDescent="0.2">
      <c r="A95" s="6">
        <v>69</v>
      </c>
      <c r="B95" s="7" t="s">
        <v>502</v>
      </c>
      <c r="C95" s="48" t="s">
        <v>503</v>
      </c>
      <c r="D95" s="48"/>
      <c r="E95" s="48"/>
      <c r="F95" s="48"/>
      <c r="G95" s="8" t="s">
        <v>504</v>
      </c>
      <c r="H95" s="14"/>
      <c r="I95" s="15" t="s">
        <v>505</v>
      </c>
      <c r="J95" s="16"/>
      <c r="K95" s="17">
        <v>30</v>
      </c>
      <c r="L95" s="16"/>
      <c r="M95" s="16" t="s">
        <v>48</v>
      </c>
      <c r="N95" s="18"/>
      <c r="O95" s="16"/>
      <c r="P95" s="6">
        <v>8</v>
      </c>
      <c r="Q95" s="26">
        <f>107*(1-T3/100)</f>
        <v>107</v>
      </c>
      <c r="R95" s="21"/>
      <c r="S95" s="16">
        <f>Q95*R95</f>
        <v>0</v>
      </c>
      <c r="T95" s="27">
        <f>0.106*R95</f>
        <v>0</v>
      </c>
      <c r="U95" s="28">
        <f>0.00023*R95</f>
        <v>0</v>
      </c>
      <c r="V95" s="29"/>
      <c r="W95" s="30" t="s">
        <v>506</v>
      </c>
      <c r="X95" s="30" t="s">
        <v>51</v>
      </c>
      <c r="Y95" s="7"/>
      <c r="Z95" s="7"/>
      <c r="AA95" s="7" t="s">
        <v>53</v>
      </c>
      <c r="AB95" s="7"/>
      <c r="AC95" s="7"/>
      <c r="AD95" s="7" t="str">
        <f>HYPERLINK("https://knigipp.ru/api/getInfo/image/98ed35f0-0e52-11ed-a215-ac1f6b442185")</f>
        <v>https://knigipp.ru/api/getInfo/image/98ed35f0-0e52-11ed-a215-ac1f6b442185</v>
      </c>
      <c r="AE95" s="7" t="s">
        <v>65</v>
      </c>
      <c r="AF95" s="36">
        <v>16</v>
      </c>
      <c r="AG95" s="7"/>
      <c r="AH95" s="7" t="s">
        <v>67</v>
      </c>
      <c r="AI95" s="7"/>
      <c r="AJ95" s="7" t="s">
        <v>57</v>
      </c>
      <c r="AK95" s="7"/>
      <c r="AL95" s="7"/>
      <c r="AM95" s="7" t="s">
        <v>507</v>
      </c>
    </row>
    <row r="96" spans="1:39" ht="12" customHeight="1" outlineLevel="2" x14ac:dyDescent="0.2">
      <c r="A96" s="46" t="s">
        <v>508</v>
      </c>
      <c r="B96" s="46"/>
      <c r="C96" s="46"/>
      <c r="D96" s="46"/>
      <c r="E96" s="46"/>
      <c r="F96" s="46"/>
    </row>
    <row r="97" spans="1:39" ht="96.2" customHeight="1" outlineLevel="3" x14ac:dyDescent="0.2">
      <c r="A97" s="6">
        <v>70</v>
      </c>
      <c r="B97" s="7" t="s">
        <v>509</v>
      </c>
      <c r="C97" s="48" t="s">
        <v>510</v>
      </c>
      <c r="D97" s="48"/>
      <c r="E97" s="48"/>
      <c r="F97" s="48"/>
      <c r="G97" s="8" t="s">
        <v>511</v>
      </c>
      <c r="H97" s="14"/>
      <c r="I97" s="15" t="s">
        <v>512</v>
      </c>
      <c r="J97" s="16"/>
      <c r="K97" s="17">
        <v>50</v>
      </c>
      <c r="L97" s="16"/>
      <c r="M97" s="16" t="s">
        <v>48</v>
      </c>
      <c r="N97" s="18"/>
      <c r="O97" s="16"/>
      <c r="P97" s="6">
        <v>30</v>
      </c>
      <c r="Q97" s="26">
        <f>29.7*(1-T3/100)</f>
        <v>29.7</v>
      </c>
      <c r="R97" s="21"/>
      <c r="S97" s="16">
        <f>Q97*R97</f>
        <v>0</v>
      </c>
      <c r="T97" s="27">
        <f>0.029*R97</f>
        <v>0</v>
      </c>
      <c r="U97" s="28">
        <f>0.00015*R97</f>
        <v>0</v>
      </c>
      <c r="V97" s="29"/>
      <c r="W97" s="30" t="s">
        <v>513</v>
      </c>
      <c r="X97" s="30" t="s">
        <v>51</v>
      </c>
      <c r="Y97" s="7"/>
      <c r="Z97" s="7"/>
      <c r="AA97" s="7" t="s">
        <v>53</v>
      </c>
      <c r="AB97" s="7"/>
      <c r="AC97" s="7"/>
      <c r="AD97" s="7" t="str">
        <f>HYPERLINK("https://knigipp.ru/api/getInfo/image/66e37319-522c-11e9-a222-ac1f6b442184")</f>
        <v>https://knigipp.ru/api/getInfo/image/66e37319-522c-11e9-a222-ac1f6b442184</v>
      </c>
      <c r="AE97" s="7" t="s">
        <v>65</v>
      </c>
      <c r="AF97" s="36">
        <v>16</v>
      </c>
      <c r="AG97" s="7"/>
      <c r="AH97" s="7" t="s">
        <v>67</v>
      </c>
      <c r="AI97" s="7"/>
      <c r="AJ97" s="7" t="s">
        <v>57</v>
      </c>
      <c r="AK97" s="7"/>
      <c r="AL97" s="7"/>
      <c r="AM97" s="7" t="s">
        <v>514</v>
      </c>
    </row>
    <row r="98" spans="1:39" ht="12" customHeight="1" outlineLevel="2" x14ac:dyDescent="0.2">
      <c r="A98" s="46" t="s">
        <v>515</v>
      </c>
      <c r="B98" s="46"/>
      <c r="C98" s="46"/>
      <c r="D98" s="46"/>
      <c r="E98" s="46"/>
      <c r="F98" s="46"/>
    </row>
    <row r="99" spans="1:39" ht="96.2" customHeight="1" outlineLevel="3" x14ac:dyDescent="0.2">
      <c r="A99" s="6">
        <v>71</v>
      </c>
      <c r="B99" s="7" t="s">
        <v>516</v>
      </c>
      <c r="C99" s="48" t="s">
        <v>517</v>
      </c>
      <c r="D99" s="48"/>
      <c r="E99" s="48"/>
      <c r="F99" s="48"/>
      <c r="G99" s="8" t="s">
        <v>518</v>
      </c>
      <c r="H99" s="14"/>
      <c r="I99" s="15" t="s">
        <v>519</v>
      </c>
      <c r="J99" s="16"/>
      <c r="K99" s="17">
        <v>30</v>
      </c>
      <c r="L99" s="16"/>
      <c r="M99" s="16" t="s">
        <v>227</v>
      </c>
      <c r="N99" s="18"/>
      <c r="O99" s="16"/>
      <c r="P99" s="6">
        <v>3</v>
      </c>
      <c r="Q99" s="26">
        <f>217*(1-T3/100)</f>
        <v>217</v>
      </c>
      <c r="R99" s="21"/>
      <c r="S99" s="16">
        <f>Q99*R99</f>
        <v>0</v>
      </c>
      <c r="T99" s="27">
        <f>0.104*R99</f>
        <v>0</v>
      </c>
      <c r="U99" s="28">
        <f>0.00135*R99</f>
        <v>0</v>
      </c>
      <c r="V99" s="29"/>
      <c r="W99" s="30" t="s">
        <v>520</v>
      </c>
      <c r="X99" s="30" t="s">
        <v>51</v>
      </c>
      <c r="Y99" s="7"/>
      <c r="Z99" s="7" t="s">
        <v>521</v>
      </c>
      <c r="AA99" s="7" t="s">
        <v>53</v>
      </c>
      <c r="AB99" s="7"/>
      <c r="AC99" s="7"/>
      <c r="AD99" s="7" t="str">
        <f>HYPERLINK("https://knigipp.ru/api/getInfo/image/b9e2097b-0943-11ef-a25d-00155d82e908")</f>
        <v>https://knigipp.ru/api/getInfo/image/b9e2097b-0943-11ef-a25d-00155d82e908</v>
      </c>
      <c r="AE99" s="7" t="s">
        <v>65</v>
      </c>
      <c r="AF99" s="36">
        <v>16</v>
      </c>
      <c r="AG99" s="7" t="s">
        <v>66</v>
      </c>
      <c r="AH99" s="7" t="s">
        <v>67</v>
      </c>
      <c r="AI99" s="7"/>
      <c r="AJ99" s="7" t="s">
        <v>57</v>
      </c>
      <c r="AK99" s="7"/>
      <c r="AL99" s="7"/>
      <c r="AM99" s="7" t="s">
        <v>522</v>
      </c>
    </row>
    <row r="100" spans="1:39" ht="96.2" customHeight="1" outlineLevel="3" x14ac:dyDescent="0.2">
      <c r="A100" s="6">
        <v>72</v>
      </c>
      <c r="B100" s="7" t="s">
        <v>523</v>
      </c>
      <c r="C100" s="48" t="s">
        <v>524</v>
      </c>
      <c r="D100" s="48"/>
      <c r="E100" s="48"/>
      <c r="F100" s="48"/>
      <c r="G100" s="8" t="s">
        <v>525</v>
      </c>
      <c r="H100" s="14"/>
      <c r="I100" s="15" t="s">
        <v>519</v>
      </c>
      <c r="J100" s="16"/>
      <c r="K100" s="17">
        <v>30</v>
      </c>
      <c r="L100" s="16"/>
      <c r="M100" s="16" t="s">
        <v>48</v>
      </c>
      <c r="N100" s="18"/>
      <c r="O100" s="16"/>
      <c r="P100" s="6">
        <v>3</v>
      </c>
      <c r="Q100" s="26">
        <f>217*(1-T3/100)</f>
        <v>217</v>
      </c>
      <c r="R100" s="21"/>
      <c r="S100" s="16">
        <f>Q100*R100</f>
        <v>0</v>
      </c>
      <c r="T100" s="27">
        <f>0.091*R100</f>
        <v>0</v>
      </c>
      <c r="U100" s="28">
        <f>0.00103*R100</f>
        <v>0</v>
      </c>
      <c r="V100" s="29"/>
      <c r="W100" s="30" t="s">
        <v>526</v>
      </c>
      <c r="X100" s="30" t="s">
        <v>51</v>
      </c>
      <c r="Y100" s="7"/>
      <c r="Z100" s="7" t="s">
        <v>527</v>
      </c>
      <c r="AA100" s="7" t="s">
        <v>53</v>
      </c>
      <c r="AB100" s="7"/>
      <c r="AC100" s="7"/>
      <c r="AD100" s="7" t="str">
        <f>HYPERLINK("https://knigipp.ru/api/getInfo/image/e478fc88-0943-11ef-a25d-00155d82e908")</f>
        <v>https://knigipp.ru/api/getInfo/image/e478fc88-0943-11ef-a25d-00155d82e908</v>
      </c>
      <c r="AE100" s="7" t="s">
        <v>65</v>
      </c>
      <c r="AF100" s="36">
        <v>16</v>
      </c>
      <c r="AG100" s="7" t="s">
        <v>66</v>
      </c>
      <c r="AH100" s="7" t="s">
        <v>67</v>
      </c>
      <c r="AI100" s="7"/>
      <c r="AJ100" s="7" t="s">
        <v>57</v>
      </c>
      <c r="AK100" s="7"/>
      <c r="AL100" s="7"/>
      <c r="AM100" s="7" t="s">
        <v>522</v>
      </c>
    </row>
    <row r="101" spans="1:39" ht="12" customHeight="1" outlineLevel="2" x14ac:dyDescent="0.2">
      <c r="A101" s="46" t="s">
        <v>528</v>
      </c>
      <c r="B101" s="46"/>
      <c r="C101" s="46"/>
      <c r="D101" s="46"/>
      <c r="E101" s="46"/>
      <c r="F101" s="46"/>
    </row>
    <row r="102" spans="1:39" ht="96.2" customHeight="1" outlineLevel="3" x14ac:dyDescent="0.2">
      <c r="A102" s="6">
        <v>73</v>
      </c>
      <c r="B102" s="7" t="s">
        <v>529</v>
      </c>
      <c r="C102" s="48" t="s">
        <v>530</v>
      </c>
      <c r="D102" s="48"/>
      <c r="E102" s="48"/>
      <c r="F102" s="48"/>
      <c r="G102" s="8" t="s">
        <v>531</v>
      </c>
      <c r="H102" s="14"/>
      <c r="I102" s="15" t="s">
        <v>532</v>
      </c>
      <c r="J102" s="16"/>
      <c r="K102" s="17">
        <v>25</v>
      </c>
      <c r="L102" s="16"/>
      <c r="M102" s="16" t="s">
        <v>48</v>
      </c>
      <c r="N102" s="18"/>
      <c r="O102" s="16"/>
      <c r="P102" s="6">
        <v>5</v>
      </c>
      <c r="Q102" s="26">
        <f>119*(1-T3/100)</f>
        <v>119</v>
      </c>
      <c r="R102" s="21"/>
      <c r="S102" s="16">
        <f>Q102*R102</f>
        <v>0</v>
      </c>
      <c r="T102" s="27">
        <f>1.858*R102</f>
        <v>0</v>
      </c>
      <c r="U102" s="32">
        <f>0.0025*R102</f>
        <v>0</v>
      </c>
      <c r="V102" s="29"/>
      <c r="W102" s="30" t="s">
        <v>533</v>
      </c>
      <c r="X102" s="30" t="s">
        <v>51</v>
      </c>
      <c r="Y102" s="7"/>
      <c r="Z102" s="7"/>
      <c r="AA102" s="7" t="s">
        <v>53</v>
      </c>
      <c r="AB102" s="7"/>
      <c r="AC102" s="7"/>
      <c r="AD102" s="7" t="str">
        <f>HYPERLINK("https://knigipp.ru/api/getInfo/image/1f4b2a42-9deb-11eb-a201-ac1f6b442185")</f>
        <v>https://knigipp.ru/api/getInfo/image/1f4b2a42-9deb-11eb-a201-ac1f6b442185</v>
      </c>
      <c r="AE102" s="7" t="s">
        <v>65</v>
      </c>
      <c r="AF102" s="36">
        <v>16</v>
      </c>
      <c r="AG102" s="7"/>
      <c r="AH102" s="7" t="s">
        <v>67</v>
      </c>
      <c r="AI102" s="7"/>
      <c r="AJ102" s="7" t="s">
        <v>57</v>
      </c>
      <c r="AK102" s="7"/>
      <c r="AL102" s="7"/>
      <c r="AM102" s="7" t="s">
        <v>534</v>
      </c>
    </row>
    <row r="103" spans="1:39" ht="96.2" customHeight="1" outlineLevel="3" x14ac:dyDescent="0.2">
      <c r="A103" s="6">
        <v>74</v>
      </c>
      <c r="B103" s="7" t="s">
        <v>535</v>
      </c>
      <c r="C103" s="48" t="s">
        <v>536</v>
      </c>
      <c r="D103" s="48"/>
      <c r="E103" s="48"/>
      <c r="F103" s="48"/>
      <c r="G103" s="8" t="s">
        <v>537</v>
      </c>
      <c r="H103" s="14"/>
      <c r="I103" s="15" t="s">
        <v>532</v>
      </c>
      <c r="J103" s="16"/>
      <c r="K103" s="17">
        <v>25</v>
      </c>
      <c r="L103" s="16"/>
      <c r="M103" s="16" t="s">
        <v>137</v>
      </c>
      <c r="N103" s="18"/>
      <c r="O103" s="16"/>
      <c r="P103" s="6">
        <v>5</v>
      </c>
      <c r="Q103" s="26">
        <f>119*(1-T3/100)</f>
        <v>119</v>
      </c>
      <c r="R103" s="21"/>
      <c r="S103" s="16">
        <f>Q103*R103</f>
        <v>0</v>
      </c>
      <c r="T103" s="27">
        <f>0.084*R103</f>
        <v>0</v>
      </c>
      <c r="U103" s="28">
        <f>0.00026*R103</f>
        <v>0</v>
      </c>
      <c r="V103" s="29"/>
      <c r="W103" s="30" t="s">
        <v>538</v>
      </c>
      <c r="X103" s="30" t="s">
        <v>51</v>
      </c>
      <c r="Y103" s="7"/>
      <c r="Z103" s="7"/>
      <c r="AA103" s="7" t="s">
        <v>53</v>
      </c>
      <c r="AB103" s="7"/>
      <c r="AC103" s="7"/>
      <c r="AD103" s="7" t="str">
        <f>HYPERLINK("https://knigipp.ru/api/getInfo/image/d352e8af-9dea-11eb-a201-ac1f6b442185")</f>
        <v>https://knigipp.ru/api/getInfo/image/d352e8af-9dea-11eb-a201-ac1f6b442185</v>
      </c>
      <c r="AE103" s="7" t="s">
        <v>65</v>
      </c>
      <c r="AF103" s="36">
        <v>16</v>
      </c>
      <c r="AG103" s="7"/>
      <c r="AH103" s="7" t="s">
        <v>67</v>
      </c>
      <c r="AI103" s="7"/>
      <c r="AJ103" s="7" t="s">
        <v>57</v>
      </c>
      <c r="AK103" s="7"/>
      <c r="AL103" s="7"/>
      <c r="AM103" s="7" t="s">
        <v>534</v>
      </c>
    </row>
    <row r="104" spans="1:39" ht="12" customHeight="1" outlineLevel="2" x14ac:dyDescent="0.2">
      <c r="A104" s="46" t="s">
        <v>539</v>
      </c>
      <c r="B104" s="46"/>
      <c r="C104" s="46"/>
      <c r="D104" s="46"/>
      <c r="E104" s="46"/>
      <c r="F104" s="46"/>
    </row>
    <row r="105" spans="1:39" ht="96.2" customHeight="1" outlineLevel="3" x14ac:dyDescent="0.2">
      <c r="A105" s="6">
        <v>75</v>
      </c>
      <c r="B105" s="7" t="s">
        <v>540</v>
      </c>
      <c r="C105" s="48" t="s">
        <v>541</v>
      </c>
      <c r="D105" s="48"/>
      <c r="E105" s="48"/>
      <c r="F105" s="48"/>
      <c r="G105" s="8" t="s">
        <v>542</v>
      </c>
      <c r="H105" s="14"/>
      <c r="I105" s="15" t="s">
        <v>543</v>
      </c>
      <c r="J105" s="16"/>
      <c r="K105" s="17">
        <v>50</v>
      </c>
      <c r="L105" s="16"/>
      <c r="M105" s="16" t="s">
        <v>227</v>
      </c>
      <c r="N105" s="18"/>
      <c r="O105" s="16"/>
      <c r="P105" s="6">
        <v>3</v>
      </c>
      <c r="Q105" s="26">
        <f>199*(1-T3/100)</f>
        <v>199</v>
      </c>
      <c r="R105" s="21"/>
      <c r="S105" s="16">
        <f>Q105*R105</f>
        <v>0</v>
      </c>
      <c r="T105" s="27">
        <f>0.044*R105</f>
        <v>0</v>
      </c>
      <c r="U105" s="28">
        <f>0.00015*R105</f>
        <v>0</v>
      </c>
      <c r="V105" s="29"/>
      <c r="W105" s="30" t="s">
        <v>544</v>
      </c>
      <c r="X105" s="30" t="s">
        <v>64</v>
      </c>
      <c r="Y105" s="7"/>
      <c r="Z105" s="7"/>
      <c r="AA105" s="7" t="s">
        <v>53</v>
      </c>
      <c r="AB105" s="7"/>
      <c r="AC105" s="7"/>
      <c r="AD105" s="7" t="str">
        <f>HYPERLINK("https://knigipp.ru/api/getInfo/image/bc1f42ab-1d3f-11ec-a20f-ac1f6b442185")</f>
        <v>https://knigipp.ru/api/getInfo/image/bc1f42ab-1d3f-11ec-a20f-ac1f6b442185</v>
      </c>
      <c r="AE105" s="7" t="s">
        <v>65</v>
      </c>
      <c r="AF105" s="36">
        <v>16</v>
      </c>
      <c r="AG105" s="7"/>
      <c r="AH105" s="7" t="s">
        <v>67</v>
      </c>
      <c r="AI105" s="7"/>
      <c r="AJ105" s="7" t="s">
        <v>57</v>
      </c>
      <c r="AK105" s="7"/>
      <c r="AL105" s="7"/>
      <c r="AM105" s="7" t="s">
        <v>545</v>
      </c>
    </row>
    <row r="106" spans="1:39" ht="12" customHeight="1" outlineLevel="2" x14ac:dyDescent="0.2">
      <c r="A106" s="46" t="s">
        <v>546</v>
      </c>
      <c r="B106" s="46"/>
      <c r="C106" s="46"/>
      <c r="D106" s="46"/>
      <c r="E106" s="46"/>
      <c r="F106" s="46"/>
    </row>
    <row r="107" spans="1:39" ht="96.2" customHeight="1" outlineLevel="3" x14ac:dyDescent="0.2">
      <c r="A107" s="6">
        <v>76</v>
      </c>
      <c r="B107" s="7" t="s">
        <v>547</v>
      </c>
      <c r="C107" s="48" t="s">
        <v>548</v>
      </c>
      <c r="D107" s="48"/>
      <c r="E107" s="48"/>
      <c r="F107" s="48"/>
      <c r="G107" s="8" t="s">
        <v>549</v>
      </c>
      <c r="H107" s="14"/>
      <c r="I107" s="15" t="s">
        <v>550</v>
      </c>
      <c r="J107" s="16"/>
      <c r="K107" s="17">
        <v>40</v>
      </c>
      <c r="L107" s="16"/>
      <c r="M107" s="16" t="s">
        <v>137</v>
      </c>
      <c r="N107" s="18"/>
      <c r="O107" s="16"/>
      <c r="P107" s="6">
        <v>5</v>
      </c>
      <c r="Q107" s="26">
        <f>127*(1-T3/100)</f>
        <v>127</v>
      </c>
      <c r="R107" s="21"/>
      <c r="S107" s="16">
        <f>Q107*R107</f>
        <v>0</v>
      </c>
      <c r="T107" s="27">
        <f>0.113*R107</f>
        <v>0</v>
      </c>
      <c r="U107" s="28">
        <f>0.00065*R107</f>
        <v>0</v>
      </c>
      <c r="V107" s="29"/>
      <c r="W107" s="30" t="s">
        <v>551</v>
      </c>
      <c r="X107" s="30" t="s">
        <v>51</v>
      </c>
      <c r="Y107" s="7" t="s">
        <v>146</v>
      </c>
      <c r="Z107" s="7" t="s">
        <v>552</v>
      </c>
      <c r="AA107" s="7" t="s">
        <v>53</v>
      </c>
      <c r="AB107" s="7"/>
      <c r="AC107" s="7"/>
      <c r="AD107" s="7" t="str">
        <f>HYPERLINK("https://knigipp.ru/api/getInfo/image/420c1215-3d5d-11f0-a27c-00155d82e908")</f>
        <v>https://knigipp.ru/api/getInfo/image/420c1215-3d5d-11f0-a27c-00155d82e908</v>
      </c>
      <c r="AE107" s="7" t="s">
        <v>65</v>
      </c>
      <c r="AF107" s="36">
        <v>10</v>
      </c>
      <c r="AG107" s="7" t="s">
        <v>66</v>
      </c>
      <c r="AH107" s="7" t="s">
        <v>78</v>
      </c>
      <c r="AI107" s="7"/>
      <c r="AJ107" s="7" t="s">
        <v>57</v>
      </c>
      <c r="AK107" s="7"/>
      <c r="AL107" s="7"/>
      <c r="AM107" s="7" t="s">
        <v>553</v>
      </c>
    </row>
    <row r="108" spans="1:39" ht="96.2" customHeight="1" outlineLevel="3" x14ac:dyDescent="0.2">
      <c r="A108" s="6">
        <v>77</v>
      </c>
      <c r="B108" s="7" t="s">
        <v>554</v>
      </c>
      <c r="C108" s="48" t="s">
        <v>555</v>
      </c>
      <c r="D108" s="48"/>
      <c r="E108" s="48"/>
      <c r="F108" s="48"/>
      <c r="G108" s="8" t="s">
        <v>556</v>
      </c>
      <c r="H108" s="14"/>
      <c r="I108" s="15" t="s">
        <v>557</v>
      </c>
      <c r="J108" s="16"/>
      <c r="K108" s="17">
        <v>40</v>
      </c>
      <c r="L108" s="16"/>
      <c r="M108" s="16" t="s">
        <v>48</v>
      </c>
      <c r="N108" s="18"/>
      <c r="O108" s="16"/>
      <c r="P108" s="6">
        <v>5</v>
      </c>
      <c r="Q108" s="26">
        <f>127*(1-T3/100)</f>
        <v>127</v>
      </c>
      <c r="R108" s="21"/>
      <c r="S108" s="16">
        <f>Q108*R108</f>
        <v>0</v>
      </c>
      <c r="T108" s="27">
        <f>0.141*R108</f>
        <v>0</v>
      </c>
      <c r="U108" s="28">
        <f>0.00023*R108</f>
        <v>0</v>
      </c>
      <c r="V108" s="29"/>
      <c r="W108" s="30" t="s">
        <v>558</v>
      </c>
      <c r="X108" s="30" t="s">
        <v>51</v>
      </c>
      <c r="Y108" s="7"/>
      <c r="Z108" s="7"/>
      <c r="AA108" s="7" t="s">
        <v>53</v>
      </c>
      <c r="AB108" s="7"/>
      <c r="AC108" s="7"/>
      <c r="AD108" s="7" t="str">
        <f>HYPERLINK("https://knigipp.ru/api/getInfo/image/8da7535b-d406-11eb-a209-ac1f6b442185")</f>
        <v>https://knigipp.ru/api/getInfo/image/8da7535b-d406-11eb-a209-ac1f6b442185</v>
      </c>
      <c r="AE108" s="7" t="s">
        <v>65</v>
      </c>
      <c r="AF108" s="36">
        <v>10</v>
      </c>
      <c r="AG108" s="7"/>
      <c r="AH108" s="7" t="s">
        <v>78</v>
      </c>
      <c r="AI108" s="7"/>
      <c r="AJ108" s="7" t="s">
        <v>57</v>
      </c>
      <c r="AK108" s="7"/>
      <c r="AL108" s="7"/>
      <c r="AM108" s="7" t="s">
        <v>559</v>
      </c>
    </row>
    <row r="109" spans="1:39" ht="96.2" customHeight="1" outlineLevel="3" x14ac:dyDescent="0.2">
      <c r="A109" s="6">
        <v>78</v>
      </c>
      <c r="B109" s="7" t="s">
        <v>560</v>
      </c>
      <c r="C109" s="48" t="s">
        <v>561</v>
      </c>
      <c r="D109" s="48"/>
      <c r="E109" s="48"/>
      <c r="F109" s="48"/>
      <c r="G109" s="8" t="s">
        <v>562</v>
      </c>
      <c r="H109" s="14"/>
      <c r="I109" s="15" t="s">
        <v>550</v>
      </c>
      <c r="J109" s="16"/>
      <c r="K109" s="17">
        <v>40</v>
      </c>
      <c r="L109" s="16"/>
      <c r="M109" s="16" t="s">
        <v>227</v>
      </c>
      <c r="N109" s="18"/>
      <c r="O109" s="16"/>
      <c r="P109" s="6">
        <v>5</v>
      </c>
      <c r="Q109" s="26">
        <f>127*(1-T3/100)</f>
        <v>127</v>
      </c>
      <c r="R109" s="21"/>
      <c r="S109" s="16">
        <f>Q109*R109</f>
        <v>0</v>
      </c>
      <c r="T109" s="31">
        <f>0.11*R109</f>
        <v>0</v>
      </c>
      <c r="U109" s="28">
        <f>0.00025*R109</f>
        <v>0</v>
      </c>
      <c r="V109" s="29"/>
      <c r="W109" s="30" t="s">
        <v>563</v>
      </c>
      <c r="X109" s="30" t="s">
        <v>51</v>
      </c>
      <c r="Y109" s="7" t="s">
        <v>146</v>
      </c>
      <c r="Z109" s="7" t="s">
        <v>564</v>
      </c>
      <c r="AA109" s="7" t="s">
        <v>53</v>
      </c>
      <c r="AB109" s="7"/>
      <c r="AC109" s="7"/>
      <c r="AD109" s="7" t="str">
        <f>HYPERLINK("https://knigipp.ru/api/getInfo/image/fe8a78b9-25bc-11f0-a279-00155d82e908")</f>
        <v>https://knigipp.ru/api/getInfo/image/fe8a78b9-25bc-11f0-a279-00155d82e908</v>
      </c>
      <c r="AE109" s="7" t="s">
        <v>65</v>
      </c>
      <c r="AF109" s="36">
        <v>10</v>
      </c>
      <c r="AG109" s="7" t="s">
        <v>66</v>
      </c>
      <c r="AH109" s="7" t="s">
        <v>78</v>
      </c>
      <c r="AI109" s="7"/>
      <c r="AJ109" s="7" t="s">
        <v>57</v>
      </c>
      <c r="AK109" s="7"/>
      <c r="AL109" s="7"/>
      <c r="AM109" s="7" t="s">
        <v>553</v>
      </c>
    </row>
    <row r="110" spans="1:39" ht="96.2" customHeight="1" outlineLevel="3" x14ac:dyDescent="0.2">
      <c r="A110" s="6">
        <v>79</v>
      </c>
      <c r="B110" s="7" t="s">
        <v>565</v>
      </c>
      <c r="C110" s="48" t="s">
        <v>566</v>
      </c>
      <c r="D110" s="48"/>
      <c r="E110" s="48"/>
      <c r="F110" s="48"/>
      <c r="G110" s="8" t="s">
        <v>567</v>
      </c>
      <c r="H110" s="14"/>
      <c r="I110" s="15" t="s">
        <v>557</v>
      </c>
      <c r="J110" s="16"/>
      <c r="K110" s="17">
        <v>40</v>
      </c>
      <c r="L110" s="16"/>
      <c r="M110" s="16" t="s">
        <v>227</v>
      </c>
      <c r="N110" s="18"/>
      <c r="O110" s="16"/>
      <c r="P110" s="6">
        <v>5</v>
      </c>
      <c r="Q110" s="26">
        <f>127*(1-T3/100)</f>
        <v>127</v>
      </c>
      <c r="R110" s="21"/>
      <c r="S110" s="16">
        <f>Q110*R110</f>
        <v>0</v>
      </c>
      <c r="T110" s="27">
        <f>0.142*R110</f>
        <v>0</v>
      </c>
      <c r="U110" s="28">
        <f>0.00022*R110</f>
        <v>0</v>
      </c>
      <c r="V110" s="29"/>
      <c r="W110" s="30" t="s">
        <v>568</v>
      </c>
      <c r="X110" s="30" t="s">
        <v>51</v>
      </c>
      <c r="Y110" s="7"/>
      <c r="Z110" s="7"/>
      <c r="AA110" s="7" t="s">
        <v>53</v>
      </c>
      <c r="AB110" s="7"/>
      <c r="AC110" s="7"/>
      <c r="AD110" s="7" t="str">
        <f>HYPERLINK("https://knigipp.ru/api/getInfo/image/d628ab7b-d406-11eb-a209-ac1f6b442185")</f>
        <v>https://knigipp.ru/api/getInfo/image/d628ab7b-d406-11eb-a209-ac1f6b442185</v>
      </c>
      <c r="AE110" s="7" t="s">
        <v>65</v>
      </c>
      <c r="AF110" s="36">
        <v>10</v>
      </c>
      <c r="AG110" s="7"/>
      <c r="AH110" s="7" t="s">
        <v>78</v>
      </c>
      <c r="AI110" s="7"/>
      <c r="AJ110" s="7" t="s">
        <v>57</v>
      </c>
      <c r="AK110" s="7"/>
      <c r="AL110" s="7"/>
      <c r="AM110" s="7" t="s">
        <v>559</v>
      </c>
    </row>
    <row r="111" spans="1:39" ht="12" customHeight="1" outlineLevel="2" x14ac:dyDescent="0.2">
      <c r="A111" s="46" t="s">
        <v>569</v>
      </c>
      <c r="B111" s="46"/>
      <c r="C111" s="46"/>
      <c r="D111" s="46"/>
      <c r="E111" s="46"/>
      <c r="F111" s="46"/>
    </row>
    <row r="112" spans="1:39" ht="96.2" customHeight="1" outlineLevel="3" x14ac:dyDescent="0.2">
      <c r="A112" s="6">
        <v>80</v>
      </c>
      <c r="B112" s="7" t="s">
        <v>570</v>
      </c>
      <c r="C112" s="48" t="s">
        <v>571</v>
      </c>
      <c r="D112" s="48"/>
      <c r="E112" s="48"/>
      <c r="F112" s="48"/>
      <c r="G112" s="8" t="s">
        <v>572</v>
      </c>
      <c r="H112" s="14"/>
      <c r="I112" s="15" t="s">
        <v>573</v>
      </c>
      <c r="J112" s="16"/>
      <c r="K112" s="17">
        <v>20</v>
      </c>
      <c r="L112" s="16"/>
      <c r="M112" s="16" t="s">
        <v>48</v>
      </c>
      <c r="N112" s="18"/>
      <c r="O112" s="16"/>
      <c r="P112" s="6">
        <v>2</v>
      </c>
      <c r="Q112" s="26">
        <f>299*(1-T3/100)</f>
        <v>299</v>
      </c>
      <c r="R112" s="21"/>
      <c r="S112" s="16">
        <f>Q112*R112</f>
        <v>0</v>
      </c>
      <c r="T112" s="27">
        <f>0.164*R112</f>
        <v>0</v>
      </c>
      <c r="U112" s="28">
        <f>0.00021*R112</f>
        <v>0</v>
      </c>
      <c r="V112" s="29"/>
      <c r="W112" s="30" t="s">
        <v>574</v>
      </c>
      <c r="X112" s="30" t="s">
        <v>51</v>
      </c>
      <c r="Y112" s="7" t="s">
        <v>76</v>
      </c>
      <c r="Z112" s="7" t="s">
        <v>575</v>
      </c>
      <c r="AA112" s="7" t="s">
        <v>53</v>
      </c>
      <c r="AB112" s="7"/>
      <c r="AC112" s="7"/>
      <c r="AD112" s="7" t="str">
        <f>HYPERLINK("https://knigipp.ru/api/getInfo/image/75ac6af8-748a-11f1-a29a-00155d82e908")</f>
        <v>https://knigipp.ru/api/getInfo/image/75ac6af8-748a-11f1-a29a-00155d82e908</v>
      </c>
      <c r="AE112" s="7" t="s">
        <v>65</v>
      </c>
      <c r="AF112" s="36">
        <v>10</v>
      </c>
      <c r="AG112" s="7" t="s">
        <v>55</v>
      </c>
      <c r="AH112" s="7" t="s">
        <v>78</v>
      </c>
      <c r="AI112" s="7"/>
      <c r="AJ112" s="7" t="s">
        <v>57</v>
      </c>
      <c r="AK112" s="7"/>
      <c r="AL112" s="7"/>
      <c r="AM112" s="7" t="s">
        <v>576</v>
      </c>
    </row>
    <row r="113" spans="1:39" ht="96.2" customHeight="1" outlineLevel="3" x14ac:dyDescent="0.2">
      <c r="A113" s="6">
        <v>81</v>
      </c>
      <c r="B113" s="7" t="s">
        <v>577</v>
      </c>
      <c r="C113" s="48" t="s">
        <v>578</v>
      </c>
      <c r="D113" s="48"/>
      <c r="E113" s="48"/>
      <c r="F113" s="48"/>
      <c r="G113" s="8" t="s">
        <v>579</v>
      </c>
      <c r="H113" s="14"/>
      <c r="I113" s="15" t="s">
        <v>573</v>
      </c>
      <c r="J113" s="16"/>
      <c r="K113" s="17">
        <v>20</v>
      </c>
      <c r="L113" s="16"/>
      <c r="M113" s="16" t="s">
        <v>48</v>
      </c>
      <c r="N113" s="18"/>
      <c r="O113" s="16"/>
      <c r="P113" s="6">
        <v>2</v>
      </c>
      <c r="Q113" s="26">
        <f>299*(1-T3/100)</f>
        <v>299</v>
      </c>
      <c r="R113" s="21"/>
      <c r="S113" s="16">
        <f>Q113*R113</f>
        <v>0</v>
      </c>
      <c r="T113" s="27">
        <f>0.162*R113</f>
        <v>0</v>
      </c>
      <c r="U113" s="28">
        <f>0.00029*R113</f>
        <v>0</v>
      </c>
      <c r="V113" s="29"/>
      <c r="W113" s="30" t="s">
        <v>580</v>
      </c>
      <c r="X113" s="30" t="s">
        <v>51</v>
      </c>
      <c r="Y113" s="7" t="s">
        <v>76</v>
      </c>
      <c r="Z113" s="7" t="s">
        <v>581</v>
      </c>
      <c r="AA113" s="7" t="s">
        <v>53</v>
      </c>
      <c r="AB113" s="7"/>
      <c r="AC113" s="7"/>
      <c r="AD113" s="7" t="str">
        <f>HYPERLINK("https://knigipp.ru/api/getInfo/image/f8fb8fe0-748a-11f1-a29a-00155d82e908")</f>
        <v>https://knigipp.ru/api/getInfo/image/f8fb8fe0-748a-11f1-a29a-00155d82e908</v>
      </c>
      <c r="AE113" s="7" t="s">
        <v>65</v>
      </c>
      <c r="AF113" s="36">
        <v>10</v>
      </c>
      <c r="AG113" s="7" t="s">
        <v>55</v>
      </c>
      <c r="AH113" s="7" t="s">
        <v>78</v>
      </c>
      <c r="AI113" s="7"/>
      <c r="AJ113" s="7" t="s">
        <v>57</v>
      </c>
      <c r="AK113" s="7"/>
      <c r="AL113" s="7"/>
      <c r="AM113" s="7" t="s">
        <v>576</v>
      </c>
    </row>
    <row r="114" spans="1:39" ht="96.2" customHeight="1" outlineLevel="3" x14ac:dyDescent="0.2">
      <c r="A114" s="6">
        <v>82</v>
      </c>
      <c r="B114" s="7" t="s">
        <v>582</v>
      </c>
      <c r="C114" s="48" t="s">
        <v>583</v>
      </c>
      <c r="D114" s="48"/>
      <c r="E114" s="48"/>
      <c r="F114" s="48"/>
      <c r="G114" s="8" t="s">
        <v>584</v>
      </c>
      <c r="H114" s="14"/>
      <c r="I114" s="15" t="s">
        <v>573</v>
      </c>
      <c r="J114" s="16"/>
      <c r="K114" s="17">
        <v>20</v>
      </c>
      <c r="L114" s="16"/>
      <c r="M114" s="16" t="s">
        <v>48</v>
      </c>
      <c r="N114" s="18"/>
      <c r="O114" s="16"/>
      <c r="P114" s="6">
        <v>2</v>
      </c>
      <c r="Q114" s="26">
        <f>299*(1-T3/100)</f>
        <v>299</v>
      </c>
      <c r="R114" s="21"/>
      <c r="S114" s="16">
        <f>Q114*R114</f>
        <v>0</v>
      </c>
      <c r="T114" s="27">
        <f>0.171*R114</f>
        <v>0</v>
      </c>
      <c r="U114" s="28">
        <f>0.00032*R114</f>
        <v>0</v>
      </c>
      <c r="V114" s="29"/>
      <c r="W114" s="30" t="s">
        <v>585</v>
      </c>
      <c r="X114" s="30" t="s">
        <v>51</v>
      </c>
      <c r="Y114" s="7" t="s">
        <v>76</v>
      </c>
      <c r="Z114" s="7" t="s">
        <v>586</v>
      </c>
      <c r="AA114" s="7" t="s">
        <v>53</v>
      </c>
      <c r="AB114" s="7"/>
      <c r="AC114" s="7"/>
      <c r="AD114" s="7" t="str">
        <f>HYPERLINK("https://knigipp.ru/api/getInfo/image/8693cf80-748b-11f1-a29a-00155d82e908")</f>
        <v>https://knigipp.ru/api/getInfo/image/8693cf80-748b-11f1-a29a-00155d82e908</v>
      </c>
      <c r="AE114" s="7" t="s">
        <v>65</v>
      </c>
      <c r="AF114" s="36">
        <v>10</v>
      </c>
      <c r="AG114" s="7" t="s">
        <v>55</v>
      </c>
      <c r="AH114" s="7" t="s">
        <v>78</v>
      </c>
      <c r="AI114" s="7"/>
      <c r="AJ114" s="7" t="s">
        <v>57</v>
      </c>
      <c r="AK114" s="7"/>
      <c r="AL114" s="7"/>
      <c r="AM114" s="7" t="s">
        <v>576</v>
      </c>
    </row>
    <row r="115" spans="1:39" ht="96.2" customHeight="1" outlineLevel="3" x14ac:dyDescent="0.2">
      <c r="A115" s="6">
        <v>83</v>
      </c>
      <c r="B115" s="7" t="s">
        <v>587</v>
      </c>
      <c r="C115" s="48" t="s">
        <v>588</v>
      </c>
      <c r="D115" s="48"/>
      <c r="E115" s="48"/>
      <c r="F115" s="48"/>
      <c r="G115" s="8" t="s">
        <v>589</v>
      </c>
      <c r="H115" s="14"/>
      <c r="I115" s="15" t="s">
        <v>573</v>
      </c>
      <c r="J115" s="16"/>
      <c r="K115" s="17">
        <v>20</v>
      </c>
      <c r="L115" s="16"/>
      <c r="M115" s="16" t="s">
        <v>48</v>
      </c>
      <c r="N115" s="18"/>
      <c r="O115" s="16"/>
      <c r="P115" s="6">
        <v>2</v>
      </c>
      <c r="Q115" s="26">
        <f>299*(1-T3/100)</f>
        <v>299</v>
      </c>
      <c r="R115" s="21"/>
      <c r="S115" s="16">
        <f>Q115*R115</f>
        <v>0</v>
      </c>
      <c r="T115" s="31">
        <f>0.55*R115</f>
        <v>0</v>
      </c>
      <c r="U115" s="28">
        <f>0.00098*R115</f>
        <v>0</v>
      </c>
      <c r="V115" s="29"/>
      <c r="W115" s="30" t="s">
        <v>590</v>
      </c>
      <c r="X115" s="30" t="s">
        <v>51</v>
      </c>
      <c r="Y115" s="7" t="s">
        <v>76</v>
      </c>
      <c r="Z115" s="7" t="s">
        <v>591</v>
      </c>
      <c r="AA115" s="7" t="s">
        <v>53</v>
      </c>
      <c r="AB115" s="7"/>
      <c r="AC115" s="7"/>
      <c r="AD115" s="7" t="str">
        <f>HYPERLINK("https://knigipp.ru/api/getInfo/image/42ad0a6a-748b-11f1-a29a-00155d82e908")</f>
        <v>https://knigipp.ru/api/getInfo/image/42ad0a6a-748b-11f1-a29a-00155d82e908</v>
      </c>
      <c r="AE115" s="7" t="s">
        <v>65</v>
      </c>
      <c r="AF115" s="36">
        <v>10</v>
      </c>
      <c r="AG115" s="7" t="s">
        <v>55</v>
      </c>
      <c r="AH115" s="7" t="s">
        <v>78</v>
      </c>
      <c r="AI115" s="7"/>
      <c r="AJ115" s="7" t="s">
        <v>57</v>
      </c>
      <c r="AK115" s="7"/>
      <c r="AL115" s="7"/>
      <c r="AM115" s="7" t="s">
        <v>576</v>
      </c>
    </row>
    <row r="116" spans="1:39" ht="12" customHeight="1" outlineLevel="2" x14ac:dyDescent="0.2">
      <c r="A116" s="46" t="s">
        <v>592</v>
      </c>
      <c r="B116" s="46"/>
      <c r="C116" s="46"/>
      <c r="D116" s="46"/>
      <c r="E116" s="46"/>
      <c r="F116" s="46"/>
    </row>
    <row r="117" spans="1:39" ht="96.2" customHeight="1" outlineLevel="3" x14ac:dyDescent="0.2">
      <c r="A117" s="6">
        <v>84</v>
      </c>
      <c r="B117" s="7" t="s">
        <v>593</v>
      </c>
      <c r="C117" s="48" t="s">
        <v>594</v>
      </c>
      <c r="D117" s="48"/>
      <c r="E117" s="48"/>
      <c r="F117" s="48"/>
      <c r="G117" s="8" t="s">
        <v>595</v>
      </c>
      <c r="H117" s="14"/>
      <c r="I117" s="15"/>
      <c r="J117" s="16"/>
      <c r="K117" s="17">
        <v>48</v>
      </c>
      <c r="L117" s="16"/>
      <c r="M117" s="16" t="s">
        <v>48</v>
      </c>
      <c r="N117" s="18"/>
      <c r="O117" s="16"/>
      <c r="P117" s="6">
        <v>15</v>
      </c>
      <c r="Q117" s="26">
        <f>97*(1-T3/100)</f>
        <v>97</v>
      </c>
      <c r="R117" s="21"/>
      <c r="S117" s="16">
        <f>Q117*R117</f>
        <v>0</v>
      </c>
      <c r="T117" s="27">
        <f>0.052*R117</f>
        <v>0</v>
      </c>
      <c r="U117" s="28">
        <f>0.00008*R117</f>
        <v>0</v>
      </c>
      <c r="V117" s="29"/>
      <c r="W117" s="30" t="s">
        <v>596</v>
      </c>
      <c r="X117" s="30" t="s">
        <v>51</v>
      </c>
      <c r="Y117" s="7" t="s">
        <v>597</v>
      </c>
      <c r="Z117" s="7" t="s">
        <v>598</v>
      </c>
      <c r="AA117" s="7" t="s">
        <v>53</v>
      </c>
      <c r="AB117" s="7"/>
      <c r="AC117" s="7"/>
      <c r="AD117" s="7" t="str">
        <f>HYPERLINK("https://knigipp.ru/api/getInfo/image/99d0d3d8-5b63-11f1-a295-00155d82e908")</f>
        <v>https://knigipp.ru/api/getInfo/image/99d0d3d8-5b63-11f1-a295-00155d82e908</v>
      </c>
      <c r="AE117" s="7" t="s">
        <v>65</v>
      </c>
      <c r="AF117" s="36">
        <v>10</v>
      </c>
      <c r="AG117" s="7" t="s">
        <v>66</v>
      </c>
      <c r="AH117" s="7" t="s">
        <v>78</v>
      </c>
      <c r="AI117" s="7"/>
      <c r="AJ117" s="7" t="s">
        <v>57</v>
      </c>
      <c r="AK117" s="7"/>
      <c r="AL117" s="7"/>
      <c r="AM117" s="7" t="s">
        <v>599</v>
      </c>
    </row>
    <row r="118" spans="1:39" ht="96.2" customHeight="1" outlineLevel="3" x14ac:dyDescent="0.2">
      <c r="A118" s="6">
        <v>85</v>
      </c>
      <c r="B118" s="7" t="s">
        <v>600</v>
      </c>
      <c r="C118" s="48" t="s">
        <v>601</v>
      </c>
      <c r="D118" s="48"/>
      <c r="E118" s="48"/>
      <c r="F118" s="48"/>
      <c r="G118" s="8" t="s">
        <v>602</v>
      </c>
      <c r="H118" s="14"/>
      <c r="I118" s="15"/>
      <c r="J118" s="16"/>
      <c r="K118" s="17">
        <v>48</v>
      </c>
      <c r="L118" s="16"/>
      <c r="M118" s="16" t="s">
        <v>48</v>
      </c>
      <c r="N118" s="18"/>
      <c r="O118" s="16"/>
      <c r="P118" s="6">
        <v>15</v>
      </c>
      <c r="Q118" s="26">
        <f>97*(1-T3/100)</f>
        <v>97</v>
      </c>
      <c r="R118" s="21"/>
      <c r="S118" s="16">
        <f>Q118*R118</f>
        <v>0</v>
      </c>
      <c r="T118" s="27">
        <f>0.054*R118</f>
        <v>0</v>
      </c>
      <c r="U118" s="28">
        <f>0.00007*R118</f>
        <v>0</v>
      </c>
      <c r="V118" s="29"/>
      <c r="W118" s="30" t="s">
        <v>603</v>
      </c>
      <c r="X118" s="30" t="s">
        <v>51</v>
      </c>
      <c r="Y118" s="7" t="s">
        <v>130</v>
      </c>
      <c r="Z118" s="7" t="s">
        <v>604</v>
      </c>
      <c r="AA118" s="7" t="s">
        <v>53</v>
      </c>
      <c r="AB118" s="7"/>
      <c r="AC118" s="7"/>
      <c r="AD118" s="7" t="str">
        <f>HYPERLINK("https://knigipp.ru/api/getInfo/image/aae8c5aa-4492-11f1-a294-00155d82e908")</f>
        <v>https://knigipp.ru/api/getInfo/image/aae8c5aa-4492-11f1-a294-00155d82e908</v>
      </c>
      <c r="AE118" s="7" t="s">
        <v>65</v>
      </c>
      <c r="AF118" s="36">
        <v>10</v>
      </c>
      <c r="AG118" s="7" t="s">
        <v>66</v>
      </c>
      <c r="AH118" s="7" t="s">
        <v>78</v>
      </c>
      <c r="AI118" s="7"/>
      <c r="AJ118" s="7" t="s">
        <v>57</v>
      </c>
      <c r="AK118" s="7"/>
      <c r="AL118" s="7"/>
      <c r="AM118" s="7" t="s">
        <v>605</v>
      </c>
    </row>
    <row r="119" spans="1:39" ht="96.2" customHeight="1" outlineLevel="3" x14ac:dyDescent="0.2">
      <c r="A119" s="6">
        <v>86</v>
      </c>
      <c r="B119" s="7" t="s">
        <v>606</v>
      </c>
      <c r="C119" s="48" t="s">
        <v>607</v>
      </c>
      <c r="D119" s="48"/>
      <c r="E119" s="48"/>
      <c r="F119" s="48"/>
      <c r="G119" s="8" t="s">
        <v>608</v>
      </c>
      <c r="H119" s="14"/>
      <c r="I119" s="15"/>
      <c r="J119" s="16"/>
      <c r="K119" s="17">
        <v>48</v>
      </c>
      <c r="L119" s="16"/>
      <c r="M119" s="16" t="s">
        <v>48</v>
      </c>
      <c r="N119" s="18"/>
      <c r="O119" s="16"/>
      <c r="P119" s="6">
        <v>15</v>
      </c>
      <c r="Q119" s="26">
        <f>97*(1-T3/100)</f>
        <v>97</v>
      </c>
      <c r="R119" s="21"/>
      <c r="S119" s="16">
        <f>Q119*R119</f>
        <v>0</v>
      </c>
      <c r="T119" s="27">
        <f>0.056*R119</f>
        <v>0</v>
      </c>
      <c r="U119" s="28">
        <f>0.00012*R119</f>
        <v>0</v>
      </c>
      <c r="V119" s="29"/>
      <c r="W119" s="30" t="s">
        <v>609</v>
      </c>
      <c r="X119" s="30" t="s">
        <v>51</v>
      </c>
      <c r="Y119" s="7" t="s">
        <v>610</v>
      </c>
      <c r="Z119" s="7" t="s">
        <v>611</v>
      </c>
      <c r="AA119" s="7" t="s">
        <v>53</v>
      </c>
      <c r="AB119" s="7"/>
      <c r="AC119" s="7"/>
      <c r="AD119" s="7" t="str">
        <f>HYPERLINK("https://knigipp.ru/api/getInfo/image/5bb0088a-4492-11f1-a294-00155d82e908")</f>
        <v>https://knigipp.ru/api/getInfo/image/5bb0088a-4492-11f1-a294-00155d82e908</v>
      </c>
      <c r="AE119" s="7" t="s">
        <v>65</v>
      </c>
      <c r="AF119" s="36">
        <v>10</v>
      </c>
      <c r="AG119" s="7" t="s">
        <v>66</v>
      </c>
      <c r="AH119" s="7" t="s">
        <v>78</v>
      </c>
      <c r="AI119" s="7"/>
      <c r="AJ119" s="7" t="s">
        <v>57</v>
      </c>
      <c r="AK119" s="7"/>
      <c r="AL119" s="7"/>
      <c r="AM119" s="7" t="s">
        <v>605</v>
      </c>
    </row>
    <row r="120" spans="1:39" ht="96.2" customHeight="1" outlineLevel="3" x14ac:dyDescent="0.2">
      <c r="A120" s="6">
        <v>87</v>
      </c>
      <c r="B120" s="7" t="s">
        <v>612</v>
      </c>
      <c r="C120" s="48" t="s">
        <v>613</v>
      </c>
      <c r="D120" s="48"/>
      <c r="E120" s="48"/>
      <c r="F120" s="48"/>
      <c r="G120" s="8" t="s">
        <v>614</v>
      </c>
      <c r="H120" s="14"/>
      <c r="I120" s="15"/>
      <c r="J120" s="16"/>
      <c r="K120" s="17">
        <v>48</v>
      </c>
      <c r="L120" s="16"/>
      <c r="M120" s="16" t="s">
        <v>48</v>
      </c>
      <c r="N120" s="18"/>
      <c r="O120" s="16"/>
      <c r="P120" s="6">
        <v>15</v>
      </c>
      <c r="Q120" s="26">
        <f>97*(1-T3/100)</f>
        <v>97</v>
      </c>
      <c r="R120" s="21"/>
      <c r="S120" s="16">
        <f>Q120*R120</f>
        <v>0</v>
      </c>
      <c r="T120" s="31">
        <f>0.05*R120</f>
        <v>0</v>
      </c>
      <c r="U120" s="28">
        <f>0.00005*R120</f>
        <v>0</v>
      </c>
      <c r="V120" s="29"/>
      <c r="W120" s="30" t="s">
        <v>615</v>
      </c>
      <c r="X120" s="30" t="s">
        <v>51</v>
      </c>
      <c r="Y120" s="7" t="s">
        <v>146</v>
      </c>
      <c r="Z120" s="7" t="s">
        <v>616</v>
      </c>
      <c r="AA120" s="7" t="s">
        <v>53</v>
      </c>
      <c r="AB120" s="7"/>
      <c r="AC120" s="7"/>
      <c r="AD120" s="7" t="str">
        <f>HYPERLINK("https://knigipp.ru/api/getInfo/image/55207d3e-5b63-11f1-a295-00155d82e908")</f>
        <v>https://knigipp.ru/api/getInfo/image/55207d3e-5b63-11f1-a295-00155d82e908</v>
      </c>
      <c r="AE120" s="7" t="s">
        <v>65</v>
      </c>
      <c r="AF120" s="36">
        <v>10</v>
      </c>
      <c r="AG120" s="7" t="s">
        <v>66</v>
      </c>
      <c r="AH120" s="7" t="s">
        <v>78</v>
      </c>
      <c r="AI120" s="7"/>
      <c r="AJ120" s="7" t="s">
        <v>57</v>
      </c>
      <c r="AK120" s="7"/>
      <c r="AL120" s="7"/>
      <c r="AM120" s="7" t="s">
        <v>599</v>
      </c>
    </row>
    <row r="121" spans="1:39" ht="12" customHeight="1" outlineLevel="2" x14ac:dyDescent="0.2">
      <c r="A121" s="46" t="s">
        <v>617</v>
      </c>
      <c r="B121" s="46"/>
      <c r="C121" s="46"/>
      <c r="D121" s="46"/>
      <c r="E121" s="46"/>
      <c r="F121" s="46"/>
    </row>
    <row r="122" spans="1:39" ht="96.2" customHeight="1" outlineLevel="3" x14ac:dyDescent="0.2">
      <c r="A122" s="6">
        <v>88</v>
      </c>
      <c r="B122" s="7" t="s">
        <v>618</v>
      </c>
      <c r="C122" s="48" t="s">
        <v>619</v>
      </c>
      <c r="D122" s="48"/>
      <c r="E122" s="48"/>
      <c r="F122" s="48"/>
      <c r="G122" s="8" t="s">
        <v>620</v>
      </c>
      <c r="H122" s="14"/>
      <c r="I122" s="15" t="s">
        <v>621</v>
      </c>
      <c r="J122" s="16"/>
      <c r="K122" s="17">
        <v>20</v>
      </c>
      <c r="L122" s="16"/>
      <c r="M122" s="16" t="s">
        <v>227</v>
      </c>
      <c r="N122" s="18"/>
      <c r="O122" s="16"/>
      <c r="P122" s="6">
        <v>4</v>
      </c>
      <c r="Q122" s="26">
        <f>167*(1-T3/100)</f>
        <v>167</v>
      </c>
      <c r="R122" s="21"/>
      <c r="S122" s="16">
        <f>Q122*R122</f>
        <v>0</v>
      </c>
      <c r="T122" s="27">
        <f>0.089*R122</f>
        <v>0</v>
      </c>
      <c r="U122" s="28">
        <f>0.00016*R122</f>
        <v>0</v>
      </c>
      <c r="V122" s="29"/>
      <c r="W122" s="30" t="s">
        <v>622</v>
      </c>
      <c r="X122" s="30" t="s">
        <v>51</v>
      </c>
      <c r="Y122" s="7"/>
      <c r="Z122" s="7" t="s">
        <v>623</v>
      </c>
      <c r="AA122" s="7" t="s">
        <v>268</v>
      </c>
      <c r="AB122" s="7"/>
      <c r="AC122" s="7"/>
      <c r="AD122" s="7" t="str">
        <f>HYPERLINK("https://knigipp.ru/api/getInfo/image/50078471-84ca-11f0-a284-00155d82e908")</f>
        <v>https://knigipp.ru/api/getInfo/image/50078471-84ca-11f0-a284-00155d82e908</v>
      </c>
      <c r="AE122" s="7" t="s">
        <v>65</v>
      </c>
      <c r="AF122" s="36">
        <v>48</v>
      </c>
      <c r="AG122" s="7" t="s">
        <v>624</v>
      </c>
      <c r="AH122" s="7" t="s">
        <v>625</v>
      </c>
      <c r="AI122" s="7"/>
      <c r="AJ122" s="7" t="s">
        <v>57</v>
      </c>
      <c r="AK122" s="7"/>
      <c r="AL122" s="7"/>
      <c r="AM122" s="7" t="s">
        <v>626</v>
      </c>
    </row>
    <row r="123" spans="1:39" ht="96.2" customHeight="1" outlineLevel="3" x14ac:dyDescent="0.2">
      <c r="A123" s="6">
        <v>89</v>
      </c>
      <c r="B123" s="7" t="s">
        <v>627</v>
      </c>
      <c r="C123" s="48" t="s">
        <v>628</v>
      </c>
      <c r="D123" s="48"/>
      <c r="E123" s="48"/>
      <c r="F123" s="48"/>
      <c r="G123" s="8" t="s">
        <v>629</v>
      </c>
      <c r="H123" s="14"/>
      <c r="I123" s="15" t="s">
        <v>630</v>
      </c>
      <c r="J123" s="16"/>
      <c r="K123" s="17">
        <v>20</v>
      </c>
      <c r="L123" s="16"/>
      <c r="M123" s="16" t="s">
        <v>48</v>
      </c>
      <c r="N123" s="18"/>
      <c r="O123" s="16"/>
      <c r="P123" s="6">
        <v>4</v>
      </c>
      <c r="Q123" s="26">
        <f>167*(1-T3/100)</f>
        <v>167</v>
      </c>
      <c r="R123" s="21"/>
      <c r="S123" s="16">
        <f>Q123*R123</f>
        <v>0</v>
      </c>
      <c r="T123" s="27">
        <f>0.129*R123</f>
        <v>0</v>
      </c>
      <c r="U123" s="28">
        <f>0.00068*R123</f>
        <v>0</v>
      </c>
      <c r="V123" s="29"/>
      <c r="W123" s="30" t="s">
        <v>631</v>
      </c>
      <c r="X123" s="30" t="s">
        <v>51</v>
      </c>
      <c r="Y123" s="7"/>
      <c r="Z123" s="7" t="s">
        <v>632</v>
      </c>
      <c r="AA123" s="7" t="s">
        <v>268</v>
      </c>
      <c r="AB123" s="7"/>
      <c r="AC123" s="7"/>
      <c r="AD123" s="7" t="str">
        <f>HYPERLINK("https://knigipp.ru/api/getInfo/image/e1da85a4-563c-11f0-a27f-00155d82e908")</f>
        <v>https://knigipp.ru/api/getInfo/image/e1da85a4-563c-11f0-a27f-00155d82e908</v>
      </c>
      <c r="AE123" s="7" t="s">
        <v>65</v>
      </c>
      <c r="AF123" s="36">
        <v>48</v>
      </c>
      <c r="AG123" s="7" t="s">
        <v>624</v>
      </c>
      <c r="AH123" s="7" t="s">
        <v>625</v>
      </c>
      <c r="AI123" s="7"/>
      <c r="AJ123" s="7" t="s">
        <v>57</v>
      </c>
      <c r="AK123" s="7"/>
      <c r="AL123" s="7"/>
      <c r="AM123" s="7" t="s">
        <v>633</v>
      </c>
    </row>
    <row r="124" spans="1:39" ht="12" customHeight="1" outlineLevel="2" x14ac:dyDescent="0.2">
      <c r="A124" s="46" t="s">
        <v>634</v>
      </c>
      <c r="B124" s="46"/>
      <c r="C124" s="46"/>
      <c r="D124" s="46"/>
      <c r="E124" s="46"/>
      <c r="F124" s="46"/>
    </row>
    <row r="125" spans="1:39" ht="96.2" customHeight="1" outlineLevel="3" x14ac:dyDescent="0.2">
      <c r="A125" s="6">
        <v>90</v>
      </c>
      <c r="B125" s="7" t="s">
        <v>635</v>
      </c>
      <c r="C125" s="48" t="s">
        <v>636</v>
      </c>
      <c r="D125" s="48"/>
      <c r="E125" s="48"/>
      <c r="F125" s="48"/>
      <c r="G125" s="8" t="s">
        <v>637</v>
      </c>
      <c r="H125" s="14"/>
      <c r="I125" s="15" t="s">
        <v>638</v>
      </c>
      <c r="J125" s="16"/>
      <c r="K125" s="17">
        <v>10</v>
      </c>
      <c r="L125" s="16"/>
      <c r="M125" s="16" t="s">
        <v>48</v>
      </c>
      <c r="N125" s="18"/>
      <c r="O125" s="16"/>
      <c r="P125" s="6">
        <v>2</v>
      </c>
      <c r="Q125" s="26">
        <f>397*(1-T3/100)</f>
        <v>397</v>
      </c>
      <c r="R125" s="21"/>
      <c r="S125" s="16">
        <f>Q125*R125</f>
        <v>0</v>
      </c>
      <c r="T125" s="27">
        <f>0.201*R125</f>
        <v>0</v>
      </c>
      <c r="U125" s="28">
        <f>0.00051*R125</f>
        <v>0</v>
      </c>
      <c r="V125" s="29"/>
      <c r="W125" s="30" t="s">
        <v>639</v>
      </c>
      <c r="X125" s="30" t="s">
        <v>64</v>
      </c>
      <c r="Y125" s="7" t="s">
        <v>640</v>
      </c>
      <c r="Z125" s="7" t="s">
        <v>641</v>
      </c>
      <c r="AA125" s="7" t="s">
        <v>642</v>
      </c>
      <c r="AB125" s="7"/>
      <c r="AC125" s="7"/>
      <c r="AD125" s="7" t="str">
        <f>HYPERLINK("https://knigipp.ru/api/getInfo/image/833f7246-7487-11f1-a29a-00155d82e908")</f>
        <v>https://knigipp.ru/api/getInfo/image/833f7246-7487-11f1-a29a-00155d82e908</v>
      </c>
      <c r="AE125" s="7" t="s">
        <v>643</v>
      </c>
      <c r="AF125" s="36">
        <v>240</v>
      </c>
      <c r="AG125" s="7" t="s">
        <v>221</v>
      </c>
      <c r="AH125" s="7" t="s">
        <v>56</v>
      </c>
      <c r="AI125" s="7"/>
      <c r="AJ125" s="7" t="s">
        <v>57</v>
      </c>
      <c r="AK125" s="7"/>
      <c r="AL125" s="7"/>
      <c r="AM125" s="7" t="s">
        <v>644</v>
      </c>
    </row>
    <row r="126" spans="1:39" ht="96.2" customHeight="1" outlineLevel="3" x14ac:dyDescent="0.2">
      <c r="A126" s="6">
        <v>91</v>
      </c>
      <c r="B126" s="7" t="s">
        <v>645</v>
      </c>
      <c r="C126" s="48" t="s">
        <v>646</v>
      </c>
      <c r="D126" s="48"/>
      <c r="E126" s="48"/>
      <c r="F126" s="48"/>
      <c r="G126" s="8" t="s">
        <v>647</v>
      </c>
      <c r="H126" s="14"/>
      <c r="I126" s="15" t="s">
        <v>648</v>
      </c>
      <c r="J126" s="16"/>
      <c r="K126" s="17">
        <v>10</v>
      </c>
      <c r="L126" s="16"/>
      <c r="M126" s="16" t="s">
        <v>48</v>
      </c>
      <c r="N126" s="18"/>
      <c r="O126" s="16"/>
      <c r="P126" s="6">
        <v>2</v>
      </c>
      <c r="Q126" s="26">
        <f>397*(1-T3/100)</f>
        <v>397</v>
      </c>
      <c r="R126" s="21"/>
      <c r="S126" s="16">
        <f>Q126*R126</f>
        <v>0</v>
      </c>
      <c r="T126" s="27">
        <f>0.205*R126</f>
        <v>0</v>
      </c>
      <c r="U126" s="28">
        <f>0.00051*R126</f>
        <v>0</v>
      </c>
      <c r="V126" s="29"/>
      <c r="W126" s="30" t="s">
        <v>649</v>
      </c>
      <c r="X126" s="30" t="s">
        <v>64</v>
      </c>
      <c r="Y126" s="7" t="s">
        <v>650</v>
      </c>
      <c r="Z126" s="7" t="s">
        <v>651</v>
      </c>
      <c r="AA126" s="7" t="s">
        <v>642</v>
      </c>
      <c r="AB126" s="7"/>
      <c r="AC126" s="7"/>
      <c r="AD126" s="7" t="str">
        <f>HYPERLINK("https://knigipp.ru/api/getInfo/image/7ab22783-7488-11f1-a29a-00155d82e908")</f>
        <v>https://knigipp.ru/api/getInfo/image/7ab22783-7488-11f1-a29a-00155d82e908</v>
      </c>
      <c r="AE126" s="7" t="s">
        <v>65</v>
      </c>
      <c r="AF126" s="36">
        <v>240</v>
      </c>
      <c r="AG126" s="7" t="s">
        <v>221</v>
      </c>
      <c r="AH126" s="7" t="s">
        <v>56</v>
      </c>
      <c r="AI126" s="7"/>
      <c r="AJ126" s="7" t="s">
        <v>57</v>
      </c>
      <c r="AK126" s="7"/>
      <c r="AL126" s="7"/>
      <c r="AM126" s="7" t="s">
        <v>644</v>
      </c>
    </row>
    <row r="127" spans="1:39" ht="96.2" customHeight="1" outlineLevel="3" x14ac:dyDescent="0.2">
      <c r="A127" s="6">
        <v>92</v>
      </c>
      <c r="B127" s="7" t="s">
        <v>652</v>
      </c>
      <c r="C127" s="48" t="s">
        <v>653</v>
      </c>
      <c r="D127" s="48"/>
      <c r="E127" s="48"/>
      <c r="F127" s="48"/>
      <c r="G127" s="8" t="s">
        <v>654</v>
      </c>
      <c r="H127" s="14"/>
      <c r="I127" s="15" t="s">
        <v>655</v>
      </c>
      <c r="J127" s="16"/>
      <c r="K127" s="17">
        <v>10</v>
      </c>
      <c r="L127" s="16"/>
      <c r="M127" s="16" t="s">
        <v>48</v>
      </c>
      <c r="N127" s="18"/>
      <c r="O127" s="16"/>
      <c r="P127" s="6">
        <v>2</v>
      </c>
      <c r="Q127" s="26">
        <f>397*(1-T3/100)</f>
        <v>397</v>
      </c>
      <c r="R127" s="21"/>
      <c r="S127" s="16">
        <f>Q127*R127</f>
        <v>0</v>
      </c>
      <c r="T127" s="27">
        <f>0.183*R127</f>
        <v>0</v>
      </c>
      <c r="U127" s="28">
        <f>0.00048*R127</f>
        <v>0</v>
      </c>
      <c r="V127" s="29"/>
      <c r="W127" s="30" t="s">
        <v>656</v>
      </c>
      <c r="X127" s="30" t="s">
        <v>64</v>
      </c>
      <c r="Y127" s="7" t="s">
        <v>657</v>
      </c>
      <c r="Z127" s="7" t="s">
        <v>658</v>
      </c>
      <c r="AA127" s="7" t="s">
        <v>642</v>
      </c>
      <c r="AB127" s="7"/>
      <c r="AC127" s="7"/>
      <c r="AD127" s="7" t="str">
        <f>HYPERLINK("https://knigipp.ru/api/getInfo/image/f27470a9-7487-11f1-a29a-00155d82e908")</f>
        <v>https://knigipp.ru/api/getInfo/image/f27470a9-7487-11f1-a29a-00155d82e908</v>
      </c>
      <c r="AE127" s="7" t="s">
        <v>643</v>
      </c>
      <c r="AF127" s="36">
        <v>208</v>
      </c>
      <c r="AG127" s="7" t="s">
        <v>221</v>
      </c>
      <c r="AH127" s="7" t="s">
        <v>56</v>
      </c>
      <c r="AI127" s="7"/>
      <c r="AJ127" s="7" t="s">
        <v>57</v>
      </c>
      <c r="AK127" s="7"/>
      <c r="AL127" s="7"/>
      <c r="AM127" s="7" t="s">
        <v>659</v>
      </c>
    </row>
    <row r="128" spans="1:39" ht="96.2" customHeight="1" outlineLevel="3" x14ac:dyDescent="0.2">
      <c r="A128" s="6">
        <v>93</v>
      </c>
      <c r="B128" s="7" t="s">
        <v>660</v>
      </c>
      <c r="C128" s="48" t="s">
        <v>661</v>
      </c>
      <c r="D128" s="48"/>
      <c r="E128" s="48"/>
      <c r="F128" s="48"/>
      <c r="G128" s="8" t="s">
        <v>662</v>
      </c>
      <c r="H128" s="14"/>
      <c r="I128" s="15" t="s">
        <v>663</v>
      </c>
      <c r="J128" s="16"/>
      <c r="K128" s="17">
        <v>10</v>
      </c>
      <c r="L128" s="16"/>
      <c r="M128" s="16" t="s">
        <v>48</v>
      </c>
      <c r="N128" s="18"/>
      <c r="O128" s="16"/>
      <c r="P128" s="6">
        <v>2</v>
      </c>
      <c r="Q128" s="26">
        <f>397*(1-T3/100)</f>
        <v>397</v>
      </c>
      <c r="R128" s="21"/>
      <c r="S128" s="16">
        <f>Q128*R128</f>
        <v>0</v>
      </c>
      <c r="T128" s="27">
        <f>0.178*R128</f>
        <v>0</v>
      </c>
      <c r="U128" s="28">
        <f>0.00055*R128</f>
        <v>0</v>
      </c>
      <c r="V128" s="29"/>
      <c r="W128" s="30" t="s">
        <v>664</v>
      </c>
      <c r="X128" s="30" t="s">
        <v>64</v>
      </c>
      <c r="Y128" s="7" t="s">
        <v>665</v>
      </c>
      <c r="Z128" s="7" t="s">
        <v>666</v>
      </c>
      <c r="AA128" s="7" t="s">
        <v>642</v>
      </c>
      <c r="AB128" s="7"/>
      <c r="AC128" s="7"/>
      <c r="AD128" s="7" t="str">
        <f>HYPERLINK("https://knigipp.ru/api/getInfo/image/3020fb4c-7488-11f1-a29a-00155d82e908")</f>
        <v>https://knigipp.ru/api/getInfo/image/3020fb4c-7488-11f1-a29a-00155d82e908</v>
      </c>
      <c r="AE128" s="7" t="s">
        <v>643</v>
      </c>
      <c r="AF128" s="36">
        <v>208</v>
      </c>
      <c r="AG128" s="7" t="s">
        <v>221</v>
      </c>
      <c r="AH128" s="7" t="s">
        <v>56</v>
      </c>
      <c r="AI128" s="7"/>
      <c r="AJ128" s="7" t="s">
        <v>57</v>
      </c>
      <c r="AK128" s="7"/>
      <c r="AL128" s="7"/>
      <c r="AM128" s="7" t="s">
        <v>659</v>
      </c>
    </row>
    <row r="129" spans="1:39" ht="12" customHeight="1" outlineLevel="2" x14ac:dyDescent="0.2">
      <c r="A129" s="46" t="s">
        <v>667</v>
      </c>
      <c r="B129" s="46"/>
      <c r="C129" s="46"/>
      <c r="D129" s="46"/>
      <c r="E129" s="46"/>
      <c r="F129" s="46"/>
    </row>
    <row r="130" spans="1:39" ht="96.2" customHeight="1" outlineLevel="3" x14ac:dyDescent="0.2">
      <c r="A130" s="6">
        <v>94</v>
      </c>
      <c r="B130" s="7" t="s">
        <v>668</v>
      </c>
      <c r="C130" s="48" t="s">
        <v>669</v>
      </c>
      <c r="D130" s="48"/>
      <c r="E130" s="48"/>
      <c r="F130" s="48"/>
      <c r="G130" s="8" t="s">
        <v>670</v>
      </c>
      <c r="H130" s="14"/>
      <c r="I130" s="15" t="s">
        <v>671</v>
      </c>
      <c r="J130" s="16"/>
      <c r="K130" s="17">
        <v>20</v>
      </c>
      <c r="L130" s="16"/>
      <c r="M130" s="16" t="s">
        <v>48</v>
      </c>
      <c r="N130" s="18"/>
      <c r="O130" s="16"/>
      <c r="P130" s="6">
        <v>3</v>
      </c>
      <c r="Q130" s="26">
        <f>199*(1-T3/100)</f>
        <v>199</v>
      </c>
      <c r="R130" s="21"/>
      <c r="S130" s="16">
        <f>Q130*R130</f>
        <v>0</v>
      </c>
      <c r="T130" s="27">
        <f>0.215*R130</f>
        <v>0</v>
      </c>
      <c r="U130" s="32">
        <f>0.0003*R130</f>
        <v>0</v>
      </c>
      <c r="V130" s="29"/>
      <c r="W130" s="30" t="s">
        <v>672</v>
      </c>
      <c r="X130" s="30" t="s">
        <v>64</v>
      </c>
      <c r="Y130" s="7"/>
      <c r="Z130" s="7"/>
      <c r="AA130" s="7" t="s">
        <v>53</v>
      </c>
      <c r="AB130" s="7"/>
      <c r="AC130" s="7"/>
      <c r="AD130" s="7" t="str">
        <f>HYPERLINK("https://knigipp.ru/api/getInfo/image/199ef54f-4ef3-11ed-a219-ac1f6b442185")</f>
        <v>https://knigipp.ru/api/getInfo/image/199ef54f-4ef3-11ed-a219-ac1f6b442185</v>
      </c>
      <c r="AE130" s="7" t="s">
        <v>65</v>
      </c>
      <c r="AF130" s="36">
        <v>128</v>
      </c>
      <c r="AG130" s="7"/>
      <c r="AH130" s="7"/>
      <c r="AI130" s="7"/>
      <c r="AJ130" s="7" t="s">
        <v>57</v>
      </c>
      <c r="AK130" s="7"/>
      <c r="AL130" s="7"/>
      <c r="AM130" s="7" t="s">
        <v>673</v>
      </c>
    </row>
    <row r="131" spans="1:39" ht="96.2" customHeight="1" outlineLevel="3" x14ac:dyDescent="0.2">
      <c r="A131" s="6">
        <v>95</v>
      </c>
      <c r="B131" s="7" t="s">
        <v>674</v>
      </c>
      <c r="C131" s="48" t="s">
        <v>675</v>
      </c>
      <c r="D131" s="48"/>
      <c r="E131" s="48"/>
      <c r="F131" s="48"/>
      <c r="G131" s="8" t="s">
        <v>676</v>
      </c>
      <c r="H131" s="14"/>
      <c r="I131" s="15" t="s">
        <v>671</v>
      </c>
      <c r="J131" s="16"/>
      <c r="K131" s="17">
        <v>20</v>
      </c>
      <c r="L131" s="16"/>
      <c r="M131" s="16" t="s">
        <v>227</v>
      </c>
      <c r="N131" s="18"/>
      <c r="O131" s="16"/>
      <c r="P131" s="6">
        <v>3</v>
      </c>
      <c r="Q131" s="26">
        <f>199*(1-T3/100)</f>
        <v>199</v>
      </c>
      <c r="R131" s="21"/>
      <c r="S131" s="16">
        <f>Q131*R131</f>
        <v>0</v>
      </c>
      <c r="T131" s="27">
        <f>0.193*R131</f>
        <v>0</v>
      </c>
      <c r="U131" s="28">
        <f>0.00036*R131</f>
        <v>0</v>
      </c>
      <c r="V131" s="29"/>
      <c r="W131" s="30" t="s">
        <v>677</v>
      </c>
      <c r="X131" s="30" t="s">
        <v>64</v>
      </c>
      <c r="Y131" s="7"/>
      <c r="Z131" s="7"/>
      <c r="AA131" s="7" t="s">
        <v>53</v>
      </c>
      <c r="AB131" s="7"/>
      <c r="AC131" s="7"/>
      <c r="AD131" s="7" t="str">
        <f>HYPERLINK("https://knigipp.ru/api/getInfo/image/47a1002c-4ef3-11ed-a219-ac1f6b442185")</f>
        <v>https://knigipp.ru/api/getInfo/image/47a1002c-4ef3-11ed-a219-ac1f6b442185</v>
      </c>
      <c r="AE131" s="7" t="s">
        <v>65</v>
      </c>
      <c r="AF131" s="36">
        <v>128</v>
      </c>
      <c r="AG131" s="7"/>
      <c r="AH131" s="7"/>
      <c r="AI131" s="7"/>
      <c r="AJ131" s="7" t="s">
        <v>57</v>
      </c>
      <c r="AK131" s="7"/>
      <c r="AL131" s="7"/>
      <c r="AM131" s="7" t="s">
        <v>673</v>
      </c>
    </row>
    <row r="132" spans="1:39" ht="12" customHeight="1" outlineLevel="2" x14ac:dyDescent="0.2">
      <c r="A132" s="46" t="s">
        <v>678</v>
      </c>
      <c r="B132" s="46"/>
      <c r="C132" s="46"/>
      <c r="D132" s="46"/>
      <c r="E132" s="46"/>
      <c r="F132" s="46"/>
    </row>
    <row r="133" spans="1:39" ht="96.2" customHeight="1" outlineLevel="3" x14ac:dyDescent="0.2">
      <c r="A133" s="6">
        <v>96</v>
      </c>
      <c r="B133" s="7" t="s">
        <v>679</v>
      </c>
      <c r="C133" s="48" t="s">
        <v>680</v>
      </c>
      <c r="D133" s="48"/>
      <c r="E133" s="48"/>
      <c r="F133" s="48"/>
      <c r="G133" s="8" t="s">
        <v>681</v>
      </c>
      <c r="H133" s="14" t="s">
        <v>682</v>
      </c>
      <c r="I133" s="15" t="s">
        <v>683</v>
      </c>
      <c r="J133" s="16"/>
      <c r="K133" s="17">
        <v>30</v>
      </c>
      <c r="L133" s="16"/>
      <c r="M133" s="16" t="s">
        <v>48</v>
      </c>
      <c r="N133" s="18"/>
      <c r="O133" s="16"/>
      <c r="P133" s="6">
        <v>4</v>
      </c>
      <c r="Q133" s="26">
        <f>149*(1-T3/100)</f>
        <v>149</v>
      </c>
      <c r="R133" s="21"/>
      <c r="S133" s="16">
        <f>Q133*R133</f>
        <v>0</v>
      </c>
      <c r="T133" s="27">
        <f>0.107*R133</f>
        <v>0</v>
      </c>
      <c r="U133" s="28">
        <f>0.00042*R133</f>
        <v>0</v>
      </c>
      <c r="V133" s="29"/>
      <c r="W133" s="30" t="s">
        <v>684</v>
      </c>
      <c r="X133" s="30" t="s">
        <v>51</v>
      </c>
      <c r="Y133" s="7"/>
      <c r="Z133" s="7"/>
      <c r="AA133" s="7" t="s">
        <v>53</v>
      </c>
      <c r="AB133" s="7"/>
      <c r="AC133" s="7"/>
      <c r="AD133" s="7" t="str">
        <f>HYPERLINK("https://knigipp.ru/api/getInfo/image/5d585a49-da6f-11eb-a209-ac1f6b442185")</f>
        <v>https://knigipp.ru/api/getInfo/image/5d585a49-da6f-11eb-a209-ac1f6b442185</v>
      </c>
      <c r="AE133" s="7" t="s">
        <v>65</v>
      </c>
      <c r="AF133" s="36">
        <v>24</v>
      </c>
      <c r="AG133" s="7"/>
      <c r="AH133" s="7" t="s">
        <v>67</v>
      </c>
      <c r="AI133" s="7"/>
      <c r="AJ133" s="7" t="s">
        <v>343</v>
      </c>
      <c r="AK133" s="7"/>
      <c r="AL133" s="7"/>
      <c r="AM133" s="7" t="s">
        <v>685</v>
      </c>
    </row>
    <row r="134" spans="1:39" ht="96.2" customHeight="1" outlineLevel="3" x14ac:dyDescent="0.2">
      <c r="A134" s="6">
        <v>97</v>
      </c>
      <c r="B134" s="7" t="s">
        <v>686</v>
      </c>
      <c r="C134" s="48" t="s">
        <v>687</v>
      </c>
      <c r="D134" s="48"/>
      <c r="E134" s="48"/>
      <c r="F134" s="48"/>
      <c r="G134" s="8" t="s">
        <v>688</v>
      </c>
      <c r="H134" s="14" t="s">
        <v>682</v>
      </c>
      <c r="I134" s="15" t="s">
        <v>689</v>
      </c>
      <c r="J134" s="16"/>
      <c r="K134" s="17">
        <v>30</v>
      </c>
      <c r="L134" s="16"/>
      <c r="M134" s="16" t="s">
        <v>48</v>
      </c>
      <c r="N134" s="18"/>
      <c r="O134" s="16"/>
      <c r="P134" s="6">
        <v>4</v>
      </c>
      <c r="Q134" s="26">
        <f>149*(1-T3/100)</f>
        <v>149</v>
      </c>
      <c r="R134" s="21"/>
      <c r="S134" s="16">
        <f>Q134*R134</f>
        <v>0</v>
      </c>
      <c r="T134" s="27">
        <f>0.108*R134</f>
        <v>0</v>
      </c>
      <c r="U134" s="28">
        <f>0.00055*R134</f>
        <v>0</v>
      </c>
      <c r="V134" s="29"/>
      <c r="W134" s="30" t="s">
        <v>690</v>
      </c>
      <c r="X134" s="30" t="s">
        <v>51</v>
      </c>
      <c r="Y134" s="7"/>
      <c r="Z134" s="7"/>
      <c r="AA134" s="7" t="s">
        <v>53</v>
      </c>
      <c r="AB134" s="7"/>
      <c r="AC134" s="7"/>
      <c r="AD134" s="7" t="str">
        <f>HYPERLINK("https://knigipp.ru/api/getInfo/image/1a79bd41-da6f-11eb-a209-ac1f6b442185")</f>
        <v>https://knigipp.ru/api/getInfo/image/1a79bd41-da6f-11eb-a209-ac1f6b442185</v>
      </c>
      <c r="AE134" s="7" t="s">
        <v>65</v>
      </c>
      <c r="AF134" s="36">
        <v>24</v>
      </c>
      <c r="AG134" s="7"/>
      <c r="AH134" s="7" t="s">
        <v>67</v>
      </c>
      <c r="AI134" s="7"/>
      <c r="AJ134" s="7" t="s">
        <v>343</v>
      </c>
      <c r="AK134" s="7"/>
      <c r="AL134" s="7"/>
      <c r="AM134" s="7" t="s">
        <v>685</v>
      </c>
    </row>
    <row r="135" spans="1:39" ht="23.25" customHeight="1" outlineLevel="2" x14ac:dyDescent="0.2">
      <c r="A135" s="46" t="s">
        <v>691</v>
      </c>
      <c r="B135" s="46"/>
      <c r="C135" s="46"/>
      <c r="D135" s="46"/>
      <c r="E135" s="46"/>
      <c r="F135" s="46"/>
    </row>
    <row r="136" spans="1:39" ht="96.2" customHeight="1" outlineLevel="3" x14ac:dyDescent="0.2">
      <c r="A136" s="6">
        <v>98</v>
      </c>
      <c r="B136" s="7" t="s">
        <v>692</v>
      </c>
      <c r="C136" s="48" t="s">
        <v>693</v>
      </c>
      <c r="D136" s="48"/>
      <c r="E136" s="48"/>
      <c r="F136" s="48"/>
      <c r="G136" s="8" t="s">
        <v>694</v>
      </c>
      <c r="H136" s="14"/>
      <c r="I136" s="15" t="s">
        <v>695</v>
      </c>
      <c r="J136" s="16"/>
      <c r="K136" s="17">
        <v>10</v>
      </c>
      <c r="L136" s="16"/>
      <c r="M136" s="16" t="s">
        <v>227</v>
      </c>
      <c r="N136" s="18"/>
      <c r="O136" s="16"/>
      <c r="P136" s="6">
        <v>3</v>
      </c>
      <c r="Q136" s="26">
        <f>249*(1-T3/100)</f>
        <v>249</v>
      </c>
      <c r="R136" s="21"/>
      <c r="S136" s="16">
        <f>Q136*R136</f>
        <v>0</v>
      </c>
      <c r="T136" s="31">
        <f>0.28*R136</f>
        <v>0</v>
      </c>
      <c r="U136" s="28">
        <f>0.00044*R136</f>
        <v>0</v>
      </c>
      <c r="V136" s="29"/>
      <c r="W136" s="30" t="s">
        <v>696</v>
      </c>
      <c r="X136" s="30" t="s">
        <v>64</v>
      </c>
      <c r="Y136" s="7"/>
      <c r="Z136" s="7"/>
      <c r="AA136" s="7" t="s">
        <v>53</v>
      </c>
      <c r="AB136" s="7"/>
      <c r="AC136" s="7"/>
      <c r="AD136" s="7" t="str">
        <f>HYPERLINK("https://knigipp.ru/api/getInfo/image/6f5f741a-eb94-11eb-a20d-ac1f6b442185")</f>
        <v>https://knigipp.ru/api/getInfo/image/6f5f741a-eb94-11eb-a20d-ac1f6b442185</v>
      </c>
      <c r="AE136" s="7" t="s">
        <v>65</v>
      </c>
      <c r="AF136" s="36">
        <v>144</v>
      </c>
      <c r="AG136" s="7"/>
      <c r="AH136" s="7" t="s">
        <v>211</v>
      </c>
      <c r="AI136" s="36">
        <v>100</v>
      </c>
      <c r="AJ136" s="7" t="s">
        <v>57</v>
      </c>
      <c r="AK136" s="7"/>
      <c r="AL136" s="7"/>
      <c r="AM136" s="7" t="s">
        <v>240</v>
      </c>
    </row>
    <row r="137" spans="1:39" ht="96.2" customHeight="1" outlineLevel="3" x14ac:dyDescent="0.2">
      <c r="A137" s="6">
        <v>99</v>
      </c>
      <c r="B137" s="7" t="s">
        <v>697</v>
      </c>
      <c r="C137" s="48" t="s">
        <v>698</v>
      </c>
      <c r="D137" s="48"/>
      <c r="E137" s="48"/>
      <c r="F137" s="48"/>
      <c r="G137" s="8" t="s">
        <v>699</v>
      </c>
      <c r="H137" s="14"/>
      <c r="I137" s="15" t="s">
        <v>695</v>
      </c>
      <c r="J137" s="16"/>
      <c r="K137" s="17">
        <v>10</v>
      </c>
      <c r="L137" s="16"/>
      <c r="M137" s="16" t="s">
        <v>137</v>
      </c>
      <c r="N137" s="18"/>
      <c r="O137" s="16"/>
      <c r="P137" s="6">
        <v>3</v>
      </c>
      <c r="Q137" s="26">
        <f>249*(1-T3/100)</f>
        <v>249</v>
      </c>
      <c r="R137" s="21"/>
      <c r="S137" s="16">
        <f>Q137*R137</f>
        <v>0</v>
      </c>
      <c r="T137" s="31">
        <f>0.28*R137</f>
        <v>0</v>
      </c>
      <c r="U137" s="28">
        <f>0.00044*R137</f>
        <v>0</v>
      </c>
      <c r="V137" s="29"/>
      <c r="W137" s="30" t="s">
        <v>700</v>
      </c>
      <c r="X137" s="30" t="s">
        <v>64</v>
      </c>
      <c r="Y137" s="7"/>
      <c r="Z137" s="7"/>
      <c r="AA137" s="7" t="s">
        <v>53</v>
      </c>
      <c r="AB137" s="7"/>
      <c r="AC137" s="7"/>
      <c r="AD137" s="7" t="str">
        <f>HYPERLINK("https://knigipp.ru/api/getInfo/image/47e885f4-eb94-11eb-a20d-ac1f6b442185")</f>
        <v>https://knigipp.ru/api/getInfo/image/47e885f4-eb94-11eb-a20d-ac1f6b442185</v>
      </c>
      <c r="AE137" s="7" t="s">
        <v>65</v>
      </c>
      <c r="AF137" s="36">
        <v>144</v>
      </c>
      <c r="AG137" s="7"/>
      <c r="AH137" s="7" t="s">
        <v>211</v>
      </c>
      <c r="AI137" s="36">
        <v>100</v>
      </c>
      <c r="AJ137" s="7" t="s">
        <v>57</v>
      </c>
      <c r="AK137" s="7"/>
      <c r="AL137" s="7"/>
      <c r="AM137" s="7" t="s">
        <v>240</v>
      </c>
    </row>
    <row r="138" spans="1:39" ht="12" customHeight="1" outlineLevel="2" x14ac:dyDescent="0.2">
      <c r="A138" s="46" t="s">
        <v>701</v>
      </c>
      <c r="B138" s="46"/>
      <c r="C138" s="46"/>
      <c r="D138" s="46"/>
      <c r="E138" s="46"/>
      <c r="F138" s="46"/>
    </row>
    <row r="139" spans="1:39" ht="96.2" customHeight="1" outlineLevel="3" x14ac:dyDescent="0.2">
      <c r="A139" s="6">
        <v>100</v>
      </c>
      <c r="B139" s="7" t="s">
        <v>702</v>
      </c>
      <c r="C139" s="48" t="s">
        <v>703</v>
      </c>
      <c r="D139" s="48"/>
      <c r="E139" s="48"/>
      <c r="F139" s="48"/>
      <c r="G139" s="8" t="s">
        <v>704</v>
      </c>
      <c r="H139" s="14"/>
      <c r="I139" s="15" t="s">
        <v>705</v>
      </c>
      <c r="J139" s="16"/>
      <c r="K139" s="17">
        <v>50</v>
      </c>
      <c r="L139" s="16"/>
      <c r="M139" s="16" t="s">
        <v>137</v>
      </c>
      <c r="N139" s="18"/>
      <c r="O139" s="16"/>
      <c r="P139" s="6">
        <v>7</v>
      </c>
      <c r="Q139" s="26">
        <f>93.29*(1-T3/100)</f>
        <v>93.29</v>
      </c>
      <c r="R139" s="21"/>
      <c r="S139" s="16">
        <f>Q139*R139</f>
        <v>0</v>
      </c>
      <c r="T139" s="27">
        <f>0.104*R139</f>
        <v>0</v>
      </c>
      <c r="U139" s="28">
        <f>0.00012*R139</f>
        <v>0</v>
      </c>
      <c r="V139" s="29"/>
      <c r="W139" s="30" t="s">
        <v>706</v>
      </c>
      <c r="X139" s="30" t="s">
        <v>51</v>
      </c>
      <c r="Y139" s="7"/>
      <c r="Z139" s="7"/>
      <c r="AA139" s="7" t="s">
        <v>53</v>
      </c>
      <c r="AB139" s="7" t="s">
        <v>707</v>
      </c>
      <c r="AC139" s="7"/>
      <c r="AD139" s="7" t="str">
        <f>HYPERLINK("https://knigipp.ru/api/getInfo/image/bfc128e7-0c73-11e6-b4aa-5cf3fc4a2490")</f>
        <v>https://knigipp.ru/api/getInfo/image/bfc128e7-0c73-11e6-b4aa-5cf3fc4a2490</v>
      </c>
      <c r="AE139" s="7"/>
      <c r="AF139" s="36">
        <v>18</v>
      </c>
      <c r="AG139" s="7"/>
      <c r="AH139" s="7" t="s">
        <v>67</v>
      </c>
      <c r="AI139" s="7"/>
      <c r="AJ139" s="7" t="s">
        <v>57</v>
      </c>
      <c r="AK139" s="7"/>
      <c r="AL139" s="7"/>
      <c r="AM139" s="7" t="s">
        <v>708</v>
      </c>
    </row>
    <row r="140" spans="1:39" ht="12" customHeight="1" outlineLevel="2" x14ac:dyDescent="0.2">
      <c r="A140" s="46" t="s">
        <v>709</v>
      </c>
      <c r="B140" s="46"/>
      <c r="C140" s="46"/>
      <c r="D140" s="46"/>
      <c r="E140" s="46"/>
      <c r="F140" s="46"/>
    </row>
    <row r="141" spans="1:39" ht="96.2" customHeight="1" outlineLevel="3" x14ac:dyDescent="0.2">
      <c r="A141" s="6">
        <v>101</v>
      </c>
      <c r="B141" s="7" t="s">
        <v>710</v>
      </c>
      <c r="C141" s="48" t="s">
        <v>711</v>
      </c>
      <c r="D141" s="48"/>
      <c r="E141" s="48"/>
      <c r="F141" s="48"/>
      <c r="G141" s="8" t="s">
        <v>712</v>
      </c>
      <c r="H141" s="14"/>
      <c r="I141" s="15" t="s">
        <v>713</v>
      </c>
      <c r="J141" s="16"/>
      <c r="K141" s="17">
        <v>50</v>
      </c>
      <c r="L141" s="16"/>
      <c r="M141" s="16" t="s">
        <v>137</v>
      </c>
      <c r="N141" s="18"/>
      <c r="O141" s="16"/>
      <c r="P141" s="6">
        <v>8</v>
      </c>
      <c r="Q141" s="26">
        <f>83.7*(1-T3/100)</f>
        <v>83.7</v>
      </c>
      <c r="R141" s="21"/>
      <c r="S141" s="16">
        <f>Q141*R141</f>
        <v>0</v>
      </c>
      <c r="T141" s="27">
        <f>0.072*R141</f>
        <v>0</v>
      </c>
      <c r="U141" s="28">
        <f>0.00012*R141</f>
        <v>0</v>
      </c>
      <c r="V141" s="29"/>
      <c r="W141" s="30" t="s">
        <v>714</v>
      </c>
      <c r="X141" s="30" t="s">
        <v>64</v>
      </c>
      <c r="Y141" s="7"/>
      <c r="Z141" s="7"/>
      <c r="AA141" s="7"/>
      <c r="AB141" s="7" t="s">
        <v>715</v>
      </c>
      <c r="AC141" s="7"/>
      <c r="AD141" s="7" t="str">
        <f>HYPERLINK("https://knigipp.ru/api/getInfo/image/3b0b0d6e-45d8-11e7-977d-5cf3fc4a2490")</f>
        <v>https://knigipp.ru/api/getInfo/image/3b0b0d6e-45d8-11e7-977d-5cf3fc4a2490</v>
      </c>
      <c r="AE141" s="7" t="s">
        <v>65</v>
      </c>
      <c r="AF141" s="36">
        <v>8</v>
      </c>
      <c r="AG141" s="7"/>
      <c r="AH141" s="7" t="s">
        <v>67</v>
      </c>
      <c r="AI141" s="7"/>
      <c r="AJ141" s="7" t="s">
        <v>57</v>
      </c>
      <c r="AK141" s="7"/>
      <c r="AL141" s="7" t="s">
        <v>716</v>
      </c>
      <c r="AM141" s="7" t="s">
        <v>717</v>
      </c>
    </row>
    <row r="142" spans="1:39" ht="15.75" customHeight="1" outlineLevel="1" x14ac:dyDescent="0.2">
      <c r="A142" s="49" t="s">
        <v>718</v>
      </c>
      <c r="B142" s="49"/>
      <c r="C142" s="49"/>
      <c r="D142" s="49"/>
      <c r="E142" s="49"/>
      <c r="F142" s="49"/>
    </row>
    <row r="143" spans="1:39" ht="12" customHeight="1" outlineLevel="2" x14ac:dyDescent="0.2">
      <c r="A143" s="46" t="s">
        <v>719</v>
      </c>
      <c r="B143" s="46"/>
      <c r="C143" s="46"/>
      <c r="D143" s="46"/>
      <c r="E143" s="46"/>
      <c r="F143" s="46"/>
    </row>
    <row r="144" spans="1:39" ht="12" customHeight="1" outlineLevel="3" x14ac:dyDescent="0.2">
      <c r="A144" s="47" t="s">
        <v>720</v>
      </c>
      <c r="B144" s="47"/>
      <c r="C144" s="47"/>
      <c r="D144" s="47"/>
      <c r="E144" s="47"/>
      <c r="F144" s="47"/>
    </row>
    <row r="145" spans="1:39" ht="96.2" customHeight="1" outlineLevel="4" x14ac:dyDescent="0.2">
      <c r="A145" s="6">
        <v>102</v>
      </c>
      <c r="B145" s="7" t="s">
        <v>721</v>
      </c>
      <c r="C145" s="48" t="s">
        <v>722</v>
      </c>
      <c r="D145" s="48"/>
      <c r="E145" s="48"/>
      <c r="F145" s="48"/>
      <c r="G145" s="8" t="s">
        <v>723</v>
      </c>
      <c r="H145" s="14"/>
      <c r="I145" s="15" t="s">
        <v>724</v>
      </c>
      <c r="J145" s="16"/>
      <c r="K145" s="17">
        <v>20</v>
      </c>
      <c r="L145" s="16"/>
      <c r="M145" s="16" t="s">
        <v>48</v>
      </c>
      <c r="N145" s="18"/>
      <c r="O145" s="16"/>
      <c r="P145" s="6">
        <v>2</v>
      </c>
      <c r="Q145" s="26">
        <f>357*(1-T3/100)</f>
        <v>357</v>
      </c>
      <c r="R145" s="21"/>
      <c r="S145" s="16">
        <f>Q145*R145</f>
        <v>0</v>
      </c>
      <c r="T145" s="27">
        <f>0.265*R145</f>
        <v>0</v>
      </c>
      <c r="U145" s="28">
        <f>0.00031*R145</f>
        <v>0</v>
      </c>
      <c r="V145" s="29"/>
      <c r="W145" s="30" t="s">
        <v>725</v>
      </c>
      <c r="X145" s="30" t="s">
        <v>51</v>
      </c>
      <c r="Y145" s="7" t="s">
        <v>726</v>
      </c>
      <c r="Z145" s="7" t="s">
        <v>727</v>
      </c>
      <c r="AA145" s="7" t="s">
        <v>53</v>
      </c>
      <c r="AB145" s="7"/>
      <c r="AC145" s="7"/>
      <c r="AD145" s="7" t="str">
        <f>HYPERLINK("https://knigipp.ru/api/getInfo/image/4fcfa28d-3a2d-11f0-a27c-00155d82e908")</f>
        <v>https://knigipp.ru/api/getInfo/image/4fcfa28d-3a2d-11f0-a27c-00155d82e908</v>
      </c>
      <c r="AE145" s="7" t="s">
        <v>728</v>
      </c>
      <c r="AF145" s="36">
        <v>96</v>
      </c>
      <c r="AG145" s="7" t="s">
        <v>66</v>
      </c>
      <c r="AH145" s="7" t="s">
        <v>211</v>
      </c>
      <c r="AI145" s="7"/>
      <c r="AJ145" s="7" t="s">
        <v>57</v>
      </c>
      <c r="AK145" s="7"/>
      <c r="AL145" s="7"/>
      <c r="AM145" s="7" t="s">
        <v>729</v>
      </c>
    </row>
    <row r="146" spans="1:39" ht="96.2" customHeight="1" outlineLevel="4" x14ac:dyDescent="0.2">
      <c r="A146" s="6">
        <v>103</v>
      </c>
      <c r="B146" s="7" t="s">
        <v>730</v>
      </c>
      <c r="C146" s="48" t="s">
        <v>731</v>
      </c>
      <c r="D146" s="48"/>
      <c r="E146" s="48"/>
      <c r="F146" s="48"/>
      <c r="G146" s="8" t="s">
        <v>732</v>
      </c>
      <c r="H146" s="14"/>
      <c r="I146" s="15" t="s">
        <v>733</v>
      </c>
      <c r="J146" s="16"/>
      <c r="K146" s="17">
        <v>20</v>
      </c>
      <c r="L146" s="16"/>
      <c r="M146" s="16" t="s">
        <v>48</v>
      </c>
      <c r="N146" s="18"/>
      <c r="O146" s="16"/>
      <c r="P146" s="6">
        <v>2</v>
      </c>
      <c r="Q146" s="26">
        <f>357*(1-T3/100)</f>
        <v>357</v>
      </c>
      <c r="R146" s="21"/>
      <c r="S146" s="16">
        <f>Q146*R146</f>
        <v>0</v>
      </c>
      <c r="T146" s="27">
        <f>0.262*R146</f>
        <v>0</v>
      </c>
      <c r="U146" s="28">
        <f>0.00047*R146</f>
        <v>0</v>
      </c>
      <c r="V146" s="29"/>
      <c r="W146" s="30" t="s">
        <v>734</v>
      </c>
      <c r="X146" s="30" t="s">
        <v>51</v>
      </c>
      <c r="Y146" s="7" t="s">
        <v>726</v>
      </c>
      <c r="Z146" s="7" t="s">
        <v>735</v>
      </c>
      <c r="AA146" s="7" t="s">
        <v>268</v>
      </c>
      <c r="AB146" s="7" t="s">
        <v>736</v>
      </c>
      <c r="AC146" s="7"/>
      <c r="AD146" s="7" t="str">
        <f>HYPERLINK("https://knigipp.ru/api/getInfo/image/898c1592-991e-11ef-a267-00155d82e908")</f>
        <v>https://knigipp.ru/api/getInfo/image/898c1592-991e-11ef-a267-00155d82e908</v>
      </c>
      <c r="AE146" s="7" t="s">
        <v>737</v>
      </c>
      <c r="AF146" s="36">
        <v>96</v>
      </c>
      <c r="AG146" s="7" t="s">
        <v>66</v>
      </c>
      <c r="AH146" s="7" t="s">
        <v>211</v>
      </c>
      <c r="AI146" s="7"/>
      <c r="AJ146" s="7" t="s">
        <v>57</v>
      </c>
      <c r="AK146" s="7"/>
      <c r="AL146" s="7"/>
      <c r="AM146" s="7" t="s">
        <v>729</v>
      </c>
    </row>
    <row r="147" spans="1:39" ht="12" customHeight="1" outlineLevel="2" x14ac:dyDescent="0.2">
      <c r="A147" s="46" t="s">
        <v>738</v>
      </c>
      <c r="B147" s="46"/>
      <c r="C147" s="46"/>
      <c r="D147" s="46"/>
      <c r="E147" s="46"/>
      <c r="F147" s="46"/>
    </row>
    <row r="148" spans="1:39" ht="96.2" customHeight="1" outlineLevel="3" x14ac:dyDescent="0.2">
      <c r="A148" s="6">
        <v>104</v>
      </c>
      <c r="B148" s="7" t="s">
        <v>739</v>
      </c>
      <c r="C148" s="48" t="s">
        <v>740</v>
      </c>
      <c r="D148" s="48"/>
      <c r="E148" s="48"/>
      <c r="F148" s="48"/>
      <c r="G148" s="8" t="s">
        <v>741</v>
      </c>
      <c r="H148" s="14"/>
      <c r="I148" s="15" t="s">
        <v>742</v>
      </c>
      <c r="J148" s="16"/>
      <c r="K148" s="17">
        <v>10</v>
      </c>
      <c r="L148" s="16"/>
      <c r="M148" s="16" t="s">
        <v>48</v>
      </c>
      <c r="N148" s="18"/>
      <c r="O148" s="16"/>
      <c r="P148" s="6">
        <v>2</v>
      </c>
      <c r="Q148" s="26">
        <f>879*(1-T3/100)</f>
        <v>879</v>
      </c>
      <c r="R148" s="21"/>
      <c r="S148" s="16">
        <f>Q148*R148</f>
        <v>0</v>
      </c>
      <c r="T148" s="27">
        <f>0.603*R148</f>
        <v>0</v>
      </c>
      <c r="U148" s="28">
        <f>0.00084*R148</f>
        <v>0</v>
      </c>
      <c r="V148" s="29"/>
      <c r="W148" s="30" t="s">
        <v>743</v>
      </c>
      <c r="X148" s="30" t="s">
        <v>51</v>
      </c>
      <c r="Y148" s="7" t="s">
        <v>744</v>
      </c>
      <c r="Z148" s="7" t="s">
        <v>745</v>
      </c>
      <c r="AA148" s="7" t="s">
        <v>642</v>
      </c>
      <c r="AB148" s="7"/>
      <c r="AC148" s="7"/>
      <c r="AD148" s="7" t="str">
        <f>HYPERLINK("https://knigipp.ru/api/getInfo/image/4652d675-748f-11f1-a29a-00155d82e908")</f>
        <v>https://knigipp.ru/api/getInfo/image/4652d675-748f-11f1-a29a-00155d82e908</v>
      </c>
      <c r="AE148" s="7" t="s">
        <v>65</v>
      </c>
      <c r="AF148" s="36">
        <v>384</v>
      </c>
      <c r="AG148" s="7" t="s">
        <v>239</v>
      </c>
      <c r="AH148" s="7" t="s">
        <v>211</v>
      </c>
      <c r="AI148" s="7"/>
      <c r="AJ148" s="7" t="s">
        <v>57</v>
      </c>
      <c r="AK148" s="7"/>
      <c r="AL148" s="7"/>
      <c r="AM148" s="7" t="s">
        <v>746</v>
      </c>
    </row>
    <row r="149" spans="1:39" ht="12" customHeight="1" outlineLevel="2" x14ac:dyDescent="0.2">
      <c r="A149" s="46" t="s">
        <v>747</v>
      </c>
      <c r="B149" s="46"/>
      <c r="C149" s="46"/>
      <c r="D149" s="46"/>
      <c r="E149" s="46"/>
      <c r="F149" s="46"/>
    </row>
    <row r="150" spans="1:39" ht="96.2" customHeight="1" outlineLevel="3" x14ac:dyDescent="0.2">
      <c r="A150" s="6">
        <v>105</v>
      </c>
      <c r="B150" s="7" t="s">
        <v>748</v>
      </c>
      <c r="C150" s="48" t="s">
        <v>749</v>
      </c>
      <c r="D150" s="48"/>
      <c r="E150" s="48"/>
      <c r="F150" s="48"/>
      <c r="G150" s="8" t="s">
        <v>750</v>
      </c>
      <c r="H150" s="14"/>
      <c r="I150" s="15" t="s">
        <v>751</v>
      </c>
      <c r="J150" s="16"/>
      <c r="K150" s="17">
        <v>8</v>
      </c>
      <c r="L150" s="16"/>
      <c r="M150" s="16" t="s">
        <v>48</v>
      </c>
      <c r="N150" s="18"/>
      <c r="O150" s="16"/>
      <c r="P150" s="6">
        <v>1</v>
      </c>
      <c r="Q150" s="26">
        <f>797*(1-T3/100)</f>
        <v>797</v>
      </c>
      <c r="R150" s="21"/>
      <c r="S150" s="16">
        <f>Q150*R150</f>
        <v>0</v>
      </c>
      <c r="T150" s="27">
        <f>0.454*R150</f>
        <v>0</v>
      </c>
      <c r="U150" s="28">
        <f>0.00093*R150</f>
        <v>0</v>
      </c>
      <c r="V150" s="29"/>
      <c r="W150" s="30" t="s">
        <v>752</v>
      </c>
      <c r="X150" s="30" t="s">
        <v>51</v>
      </c>
      <c r="Y150" s="7" t="s">
        <v>753</v>
      </c>
      <c r="Z150" s="7"/>
      <c r="AA150" s="7" t="s">
        <v>53</v>
      </c>
      <c r="AB150" s="7"/>
      <c r="AC150" s="7"/>
      <c r="AD150" s="7" t="str">
        <f>HYPERLINK("https://knigipp.ru/api/getInfo/image/24ce7da2-e126-11e9-a234-ac1f6b442184")</f>
        <v>https://knigipp.ru/api/getInfo/image/24ce7da2-e126-11e9-a234-ac1f6b442184</v>
      </c>
      <c r="AE150" s="7" t="s">
        <v>754</v>
      </c>
      <c r="AF150" s="36">
        <v>64</v>
      </c>
      <c r="AG150" s="7"/>
      <c r="AH150" s="7" t="s">
        <v>211</v>
      </c>
      <c r="AI150" s="7"/>
      <c r="AJ150" s="7" t="s">
        <v>57</v>
      </c>
      <c r="AK150" s="7"/>
      <c r="AL150" s="7"/>
      <c r="AM150" s="7" t="s">
        <v>755</v>
      </c>
    </row>
    <row r="151" spans="1:39" ht="96.2" customHeight="1" outlineLevel="3" x14ac:dyDescent="0.2">
      <c r="A151" s="6">
        <v>106</v>
      </c>
      <c r="B151" s="7" t="s">
        <v>756</v>
      </c>
      <c r="C151" s="48" t="s">
        <v>757</v>
      </c>
      <c r="D151" s="48"/>
      <c r="E151" s="48"/>
      <c r="F151" s="48"/>
      <c r="G151" s="8" t="s">
        <v>758</v>
      </c>
      <c r="H151" s="14"/>
      <c r="I151" s="15" t="s">
        <v>759</v>
      </c>
      <c r="J151" s="16"/>
      <c r="K151" s="17">
        <v>8</v>
      </c>
      <c r="L151" s="16"/>
      <c r="M151" s="16" t="s">
        <v>48</v>
      </c>
      <c r="N151" s="18"/>
      <c r="O151" s="16"/>
      <c r="P151" s="6">
        <v>1</v>
      </c>
      <c r="Q151" s="26">
        <f>977*(1-T3/100)</f>
        <v>977</v>
      </c>
      <c r="R151" s="21"/>
      <c r="S151" s="16">
        <f>Q151*R151</f>
        <v>0</v>
      </c>
      <c r="T151" s="27">
        <f>0.669*R151</f>
        <v>0</v>
      </c>
      <c r="U151" s="28">
        <f>0.00083*R151</f>
        <v>0</v>
      </c>
      <c r="V151" s="29"/>
      <c r="W151" s="30" t="s">
        <v>760</v>
      </c>
      <c r="X151" s="30" t="s">
        <v>51</v>
      </c>
      <c r="Y151" s="7" t="s">
        <v>761</v>
      </c>
      <c r="Z151" s="7" t="s">
        <v>762</v>
      </c>
      <c r="AA151" s="7" t="s">
        <v>53</v>
      </c>
      <c r="AB151" s="7"/>
      <c r="AC151" s="7"/>
      <c r="AD151" s="7" t="str">
        <f>HYPERLINK("https://knigipp.ru/api/getInfo/image/40cc6641-6b30-11e9-a224-ac1f6b442184")</f>
        <v>https://knigipp.ru/api/getInfo/image/40cc6641-6b30-11e9-a224-ac1f6b442184</v>
      </c>
      <c r="AE151" s="7" t="s">
        <v>763</v>
      </c>
      <c r="AF151" s="36">
        <v>104</v>
      </c>
      <c r="AG151" s="7"/>
      <c r="AH151" s="7" t="s">
        <v>211</v>
      </c>
      <c r="AI151" s="7"/>
      <c r="AJ151" s="7" t="s">
        <v>57</v>
      </c>
      <c r="AK151" s="7"/>
      <c r="AL151" s="7"/>
      <c r="AM151" s="7" t="s">
        <v>764</v>
      </c>
    </row>
    <row r="152" spans="1:39" ht="12" customHeight="1" outlineLevel="2" x14ac:dyDescent="0.2">
      <c r="A152" s="46" t="s">
        <v>765</v>
      </c>
      <c r="B152" s="46"/>
      <c r="C152" s="46"/>
      <c r="D152" s="46"/>
      <c r="E152" s="46"/>
      <c r="F152" s="46"/>
    </row>
    <row r="153" spans="1:39" ht="96.2" customHeight="1" outlineLevel="3" x14ac:dyDescent="0.2">
      <c r="A153" s="6">
        <v>107</v>
      </c>
      <c r="B153" s="7" t="s">
        <v>766</v>
      </c>
      <c r="C153" s="48" t="s">
        <v>767</v>
      </c>
      <c r="D153" s="48"/>
      <c r="E153" s="48"/>
      <c r="F153" s="48"/>
      <c r="G153" s="8" t="s">
        <v>768</v>
      </c>
      <c r="H153" s="14"/>
      <c r="I153" s="15"/>
      <c r="J153" s="16"/>
      <c r="K153" s="17">
        <v>20</v>
      </c>
      <c r="L153" s="16"/>
      <c r="M153" s="16" t="s">
        <v>48</v>
      </c>
      <c r="N153" s="18"/>
      <c r="O153" s="16"/>
      <c r="P153" s="6">
        <v>3</v>
      </c>
      <c r="Q153" s="26">
        <f>249*(1-T3/100)</f>
        <v>249</v>
      </c>
      <c r="R153" s="21"/>
      <c r="S153" s="16">
        <f>Q153*R153</f>
        <v>0</v>
      </c>
      <c r="T153" s="27">
        <f>0.513*R153</f>
        <v>0</v>
      </c>
      <c r="U153" s="28">
        <f>0.00098*R153</f>
        <v>0</v>
      </c>
      <c r="V153" s="29"/>
      <c r="W153" s="30" t="s">
        <v>769</v>
      </c>
      <c r="X153" s="30" t="s">
        <v>51</v>
      </c>
      <c r="Y153" s="7"/>
      <c r="Z153" s="7" t="s">
        <v>770</v>
      </c>
      <c r="AA153" s="7" t="s">
        <v>53</v>
      </c>
      <c r="AB153" s="7"/>
      <c r="AC153" s="7"/>
      <c r="AD153" s="7" t="str">
        <f>HYPERLINK("https://knigipp.ru/api/getInfo/image/95bb2b24-68c1-11f1-a29a-00155d82e908")</f>
        <v>https://knigipp.ru/api/getInfo/image/95bb2b24-68c1-11f1-a29a-00155d82e908</v>
      </c>
      <c r="AE153" s="7" t="s">
        <v>65</v>
      </c>
      <c r="AF153" s="36">
        <v>24</v>
      </c>
      <c r="AG153" s="7" t="s">
        <v>66</v>
      </c>
      <c r="AH153" s="7" t="s">
        <v>211</v>
      </c>
      <c r="AI153" s="7"/>
      <c r="AJ153" s="7" t="s">
        <v>57</v>
      </c>
      <c r="AK153" s="7"/>
      <c r="AL153" s="7"/>
      <c r="AM153" s="7" t="s">
        <v>771</v>
      </c>
    </row>
    <row r="154" spans="1:39" ht="96.2" customHeight="1" outlineLevel="3" x14ac:dyDescent="0.2">
      <c r="A154" s="6">
        <v>108</v>
      </c>
      <c r="B154" s="7" t="s">
        <v>772</v>
      </c>
      <c r="C154" s="48" t="s">
        <v>773</v>
      </c>
      <c r="D154" s="48"/>
      <c r="E154" s="48"/>
      <c r="F154" s="48"/>
      <c r="G154" s="8" t="s">
        <v>774</v>
      </c>
      <c r="H154" s="14"/>
      <c r="I154" s="15" t="s">
        <v>775</v>
      </c>
      <c r="J154" s="16"/>
      <c r="K154" s="17">
        <v>20</v>
      </c>
      <c r="L154" s="16"/>
      <c r="M154" s="16" t="s">
        <v>48</v>
      </c>
      <c r="N154" s="18"/>
      <c r="O154" s="16"/>
      <c r="P154" s="6">
        <v>3</v>
      </c>
      <c r="Q154" s="26">
        <f>249*(1-T3/100)</f>
        <v>249</v>
      </c>
      <c r="R154" s="21"/>
      <c r="S154" s="16">
        <f>Q154*R154</f>
        <v>0</v>
      </c>
      <c r="T154" s="27">
        <f>0.148*R154</f>
        <v>0</v>
      </c>
      <c r="U154" s="28">
        <f>0.00014*R154</f>
        <v>0</v>
      </c>
      <c r="V154" s="29"/>
      <c r="W154" s="30" t="s">
        <v>776</v>
      </c>
      <c r="X154" s="30" t="s">
        <v>51</v>
      </c>
      <c r="Y154" s="7" t="s">
        <v>777</v>
      </c>
      <c r="Z154" s="7" t="s">
        <v>778</v>
      </c>
      <c r="AA154" s="7" t="s">
        <v>53</v>
      </c>
      <c r="AB154" s="7"/>
      <c r="AC154" s="7"/>
      <c r="AD154" s="7" t="str">
        <f>HYPERLINK("https://knigipp.ru/api/getInfo/image/a1dbe8b5-5b55-11f1-a295-00155d82e908")</f>
        <v>https://knigipp.ru/api/getInfo/image/a1dbe8b5-5b55-11f1-a295-00155d82e908</v>
      </c>
      <c r="AE154" s="7" t="s">
        <v>65</v>
      </c>
      <c r="AF154" s="36">
        <v>24</v>
      </c>
      <c r="AG154" s="7" t="s">
        <v>66</v>
      </c>
      <c r="AH154" s="7" t="s">
        <v>211</v>
      </c>
      <c r="AI154" s="7"/>
      <c r="AJ154" s="7" t="s">
        <v>57</v>
      </c>
      <c r="AK154" s="7"/>
      <c r="AL154" s="7"/>
      <c r="AM154" s="7" t="s">
        <v>771</v>
      </c>
    </row>
    <row r="155" spans="1:39" ht="12" customHeight="1" outlineLevel="2" x14ac:dyDescent="0.2">
      <c r="A155" s="46" t="s">
        <v>779</v>
      </c>
      <c r="B155" s="46"/>
      <c r="C155" s="46"/>
      <c r="D155" s="46"/>
      <c r="E155" s="46"/>
      <c r="F155" s="46"/>
    </row>
    <row r="156" spans="1:39" ht="12" customHeight="1" outlineLevel="3" x14ac:dyDescent="0.2">
      <c r="A156" s="47" t="s">
        <v>780</v>
      </c>
      <c r="B156" s="47"/>
      <c r="C156" s="47"/>
      <c r="D156" s="47"/>
      <c r="E156" s="47"/>
      <c r="F156" s="47"/>
    </row>
    <row r="157" spans="1:39" ht="96.2" customHeight="1" outlineLevel="4" x14ac:dyDescent="0.2">
      <c r="A157" s="6">
        <v>109</v>
      </c>
      <c r="B157" s="7" t="s">
        <v>781</v>
      </c>
      <c r="C157" s="48" t="s">
        <v>782</v>
      </c>
      <c r="D157" s="48"/>
      <c r="E157" s="48"/>
      <c r="F157" s="48"/>
      <c r="G157" s="8" t="s">
        <v>783</v>
      </c>
      <c r="H157" s="14"/>
      <c r="I157" s="15" t="s">
        <v>784</v>
      </c>
      <c r="J157" s="16"/>
      <c r="K157" s="17">
        <v>10</v>
      </c>
      <c r="L157" s="16"/>
      <c r="M157" s="16" t="s">
        <v>48</v>
      </c>
      <c r="N157" s="18"/>
      <c r="O157" s="16"/>
      <c r="P157" s="6">
        <v>2</v>
      </c>
      <c r="Q157" s="26">
        <f>547*(1-T3/100)</f>
        <v>547</v>
      </c>
      <c r="R157" s="21"/>
      <c r="S157" s="16">
        <f>Q157*R157</f>
        <v>0</v>
      </c>
      <c r="T157" s="27">
        <f>0.448*R157</f>
        <v>0</v>
      </c>
      <c r="U157" s="28">
        <f>0.00061*R157</f>
        <v>0</v>
      </c>
      <c r="V157" s="29"/>
      <c r="W157" s="30" t="s">
        <v>785</v>
      </c>
      <c r="X157" s="30" t="s">
        <v>51</v>
      </c>
      <c r="Y157" s="7" t="s">
        <v>786</v>
      </c>
      <c r="Z157" s="7" t="s">
        <v>787</v>
      </c>
      <c r="AA157" s="7" t="s">
        <v>788</v>
      </c>
      <c r="AB157" s="7"/>
      <c r="AC157" s="7"/>
      <c r="AD157" s="7" t="str">
        <f>HYPERLINK("https://knigipp.ru/api/getInfo/image/21ac3501-25cb-11f0-a279-00155d82e908")</f>
        <v>https://knigipp.ru/api/getInfo/image/21ac3501-25cb-11f0-a279-00155d82e908</v>
      </c>
      <c r="AE157" s="7" t="s">
        <v>789</v>
      </c>
      <c r="AF157" s="36">
        <v>256</v>
      </c>
      <c r="AG157" s="7" t="s">
        <v>790</v>
      </c>
      <c r="AH157" s="7" t="s">
        <v>211</v>
      </c>
      <c r="AI157" s="7"/>
      <c r="AJ157" s="7" t="s">
        <v>57</v>
      </c>
      <c r="AK157" s="7"/>
      <c r="AL157" s="7"/>
      <c r="AM157" s="7" t="s">
        <v>791</v>
      </c>
    </row>
    <row r="158" spans="1:39" ht="96.2" customHeight="1" outlineLevel="4" x14ac:dyDescent="0.2">
      <c r="A158" s="6">
        <v>110</v>
      </c>
      <c r="B158" s="7" t="s">
        <v>792</v>
      </c>
      <c r="C158" s="48" t="s">
        <v>793</v>
      </c>
      <c r="D158" s="48"/>
      <c r="E158" s="48"/>
      <c r="F158" s="48"/>
      <c r="G158" s="8" t="s">
        <v>794</v>
      </c>
      <c r="H158" s="14"/>
      <c r="I158" s="15" t="s">
        <v>795</v>
      </c>
      <c r="J158" s="16"/>
      <c r="K158" s="17">
        <v>10</v>
      </c>
      <c r="L158" s="16"/>
      <c r="M158" s="16" t="s">
        <v>48</v>
      </c>
      <c r="N158" s="18"/>
      <c r="O158" s="16"/>
      <c r="P158" s="6">
        <v>1</v>
      </c>
      <c r="Q158" s="26">
        <f>577*(1-T3/100)</f>
        <v>577</v>
      </c>
      <c r="R158" s="21"/>
      <c r="S158" s="16">
        <f>Q158*R158</f>
        <v>0</v>
      </c>
      <c r="T158" s="27">
        <f>0.416*R158</f>
        <v>0</v>
      </c>
      <c r="U158" s="28">
        <f>0.00051*R158</f>
        <v>0</v>
      </c>
      <c r="V158" s="29"/>
      <c r="W158" s="30" t="s">
        <v>796</v>
      </c>
      <c r="X158" s="30" t="s">
        <v>51</v>
      </c>
      <c r="Y158" s="7" t="s">
        <v>797</v>
      </c>
      <c r="Z158" s="7"/>
      <c r="AA158" s="7" t="s">
        <v>788</v>
      </c>
      <c r="AB158" s="7"/>
      <c r="AC158" s="7"/>
      <c r="AD158" s="7" t="str">
        <f>HYPERLINK("https://knigipp.ru/api/getInfo/image/b9daab42-5b50-11f1-a295-00155d82e908")</f>
        <v>https://knigipp.ru/api/getInfo/image/b9daab42-5b50-11f1-a295-00155d82e908</v>
      </c>
      <c r="AE158" s="7" t="s">
        <v>789</v>
      </c>
      <c r="AF158" s="36">
        <v>304</v>
      </c>
      <c r="AG158" s="7" t="s">
        <v>790</v>
      </c>
      <c r="AH158" s="7" t="s">
        <v>211</v>
      </c>
      <c r="AI158" s="7"/>
      <c r="AJ158" s="7" t="s">
        <v>57</v>
      </c>
      <c r="AK158" s="7"/>
      <c r="AL158" s="7"/>
      <c r="AM158" s="7"/>
    </row>
  </sheetData>
  <autoFilter ref="A1:AO166"/>
  <mergeCells count="192">
    <mergeCell ref="A3:B3"/>
    <mergeCell ref="C3:F3"/>
    <mergeCell ref="R3:S3"/>
    <mergeCell ref="A6:F6"/>
    <mergeCell ref="A7:F7"/>
    <mergeCell ref="A8:F8"/>
    <mergeCell ref="A9:F9"/>
    <mergeCell ref="C10:F10"/>
    <mergeCell ref="A11:F11"/>
    <mergeCell ref="C12:F12"/>
    <mergeCell ref="A13:F13"/>
    <mergeCell ref="A14:F14"/>
    <mergeCell ref="C15:F15"/>
    <mergeCell ref="C16:F16"/>
    <mergeCell ref="C17:F17"/>
    <mergeCell ref="C18:F18"/>
    <mergeCell ref="C19:F19"/>
    <mergeCell ref="C20:F20"/>
    <mergeCell ref="C21:F21"/>
    <mergeCell ref="C22:F22"/>
    <mergeCell ref="A23:F23"/>
    <mergeCell ref="C24:F24"/>
    <mergeCell ref="C25:F25"/>
    <mergeCell ref="C26:F26"/>
    <mergeCell ref="C27:F27"/>
    <mergeCell ref="C28:F28"/>
    <mergeCell ref="C29:F29"/>
    <mergeCell ref="A30:F30"/>
    <mergeCell ref="C31:F31"/>
    <mergeCell ref="C32:F32"/>
    <mergeCell ref="C33:F33"/>
    <mergeCell ref="C34:F34"/>
    <mergeCell ref="C35:F35"/>
    <mergeCell ref="C36:F36"/>
    <mergeCell ref="A37:F37"/>
    <mergeCell ref="C38:F38"/>
    <mergeCell ref="C39:F39"/>
    <mergeCell ref="C40:F40"/>
    <mergeCell ref="C41:F41"/>
    <mergeCell ref="C42:F42"/>
    <mergeCell ref="C43:F43"/>
    <mergeCell ref="C44:F44"/>
    <mergeCell ref="C45:F45"/>
    <mergeCell ref="C46:F46"/>
    <mergeCell ref="C47:F47"/>
    <mergeCell ref="C48:F48"/>
    <mergeCell ref="C49:F49"/>
    <mergeCell ref="A50:F50"/>
    <mergeCell ref="C51:F51"/>
    <mergeCell ref="C52:F52"/>
    <mergeCell ref="C53:F53"/>
    <mergeCell ref="C54:F54"/>
    <mergeCell ref="C55:F55"/>
    <mergeCell ref="C56:F56"/>
    <mergeCell ref="C57:F57"/>
    <mergeCell ref="C58:F58"/>
    <mergeCell ref="C59:F59"/>
    <mergeCell ref="A60:F60"/>
    <mergeCell ref="C61:F61"/>
    <mergeCell ref="C62:F62"/>
    <mergeCell ref="C63:F63"/>
    <mergeCell ref="C64:F64"/>
    <mergeCell ref="A65:F65"/>
    <mergeCell ref="C66:F66"/>
    <mergeCell ref="C67:F67"/>
    <mergeCell ref="C68:F68"/>
    <mergeCell ref="C69:F69"/>
    <mergeCell ref="C70:F70"/>
    <mergeCell ref="C71:F71"/>
    <mergeCell ref="A72:F72"/>
    <mergeCell ref="C73:F73"/>
    <mergeCell ref="A74:F74"/>
    <mergeCell ref="C75:F75"/>
    <mergeCell ref="C76:F76"/>
    <mergeCell ref="C77:F77"/>
    <mergeCell ref="C78:F78"/>
    <mergeCell ref="A79:F79"/>
    <mergeCell ref="C80:F80"/>
    <mergeCell ref="C81:F81"/>
    <mergeCell ref="A82:F82"/>
    <mergeCell ref="C83:F83"/>
    <mergeCell ref="C84:F84"/>
    <mergeCell ref="C85:F85"/>
    <mergeCell ref="C86:F86"/>
    <mergeCell ref="A87:F87"/>
    <mergeCell ref="C88:F88"/>
    <mergeCell ref="A89:F89"/>
    <mergeCell ref="C90:F90"/>
    <mergeCell ref="A91:F91"/>
    <mergeCell ref="C92:F92"/>
    <mergeCell ref="C93:F93"/>
    <mergeCell ref="A94:F94"/>
    <mergeCell ref="C95:F95"/>
    <mergeCell ref="A96:F96"/>
    <mergeCell ref="C97:F97"/>
    <mergeCell ref="A98:F98"/>
    <mergeCell ref="C99:F99"/>
    <mergeCell ref="C100:F100"/>
    <mergeCell ref="A101:F101"/>
    <mergeCell ref="C102:F102"/>
    <mergeCell ref="C103:F103"/>
    <mergeCell ref="A104:F104"/>
    <mergeCell ref="C105:F105"/>
    <mergeCell ref="A106:F106"/>
    <mergeCell ref="C107:F107"/>
    <mergeCell ref="C108:F108"/>
    <mergeCell ref="C109:F109"/>
    <mergeCell ref="C110:F110"/>
    <mergeCell ref="A111:F111"/>
    <mergeCell ref="C112:F112"/>
    <mergeCell ref="C113:F113"/>
    <mergeCell ref="C114:F114"/>
    <mergeCell ref="C115:F115"/>
    <mergeCell ref="A116:F116"/>
    <mergeCell ref="C117:F117"/>
    <mergeCell ref="C118:F118"/>
    <mergeCell ref="C119:F119"/>
    <mergeCell ref="C120:F120"/>
    <mergeCell ref="A121:F121"/>
    <mergeCell ref="C122:F122"/>
    <mergeCell ref="C123:F123"/>
    <mergeCell ref="A124:F124"/>
    <mergeCell ref="C125:F125"/>
    <mergeCell ref="C126:F126"/>
    <mergeCell ref="C127:F127"/>
    <mergeCell ref="C128:F128"/>
    <mergeCell ref="A129:F129"/>
    <mergeCell ref="C130:F130"/>
    <mergeCell ref="C131:F131"/>
    <mergeCell ref="A132:F132"/>
    <mergeCell ref="C133:F133"/>
    <mergeCell ref="C134:F134"/>
    <mergeCell ref="A135:F135"/>
    <mergeCell ref="C136:F136"/>
    <mergeCell ref="C137:F137"/>
    <mergeCell ref="A138:F138"/>
    <mergeCell ref="C139:F139"/>
    <mergeCell ref="A140:F140"/>
    <mergeCell ref="C141:F141"/>
    <mergeCell ref="A142:F142"/>
    <mergeCell ref="C153:F153"/>
    <mergeCell ref="C154:F154"/>
    <mergeCell ref="A143:F143"/>
    <mergeCell ref="A144:F144"/>
    <mergeCell ref="C145:F145"/>
    <mergeCell ref="C146:F146"/>
    <mergeCell ref="A147:F147"/>
    <mergeCell ref="C148:F148"/>
    <mergeCell ref="A155:F155"/>
    <mergeCell ref="A156:F156"/>
    <mergeCell ref="C157:F157"/>
    <mergeCell ref="C158:F158"/>
    <mergeCell ref="A4:A5"/>
    <mergeCell ref="B4:B5"/>
    <mergeCell ref="A149:F149"/>
    <mergeCell ref="C150:F150"/>
    <mergeCell ref="C151:F151"/>
    <mergeCell ref="A152:F152"/>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AJ4:AJ5"/>
    <mergeCell ref="Y4:Y5"/>
    <mergeCell ref="Z4:Z5"/>
    <mergeCell ref="AA4:AA5"/>
    <mergeCell ref="AB4:AB5"/>
    <mergeCell ref="AC4:AC5"/>
    <mergeCell ref="AD4:AD5"/>
    <mergeCell ref="AK4:AK5"/>
    <mergeCell ref="AL4:AL5"/>
    <mergeCell ref="AM4:AM5"/>
    <mergeCell ref="C4:F5"/>
    <mergeCell ref="AE4:AE5"/>
    <mergeCell ref="AF4:AF5"/>
    <mergeCell ref="AG4:AG5"/>
    <mergeCell ref="AH4:AH5"/>
    <mergeCell ref="AI4:AI5"/>
  </mergeCells>
  <dataValidations count="20">
    <dataValidation type="decimal" operator="equal" allowBlank="1" showErrorMessage="1" errorTitle="Не нужно менять минимальное количество для заказа:" error="минимальное количество для заказа = 4" sqref="P66 P67 P68 P69 P70 P71 P80 P81 P88 P90 P122 P123 P133 P134">
      <formula1>4</formula1>
    </dataValidation>
    <dataValidation type="decimal" operator="equal" allowBlank="1" showErrorMessage="1" errorTitle="Не нужно менять минимальное количество для заказа:" error="минимальное количество для заказа = 15" sqref="P83 P84 P85 P86 P117 P118 P119 P120">
      <formula1>15</formula1>
    </dataValidation>
    <dataValidation type="decimal" operator="equal" allowBlank="1" showErrorMessage="1" errorTitle="Не нужно менять минимальное количество для заказа:" error="минимальное количество для заказа = 2" sqref="P10 P12 P92 P93 P112 P113 P114 P115 P125 P126 P127 P128 P145 P146 P148 P157">
      <formula1>2</formula1>
    </dataValidation>
    <dataValidation type="decimal" operator="equal" allowBlank="1" showErrorMessage="1" errorTitle="Не нужно менять минимальное количество для заказа:" error="минимальное количество для заказа = 3" sqref="P61 P62 P63 P64 P99 P100 P105 P130 P131 P136 P137 P153 P154">
      <formula1>3</formula1>
    </dataValidation>
    <dataValidation type="decimal" operator="equal" allowBlank="1" showErrorMessage="1" errorTitle="Не нужно менять минимальное количество для заказа:" error="минимальное количество для заказа = 5" sqref="P15 P16 P17 P18 P19 P20 P21 P22 P24 P25 P26 P27 P28 P29 P31 P32 P33 P34 P35 P36 P102 P103 P107 P108 P109 P110">
      <formula1>5</formula1>
    </dataValidation>
    <dataValidation type="decimal" operator="greaterThanOrEqual" allowBlank="1" showErrorMessage="1" errorTitle="Нельзя заказать меньше чем :" error="минимальное количество для заказа = 15" sqref="R83 R84 R85 R86 R117 R118 R119 R120">
      <formula1>15</formula1>
    </dataValidation>
    <dataValidation type="decimal" operator="equal" allowBlank="1" showErrorMessage="1" errorTitle="Не нужно менять минимальное количество для заказа:" error="минимальное количество для заказа = 10" sqref="P73">
      <formula1>10</formula1>
    </dataValidation>
    <dataValidation type="decimal" operator="greaterThanOrEqual" allowBlank="1" showErrorMessage="1" errorTitle="Нельзя заказать меньше чем :" error="минимальное количество для заказа = 2" sqref="R10 R12 R92 R93 R112 R113 R114 R115 R125 R126 R127 R128 R145 R146 R148 R157">
      <formula1>2</formula1>
    </dataValidation>
    <dataValidation type="decimal" operator="greaterThanOrEqual" allowBlank="1" showErrorMessage="1" errorTitle="Нельзя заказать меньше чем :" error="минимальное количество для заказа = 3" sqref="R61 R62 R63 R64 R99 R100 R105 R130 R131 R136 R137 R153 R154">
      <formula1>3</formula1>
    </dataValidation>
    <dataValidation type="decimal" operator="greaterThanOrEqual" allowBlank="1" showErrorMessage="1" errorTitle="Нельзя заказать меньше чем :" error="минимальное количество для заказа = 5" sqref="R15 R16 R17 R18 R19 R20 R21 R22 R24 R25 R26 R27 R28 R29 R31 R32 R33 R34 R35 R36 R102 R103 R107 R108 R109 R110">
      <formula1>5</formula1>
    </dataValidation>
    <dataValidation type="decimal" operator="equal" allowBlank="1" showErrorMessage="1" errorTitle="Не нужно менять минимальное количество для заказа:" error="минимальное количество для заказа = 1" sqref="P38 P39 P40 P41 P42 P43 P44 P45 P46 P47 P48 P49 P51 P52 P53 P54 P55 P56 P57 P58 P59 P75 P76 P77 P78 P150 P151 P158">
      <formula1>1</formula1>
    </dataValidation>
    <dataValidation type="decimal" operator="greaterThanOrEqual" allowBlank="1" showErrorMessage="1" errorTitle="Нельзя заказать меньше чем :" error="минимальное количество для заказа = 1" sqref="R38 R39 R40 R41 R42 R43 R44 R45 R46 R47 R48 R49 R51 R52 R53 R54 R55 R56 R57 R58 R59 R75 R76 R77 R78 R150 R151 R158">
      <formula1>1</formula1>
    </dataValidation>
    <dataValidation type="decimal" operator="greaterThanOrEqual" allowBlank="1" showErrorMessage="1" errorTitle="Нельзя заказать меньше чем :" error="минимальное количество для заказа = 4" sqref="R66 R67 R68 R69 R70 R71 R80 R81 R88 R90 R122 R123 R133 R134">
      <formula1>4</formula1>
    </dataValidation>
    <dataValidation type="decimal" operator="greaterThanOrEqual" allowBlank="1" showErrorMessage="1" errorTitle="Нельзя заказать меньше чем :" error="минимальное количество для заказа = 10" sqref="R73">
      <formula1>10</formula1>
    </dataValidation>
    <dataValidation type="decimal" operator="greaterThanOrEqual" allowBlank="1" showErrorMessage="1" errorTitle="Нельзя заказать меньше чем :" error="минимальное количество для заказа = 7" sqref="R139">
      <formula1>7</formula1>
    </dataValidation>
    <dataValidation type="decimal" operator="equal" allowBlank="1" showErrorMessage="1" errorTitle="Не нужно менять минимальное количество для заказа:" error="минимальное количество для заказа = 8" sqref="P95 P141">
      <formula1>8</formula1>
    </dataValidation>
    <dataValidation type="decimal" operator="greaterThanOrEqual" allowBlank="1" showErrorMessage="1" errorTitle="Нельзя заказать меньше чем :" error="минимальное количество для заказа = 8" sqref="R95 R141">
      <formula1>8</formula1>
    </dataValidation>
    <dataValidation type="decimal" operator="equal" allowBlank="1" showErrorMessage="1" errorTitle="Не нужно менять минимальное количество для заказа:" error="минимальное количество для заказа = 30" sqref="P97">
      <formula1>30</formula1>
    </dataValidation>
    <dataValidation type="decimal" operator="greaterThanOrEqual" allowBlank="1" showErrorMessage="1" errorTitle="Нельзя заказать меньше чем :" error="минимальное количество для заказа = 30" sqref="R97">
      <formula1>30</formula1>
    </dataValidation>
    <dataValidation type="decimal" operator="equal" allowBlank="1" showErrorMessage="1" errorTitle="Не нужно менять минимальное количество для заказа:" error="минимальное количество для заказа = 7" sqref="P139">
      <formula1>7</formula1>
    </dataValidation>
  </dataValidations>
  <pageMargins left="0.39" right="0.39" top="0.39" bottom="0.39" header="0" footer="0"/>
  <pageSetup paperSize="0" fitToWidth="0" fitToHeight="0" pageOrder="overThenDown" orientation="portrait" horizontalDpi="0" verticalDpi="0" copies="0"/>
  <headerFooter scaleWithDoc="0" alignWithMargins="0"/>
  <drawing r:id="rId1"/>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Нагаева Марина Александровна</dc:creator>
  <cp:lastModifiedBy>shabanova</cp:lastModifiedBy>
  <cp:revision>1</cp:revision>
  <cp:lastPrinted>2026-11-02T09:00:23Z</cp:lastPrinted>
  <dcterms:created xsi:type="dcterms:W3CDTF">2026-11-02T09:00:23Z</dcterms:created>
  <dcterms:modified xsi:type="dcterms:W3CDTF">2026-11-05T07:21:22Z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1049-10.2.0.5845</vt:lpwstr>
  </property>
</Properties>
</file>