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331"/>
  </bookViews>
  <sheets>
    <sheet name="Прайс" sheetId="1" r:id="rId1"/>
  </sheets>
  <calcPr calcId="144525" refMode="R1C1"/>
</workbook>
</file>

<file path=xl/calcChain.xml><?xml version="1.0" encoding="utf-8"?>
<calcChain xmlns="http://schemas.openxmlformats.org/spreadsheetml/2006/main">
  <c r="Y43" i="1" l="1"/>
  <c r="Y42" i="1"/>
  <c r="Y41" i="1"/>
  <c r="Y40" i="1"/>
  <c r="Y15" i="1"/>
  <c r="Y39" i="1" l="1"/>
  <c r="AV39" i="1"/>
  <c r="AW39" i="1" s="1"/>
  <c r="AU39" i="1"/>
  <c r="AT39" i="1"/>
  <c r="AS39" i="1"/>
  <c r="Y38" i="1"/>
  <c r="AV38" i="1"/>
  <c r="AW38" i="1" s="1"/>
  <c r="AU38" i="1"/>
  <c r="AT38" i="1"/>
  <c r="AS38" i="1"/>
  <c r="Y37" i="1"/>
  <c r="AV37" i="1"/>
  <c r="AW37" i="1" s="1"/>
  <c r="AU37" i="1"/>
  <c r="AT37" i="1"/>
  <c r="AS37" i="1"/>
  <c r="Y36" i="1"/>
  <c r="AV36" i="1"/>
  <c r="AW36" i="1" s="1"/>
  <c r="AU36" i="1"/>
  <c r="AT36" i="1"/>
  <c r="AS36" i="1"/>
  <c r="Y35" i="1"/>
  <c r="AV35" i="1"/>
  <c r="AW35" i="1" s="1"/>
  <c r="AU35" i="1"/>
  <c r="AT35" i="1"/>
  <c r="AS35" i="1"/>
  <c r="Y34" i="1"/>
  <c r="AV34" i="1"/>
  <c r="AW34" i="1" s="1"/>
  <c r="AU34" i="1"/>
  <c r="AT34" i="1"/>
  <c r="AS34" i="1"/>
  <c r="Y33" i="1"/>
  <c r="AV33" i="1"/>
  <c r="AW33" i="1" s="1"/>
  <c r="AU33" i="1"/>
  <c r="AT33" i="1"/>
  <c r="AS33" i="1"/>
  <c r="Y32" i="1"/>
  <c r="AV32" i="1"/>
  <c r="AW32" i="1" s="1"/>
  <c r="AU32" i="1"/>
  <c r="AT32" i="1"/>
  <c r="AS32" i="1"/>
  <c r="Y31" i="1"/>
  <c r="AV31" i="1"/>
  <c r="AW31" i="1" s="1"/>
  <c r="AU31" i="1"/>
  <c r="AT31" i="1"/>
  <c r="AS31" i="1"/>
  <c r="Y30" i="1"/>
  <c r="AV30" i="1"/>
  <c r="AW30" i="1" s="1"/>
  <c r="AU30" i="1"/>
  <c r="AT30" i="1"/>
  <c r="AS30" i="1"/>
  <c r="Y29" i="1"/>
  <c r="AV29" i="1"/>
  <c r="AW29" i="1" s="1"/>
  <c r="AU29" i="1"/>
  <c r="AT29" i="1"/>
  <c r="AS29" i="1"/>
  <c r="Y28" i="1"/>
  <c r="AV28" i="1"/>
  <c r="AW28" i="1" s="1"/>
  <c r="AU28" i="1"/>
  <c r="AT28" i="1"/>
  <c r="AS28" i="1"/>
  <c r="Y27" i="1"/>
  <c r="AV27" i="1"/>
  <c r="AW27" i="1" s="1"/>
  <c r="AU27" i="1"/>
  <c r="AT27" i="1"/>
  <c r="AS27" i="1"/>
  <c r="Y26" i="1"/>
  <c r="AV26" i="1"/>
  <c r="AW26" i="1" s="1"/>
  <c r="AU26" i="1"/>
  <c r="AT26" i="1"/>
  <c r="AS26" i="1"/>
  <c r="Y25" i="1"/>
  <c r="AV25" i="1"/>
  <c r="AW25" i="1" s="1"/>
  <c r="AU25" i="1"/>
  <c r="AT25" i="1"/>
  <c r="AS25" i="1"/>
  <c r="Y24" i="1"/>
  <c r="AV24" i="1"/>
  <c r="AW24" i="1" s="1"/>
  <c r="AU24" i="1"/>
  <c r="AT24" i="1"/>
  <c r="AS24" i="1"/>
  <c r="Y23" i="1"/>
  <c r="AV23" i="1"/>
  <c r="AW23" i="1" s="1"/>
  <c r="AU23" i="1"/>
  <c r="AT23" i="1"/>
  <c r="AS23" i="1"/>
  <c r="Y22" i="1"/>
  <c r="AV22" i="1"/>
  <c r="AW22" i="1" s="1"/>
  <c r="AU22" i="1"/>
  <c r="AT22" i="1"/>
  <c r="AS22" i="1"/>
  <c r="Y21" i="1"/>
  <c r="AV21" i="1"/>
  <c r="AW21" i="1" s="1"/>
  <c r="AU21" i="1"/>
  <c r="AT21" i="1"/>
  <c r="AS21" i="1"/>
  <c r="Y20" i="1"/>
  <c r="AV20" i="1"/>
  <c r="AW20" i="1" s="1"/>
  <c r="AU20" i="1"/>
  <c r="AT20" i="1"/>
  <c r="AS20" i="1"/>
  <c r="Y19" i="1"/>
  <c r="AV19" i="1"/>
  <c r="AW19" i="1" s="1"/>
  <c r="AU19" i="1"/>
  <c r="AT19" i="1"/>
  <c r="AS19" i="1"/>
  <c r="Y18" i="1"/>
  <c r="AV18" i="1"/>
  <c r="AW18" i="1" s="1"/>
  <c r="AU18" i="1"/>
  <c r="AT18" i="1"/>
  <c r="AS18" i="1"/>
  <c r="Y17" i="1"/>
  <c r="AV17" i="1"/>
  <c r="AW17" i="1" s="1"/>
  <c r="AU17" i="1"/>
  <c r="AT17" i="1"/>
  <c r="AS17" i="1"/>
  <c r="Y14" i="1"/>
  <c r="AV14" i="1"/>
  <c r="AW14" i="1" s="1"/>
  <c r="AU14" i="1"/>
  <c r="AT14" i="1"/>
  <c r="AS14" i="1"/>
  <c r="Y13" i="1"/>
  <c r="AV13" i="1"/>
  <c r="AW13" i="1" s="1"/>
  <c r="AU13" i="1"/>
  <c r="AT13" i="1"/>
  <c r="AS13" i="1"/>
  <c r="Y12" i="1"/>
  <c r="AV12" i="1"/>
  <c r="AW12" i="1" s="1"/>
  <c r="AU12" i="1"/>
  <c r="AT12" i="1"/>
  <c r="AS12" i="1"/>
  <c r="Y11" i="1"/>
  <c r="AV11" i="1"/>
  <c r="AW11" i="1" s="1"/>
  <c r="AU11" i="1"/>
  <c r="AT11" i="1"/>
  <c r="AS11" i="1"/>
  <c r="Y10" i="1"/>
  <c r="AV10" i="1"/>
  <c r="AW10" i="1" s="1"/>
  <c r="AU10" i="1"/>
  <c r="AT10" i="1"/>
  <c r="AS10" i="1"/>
  <c r="Y9" i="1"/>
  <c r="AV9" i="1"/>
  <c r="AW9" i="1" s="1"/>
  <c r="AU9" i="1"/>
  <c r="AT9" i="1"/>
  <c r="AS9" i="1"/>
  <c r="Y8" i="1"/>
  <c r="AV8" i="1"/>
  <c r="AW8" i="1" s="1"/>
  <c r="AU8" i="1"/>
  <c r="AT8" i="1"/>
  <c r="AS8" i="1"/>
  <c r="Y7" i="1"/>
  <c r="AV7" i="1"/>
  <c r="AW7" i="1" s="1"/>
  <c r="AU7" i="1"/>
  <c r="AT7" i="1"/>
  <c r="AS7" i="1"/>
  <c r="Y6" i="1"/>
  <c r="AV6" i="1"/>
  <c r="AW6" i="1" s="1"/>
  <c r="AU6" i="1"/>
  <c r="AT6" i="1"/>
  <c r="AS6" i="1"/>
  <c r="Y5" i="1"/>
  <c r="AV5" i="1"/>
  <c r="AW5" i="1" s="1"/>
  <c r="AU5" i="1"/>
  <c r="AT5" i="1"/>
  <c r="AS5" i="1"/>
  <c r="Y4" i="1"/>
  <c r="AV4" i="1"/>
  <c r="AW4" i="1" s="1"/>
  <c r="AU4" i="1"/>
  <c r="AT4" i="1"/>
  <c r="AS4" i="1"/>
  <c r="Y3" i="1"/>
  <c r="AV3" i="1"/>
  <c r="AW3" i="1" s="1"/>
  <c r="AU3" i="1"/>
  <c r="AT3" i="1"/>
  <c r="AS3" i="1"/>
</calcChain>
</file>

<file path=xl/sharedStrings.xml><?xml version="1.0" encoding="utf-8"?>
<sst xmlns="http://schemas.openxmlformats.org/spreadsheetml/2006/main" count="428" uniqueCount="225">
  <si>
    <t>заказ</t>
  </si>
  <si>
    <t>Издат. цена, руб. вкл. НДС</t>
  </si>
  <si>
    <t>Реком. розн. цена Онлайн</t>
  </si>
  <si>
    <t>ID</t>
  </si>
  <si>
    <t>Старый ID</t>
  </si>
  <si>
    <t>Автор(ы)</t>
  </si>
  <si>
    <t>Наименование</t>
  </si>
  <si>
    <t>Издательство</t>
  </si>
  <si>
    <t>Перевод</t>
  </si>
  <si>
    <t>Год изд.</t>
  </si>
  <si>
    <t>Артикул</t>
  </si>
  <si>
    <t>EAN</t>
  </si>
  <si>
    <t>ISBN</t>
  </si>
  <si>
    <t>Стр.</t>
  </si>
  <si>
    <t>Вес</t>
  </si>
  <si>
    <t>Ширина</t>
  </si>
  <si>
    <t>Высота</t>
  </si>
  <si>
    <t>Ст.</t>
  </si>
  <si>
    <t>Формат</t>
  </si>
  <si>
    <t>Серия</t>
  </si>
  <si>
    <t>Тираж</t>
  </si>
  <si>
    <t>Особенности исполнения</t>
  </si>
  <si>
    <t>Ограничение по возрасту</t>
  </si>
  <si>
    <t>НДС</t>
  </si>
  <si>
    <t>Сертификат</t>
  </si>
  <si>
    <t>Дата последнего поступления</t>
  </si>
  <si>
    <t>НОВИНКИ Сентябрь 2026</t>
  </si>
  <si>
    <t>нет автора</t>
  </si>
  <si>
    <t>Альпина. Дети</t>
  </si>
  <si>
    <t>60x90/8</t>
  </si>
  <si>
    <t>Обложка</t>
  </si>
  <si>
    <t>0+</t>
  </si>
  <si>
    <t>Оносов Алексей</t>
  </si>
  <si>
    <t>Альпина ПРО бизнес. Провалы</t>
  </si>
  <si>
    <t>Альпина PRO</t>
  </si>
  <si>
    <t>PGR2412170-P</t>
  </si>
  <si>
    <t>978-5-206-00457-1</t>
  </si>
  <si>
    <t>60x90/16</t>
  </si>
  <si>
    <t>Альпина ПРО бизнес</t>
  </si>
  <si>
    <t>18+</t>
  </si>
  <si>
    <t>28.08.2026</t>
  </si>
  <si>
    <t>Переплет</t>
  </si>
  <si>
    <t>6+</t>
  </si>
  <si>
    <t>Пер. с фр.</t>
  </si>
  <si>
    <t>84x108/16</t>
  </si>
  <si>
    <t>70x100/16</t>
  </si>
  <si>
    <t>12+</t>
  </si>
  <si>
    <t>Бель Летр</t>
  </si>
  <si>
    <t>Пер. с англ</t>
  </si>
  <si>
    <t>16+</t>
  </si>
  <si>
    <t>Альпина Паблишер</t>
  </si>
  <si>
    <t>Кроу-Миллер Бритт, Валасс Бруно</t>
  </si>
  <si>
    <t>Гниль : Все о вертлявых, склизких, суперклассных созданиях, без которых невозможна жизнь</t>
  </si>
  <si>
    <t>ADK2507173-P</t>
  </si>
  <si>
    <t>978-5-00283-246-0</t>
  </si>
  <si>
    <t>02.09.2026</t>
  </si>
  <si>
    <t>Назаров Алексей</t>
  </si>
  <si>
    <t>Давайте поспорим! Как превратить конфликт в сотрудничество и финансовую прибыль</t>
  </si>
  <si>
    <t>PGR2601227-P</t>
  </si>
  <si>
    <t>978-5-00206-019-1</t>
  </si>
  <si>
    <t>Фрайвальд Бент</t>
  </si>
  <si>
    <t>День из жизни мозга: Что происходит в голове, пока мы спим, работаем и пьем кофе</t>
  </si>
  <si>
    <t>Пер. с нем.</t>
  </si>
  <si>
    <t>AAA2608707-P</t>
  </si>
  <si>
    <t>978-5-0063-1776-5</t>
  </si>
  <si>
    <t>04.09.2026</t>
  </si>
  <si>
    <t>Мартен Поль, Руа Камилла</t>
  </si>
  <si>
    <t>Детектив Таша Тунцова:  В космосе</t>
  </si>
  <si>
    <t>ADK2512065-P</t>
  </si>
  <si>
    <t>978-5-00283-322-1</t>
  </si>
  <si>
    <t>Детектив Таша Тунцова</t>
  </si>
  <si>
    <t>Емец Дмитрий</t>
  </si>
  <si>
    <t>Динозавры против драконов. Охота за короной [Книга 1]</t>
  </si>
  <si>
    <t>ADK2506006-P</t>
  </si>
  <si>
    <t>978-5-00283-134-0</t>
  </si>
  <si>
    <t>Когти и пламя</t>
  </si>
  <si>
    <t>Шахин Кейла</t>
  </si>
  <si>
    <t>Дневник Тени: Разбираемся с вытесненными эмоциями, страхами и внутренним сопротивлением</t>
  </si>
  <si>
    <t>AAA2506230-P</t>
  </si>
  <si>
    <t>978-5-0063-0940-1</t>
  </si>
  <si>
    <t>31.08.2026</t>
  </si>
  <si>
    <t>Пер. с итал.</t>
  </si>
  <si>
    <t>Альпина нон-фикшн</t>
  </si>
  <si>
    <t>Marshmallow Books</t>
  </si>
  <si>
    <t>Шнайдер Лиана</t>
  </si>
  <si>
    <t>70x90/16</t>
  </si>
  <si>
    <t>Лучший друг - Конни</t>
  </si>
  <si>
    <t>Бёме Юлия</t>
  </si>
  <si>
    <t>[Детские детективы, Лучший друг — Конни] [покет] Конни и поездка на море</t>
  </si>
  <si>
    <t>ADH2607114-P</t>
  </si>
  <si>
    <t>978-5-00283-423-5</t>
  </si>
  <si>
    <t>84x108/32</t>
  </si>
  <si>
    <t>[Детские детективы, Лучший друг — Конни] [покет] Конни и приключения на зимних каникулах</t>
  </si>
  <si>
    <t>ADH2607107-P</t>
  </si>
  <si>
    <t>978-5-00283-422-8</t>
  </si>
  <si>
    <t>[Детские детективы, Лучший друг — Конни] [покет] Конни и Рождество</t>
  </si>
  <si>
    <t>ADH2606375-P</t>
  </si>
  <si>
    <t>978-5-00283-415-0</t>
  </si>
  <si>
    <t>Конни и Якоб на новогодней ярмарке. Раскраска-плакат</t>
  </si>
  <si>
    <t>DDK2604008-P</t>
  </si>
  <si>
    <t>978-5-00283-067-1</t>
  </si>
  <si>
    <t>Джейвин Линда</t>
  </si>
  <si>
    <t>Культурная революция в Китае</t>
  </si>
  <si>
    <t>NNN2511035-P</t>
  </si>
  <si>
    <t>978-5-00223-835-4</t>
  </si>
  <si>
    <t>Большие события</t>
  </si>
  <si>
    <t>03.09.2026</t>
  </si>
  <si>
    <t>20.08.2026</t>
  </si>
  <si>
    <t>Адебайо Айобами</t>
  </si>
  <si>
    <t>[СТРОКИ] Мгновение хорошего</t>
  </si>
  <si>
    <t>Строки</t>
  </si>
  <si>
    <t>SFS2604107-P</t>
  </si>
  <si>
    <t>978-5-00216-573-5</t>
  </si>
  <si>
    <t>Ельшевская Галина</t>
  </si>
  <si>
    <t>Настоящий Репин. Парадоксы Серова</t>
  </si>
  <si>
    <t>NNN2605105-P</t>
  </si>
  <si>
    <t>978-5-00272-051-4</t>
  </si>
  <si>
    <t>70x90/32</t>
  </si>
  <si>
    <t>Книжная серия Arzamas</t>
  </si>
  <si>
    <t>Ками Хорди, Мартинес Луис</t>
  </si>
  <si>
    <t>Фокусы мозга: Как нейронаука объясняет иллюзии восприятия</t>
  </si>
  <si>
    <t>NNN2412120-P</t>
  </si>
  <si>
    <t>978-5-00223-537-7</t>
  </si>
  <si>
    <t>Голдсмит Эми</t>
  </si>
  <si>
    <t>Хищные создания</t>
  </si>
  <si>
    <t>AWW2601251-P</t>
  </si>
  <si>
    <t>978-5-0063-1868-7</t>
  </si>
  <si>
    <t>СНОВА В ПРОДАЖЕ Сентябрь 2026</t>
  </si>
  <si>
    <t>Халилов Дамир</t>
  </si>
  <si>
    <t>Орлин Бен</t>
  </si>
  <si>
    <t>Грин Роберт</t>
  </si>
  <si>
    <t>Законы человеческой природы</t>
  </si>
  <si>
    <t>AAA2607544-P</t>
  </si>
  <si>
    <t>978-5-9614-4015-7</t>
  </si>
  <si>
    <t>Разакова Варвара</t>
  </si>
  <si>
    <t>Зимняя азбука: Найди и покажи. Виммельбух для самых маленьких</t>
  </si>
  <si>
    <t>ADK2606391-P</t>
  </si>
  <si>
    <t>978-5-9614-9508-9</t>
  </si>
  <si>
    <t>26.08.2026</t>
  </si>
  <si>
    <t>27249</t>
  </si>
  <si>
    <t>Бёме Юлия, Альбрехт Хердис</t>
  </si>
  <si>
    <t>[Детские детективы, Лучший друг — Конни] [покет] Конни и спасение диких лошадей</t>
  </si>
  <si>
    <t>ADH2607506-P</t>
  </si>
  <si>
    <t>978-5-00283-434-1</t>
  </si>
  <si>
    <t>Зверева Нина</t>
  </si>
  <si>
    <t>Котлер Филип</t>
  </si>
  <si>
    <t>Маркетинг от А до Я: 80 концепций, которые должен знать каждый менеджер</t>
  </si>
  <si>
    <t>AAA2607545-P</t>
  </si>
  <si>
    <t>978-5-9614-6745-1</t>
  </si>
  <si>
    <t>Хопкинс Энтони</t>
  </si>
  <si>
    <t>Мы справились, парень: Мемуары</t>
  </si>
  <si>
    <t>AAA2608043-P</t>
  </si>
  <si>
    <t>978-5-0063-1822-9</t>
  </si>
  <si>
    <t>Рупасова Маша</t>
  </si>
  <si>
    <t>Аткинсон Мэрилин, Стефани Питер</t>
  </si>
  <si>
    <t>Четыре типа мышления: Практика трансформации личности (Книга II)</t>
  </si>
  <si>
    <t>AAA2608706-P</t>
  </si>
  <si>
    <t>978-5-9614-7553-1</t>
  </si>
  <si>
    <t>Якоб - лучший друг Конни</t>
  </si>
  <si>
    <t>Фишер Татьяна</t>
  </si>
  <si>
    <t>Быть, а не стыдиться: Если стыд управляет вашей жизнью...</t>
  </si>
  <si>
    <t>AAA2608044-P</t>
  </si>
  <si>
    <t>978-5-0063-0425-3</t>
  </si>
  <si>
    <t>Общение с пожилыми родителями: Как сохранить любовь и терпение</t>
  </si>
  <si>
    <t>AAA2608711-P</t>
  </si>
  <si>
    <t>978-5-9614-8244-7</t>
  </si>
  <si>
    <t>Матвеев Станислав</t>
  </si>
  <si>
    <t>Феноменальная память: Методы запоминания информации</t>
  </si>
  <si>
    <t>AAA2608712-P</t>
  </si>
  <si>
    <t>978-5-9614-7009-3</t>
  </si>
  <si>
    <t>Карлинг Катя</t>
  </si>
  <si>
    <t>Математика для тех, кто боится математики: Еще одна книга с дурацкими рисунками</t>
  </si>
  <si>
    <t>NNN2607351-P</t>
  </si>
  <si>
    <t>978-5-00223-331-1</t>
  </si>
  <si>
    <t>Фицпатрик Шейла</t>
  </si>
  <si>
    <t>Смерть Сталина</t>
  </si>
  <si>
    <t>NNN2607593-P</t>
  </si>
  <si>
    <t>978-5-00223-831-6</t>
  </si>
  <si>
    <t>Тендрякова Мария</t>
  </si>
  <si>
    <t>Многообразие типичного: Очерки по культурно-исторической психологии народов</t>
  </si>
  <si>
    <t>AAA2608708-P</t>
  </si>
  <si>
    <t>978-5-0063-1947-9</t>
  </si>
  <si>
    <t>Скандинавский дизайн: Как сделать дом уютным</t>
  </si>
  <si>
    <t>AAA2607551-P</t>
  </si>
  <si>
    <t>978-5-9614-9027-5</t>
  </si>
  <si>
    <t>Метод скользкой горки: Сторителлинг для Reels, Stories, TikTok-роликов и других форматов социальных сетей</t>
  </si>
  <si>
    <t>AAA2608713-P</t>
  </si>
  <si>
    <t>978-5-9614-4271-7</t>
  </si>
  <si>
    <t>Шиффман Стивен</t>
  </si>
  <si>
    <t>Техники холодных звонков: То, что реально работает</t>
  </si>
  <si>
    <t>AAA2608709-P</t>
  </si>
  <si>
    <t>978-5-9614-9921-6</t>
  </si>
  <si>
    <t>Ди Франча Марозелла , Мастрочинкве Даниэла</t>
  </si>
  <si>
    <t>Женщина, которая жила у моря</t>
  </si>
  <si>
    <t>ABB2608040-P</t>
  </si>
  <si>
    <t>978-5-9614-8693-3</t>
  </si>
  <si>
    <t>Тара Джейн</t>
  </si>
  <si>
    <t>Тильда здесь</t>
  </si>
  <si>
    <t>ABB2608041-P</t>
  </si>
  <si>
    <t>978-5-0063-0825-1</t>
  </si>
  <si>
    <t>Гримм Сандра</t>
  </si>
  <si>
    <t>Конни и незнакомец</t>
  </si>
  <si>
    <t>ADK2608032-P</t>
  </si>
  <si>
    <t>978-5-9614-8924-8</t>
  </si>
  <si>
    <t>Конни помогает маме</t>
  </si>
  <si>
    <t>ADK2608033-P</t>
  </si>
  <si>
    <t>978-5-9614-9466-2</t>
  </si>
  <si>
    <t>Конни читает</t>
  </si>
  <si>
    <t>ADH2608031-P</t>
  </si>
  <si>
    <t>978-5-0063-0235-8</t>
  </si>
  <si>
    <t>[Якоб — лучший друг Конни] Якоб учится общаться. 10 историй в одной книге</t>
  </si>
  <si>
    <t>ADK2607517-P</t>
  </si>
  <si>
    <t>978-5-0063-0084-2</t>
  </si>
  <si>
    <t>Чудесные превращения Марьи Петровны Уткиной</t>
  </si>
  <si>
    <t>ADK2607516-P</t>
  </si>
  <si>
    <t>978-5-9614-9430-3</t>
  </si>
  <si>
    <t>Орлова Ольга, Лаврова Дарья</t>
  </si>
  <si>
    <t>Пожарный. Кем я стану, когда вырасту?</t>
  </si>
  <si>
    <t>ADK2607504-P</t>
  </si>
  <si>
    <t>978-5-0063-0171-9</t>
  </si>
  <si>
    <t>Кем я стану, когда вырасту?</t>
  </si>
  <si>
    <t>Вола Ноэми</t>
  </si>
  <si>
    <t>Если плакать как фонтан</t>
  </si>
  <si>
    <t>ADK2608028-P</t>
  </si>
  <si>
    <t>978-5-9614-9286-6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</si>
</sst>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Arial"/>
      <family val="2"/>
      <charset val="204"/>
    </font>
    <font>
      <b/>
      <sz val="11"/>
      <name val="Arial"/>
      <family val="2"/>
    </font>
    <font>
      <u/>
      <sz val="8"/>
      <color theme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  <bgColor auto="1"/>
      </patternFill>
    </fill>
    <fill>
      <patternFill patternType="solid">
        <fgColor rgb="FFFFA500"/>
        <bgColor auto="1"/>
      </patternFill>
    </fill>
    <fill>
      <patternFill patternType="solid">
        <fgColor rgb="FF3AAF75"/>
        <bgColor auto="1"/>
      </patternFill>
    </fill>
  </fills>
  <borders count="3">
    <border>
      <left/>
      <right/>
      <top/>
      <bottom/>
      <diagonal/>
    </border>
    <border>
      <left style="thin">
        <color rgb="FF5E5E5E"/>
      </left>
      <right style="thin">
        <color rgb="FF5E5E5E"/>
      </right>
      <top style="thin">
        <color rgb="FF5E5E5E"/>
      </top>
      <bottom style="thin">
        <color rgb="FF5E5E5E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right" vertical="top" wrapText="1"/>
    </xf>
    <xf numFmtId="3" fontId="0" fillId="0" borderId="2" xfId="0" applyNumberFormat="1" applyFill="1" applyBorder="1" applyAlignment="1">
      <alignment horizontal="right" vertical="top" wrapText="1"/>
    </xf>
    <xf numFmtId="1" fontId="0" fillId="0" borderId="2" xfId="0" applyNumberFormat="1" applyFill="1" applyBorder="1" applyAlignment="1">
      <alignment horizontal="right" vertical="top" wrapText="1"/>
    </xf>
    <xf numFmtId="0" fontId="0" fillId="0" borderId="2" xfId="0" applyFill="1" applyBorder="1" applyAlignment="1">
      <alignment horizontal="left" vertical="top" wrapText="1"/>
    </xf>
    <xf numFmtId="2" fontId="0" fillId="0" borderId="2" xfId="0" applyNumberFormat="1" applyFill="1" applyBorder="1" applyAlignment="1">
      <alignment horizontal="right" vertical="top" wrapText="1"/>
    </xf>
    <xf numFmtId="0" fontId="3" fillId="0" borderId="2" xfId="1" applyFill="1" applyBorder="1" applyAlignment="1">
      <alignment horizontal="left" vertical="top" wrapText="1"/>
    </xf>
    <xf numFmtId="0" fontId="0" fillId="0" borderId="0" xfId="0" applyFill="1" applyAlignment="1">
      <alignment horizontal="left"/>
    </xf>
    <xf numFmtId="0" fontId="0" fillId="0" borderId="0" xfId="0" applyFill="1"/>
    <xf numFmtId="0" fontId="2" fillId="3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W43"/>
  <sheetViews>
    <sheetView tabSelected="1" zoomScale="80" zoomScaleNormal="80" workbookViewId="0">
      <selection activeCell="G1" sqref="G1"/>
    </sheetView>
  </sheetViews>
  <sheetFormatPr defaultColWidth="10.5" defaultRowHeight="11.45" customHeight="1" x14ac:dyDescent="0.2"/>
  <cols>
    <col min="1" max="1" width="10.33203125" style="1" customWidth="1"/>
    <col min="2" max="3" width="10.5" style="1" customWidth="1"/>
    <col min="4" max="5" width="7.83203125" style="1" customWidth="1"/>
    <col min="6" max="6" width="12.6640625" style="1" customWidth="1"/>
    <col min="7" max="7" width="52.83203125" style="1" customWidth="1"/>
    <col min="8" max="8" width="13.5" style="1" customWidth="1"/>
    <col min="9" max="10" width="10.5" style="1" customWidth="1"/>
    <col min="11" max="11" width="14.6640625" style="1" hidden="1" customWidth="1"/>
    <col min="12" max="12" width="14.5" style="1" customWidth="1"/>
    <col min="13" max="13" width="17.1640625" style="1" customWidth="1"/>
    <col min="14" max="14" width="5.5" style="1" customWidth="1"/>
    <col min="15" max="15" width="5" style="1" customWidth="1"/>
    <col min="16" max="16" width="8.1640625" style="1" customWidth="1"/>
    <col min="17" max="17" width="8" style="1" customWidth="1"/>
    <col min="18" max="18" width="4.1640625" style="1" customWidth="1"/>
    <col min="19" max="19" width="10.5" style="1" customWidth="1"/>
    <col min="20" max="20" width="19" style="1" customWidth="1"/>
    <col min="21" max="21" width="6.83203125" style="1" customWidth="1"/>
    <col min="22" max="22" width="13.1640625" style="1" customWidth="1"/>
    <col min="23" max="24" width="5.6640625" style="1" customWidth="1"/>
    <col min="25" max="25" width="25.83203125" style="1" customWidth="1"/>
    <col min="26" max="26" width="12.6640625" style="1" customWidth="1"/>
    <col min="27" max="30" width="10.5" style="1" hidden="1" customWidth="1"/>
    <col min="31" max="31" width="10.1640625" style="1" hidden="1" customWidth="1"/>
    <col min="32" max="49" width="0" hidden="1" customWidth="1"/>
  </cols>
  <sheetData>
    <row r="1" spans="1:49" ht="66.95" customHeight="1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E1" s="3"/>
    </row>
    <row r="2" spans="1:49" ht="15" customHeight="1" x14ac:dyDescent="0.2">
      <c r="A2" s="14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4"/>
    </row>
    <row r="3" spans="1:49" s="12" customFormat="1" ht="24.95" customHeight="1" x14ac:dyDescent="0.2">
      <c r="A3" s="6"/>
      <c r="B3" s="7">
        <v>1090</v>
      </c>
      <c r="C3" s="7">
        <v>1472</v>
      </c>
      <c r="D3" s="8">
        <v>33152</v>
      </c>
      <c r="E3" s="9"/>
      <c r="F3" s="9" t="s">
        <v>32</v>
      </c>
      <c r="G3" s="9" t="s">
        <v>33</v>
      </c>
      <c r="H3" s="9" t="s">
        <v>34</v>
      </c>
      <c r="I3" s="9"/>
      <c r="J3" s="8">
        <v>2026</v>
      </c>
      <c r="K3" s="9" t="s">
        <v>35</v>
      </c>
      <c r="L3" s="8">
        <v>9785206004571</v>
      </c>
      <c r="M3" s="9" t="s">
        <v>36</v>
      </c>
      <c r="N3" s="8">
        <v>280</v>
      </c>
      <c r="O3" s="10">
        <v>0.38</v>
      </c>
      <c r="P3" s="8">
        <v>150</v>
      </c>
      <c r="Q3" s="8">
        <v>210</v>
      </c>
      <c r="R3" s="8">
        <v>12</v>
      </c>
      <c r="S3" s="9" t="s">
        <v>37</v>
      </c>
      <c r="T3" s="9" t="s">
        <v>38</v>
      </c>
      <c r="U3" s="7">
        <v>2000</v>
      </c>
      <c r="V3" s="9" t="s">
        <v>30</v>
      </c>
      <c r="W3" s="9" t="s">
        <v>39</v>
      </c>
      <c r="X3" s="8">
        <v>10</v>
      </c>
      <c r="Y3" s="11" t="str">
        <f>HYPERLINK("https://api-enni.alpina.ru/FilePrivilegesApproval/1240","https://api-enni.alpina.ru/FilePrivilegesApproval/1240")</f>
        <v>https://api-enni.alpina.ru/FilePrivilegesApproval/1240</v>
      </c>
      <c r="Z3" s="9" t="s">
        <v>40</v>
      </c>
      <c r="AS3" s="12">
        <f t="shared" ref="AS3:AS8" si="0">IF($A3&lt;&gt;0,1,0)</f>
        <v>0</v>
      </c>
      <c r="AT3" s="12">
        <f t="shared" ref="AT3:AT8" si="1">$A3*$B3</f>
        <v>0</v>
      </c>
      <c r="AU3" s="12">
        <f t="shared" ref="AU3:AU8" si="2">$A3*$O3</f>
        <v>0</v>
      </c>
      <c r="AV3" s="12">
        <f t="shared" ref="AV3:AV8" si="3">IF($R3=0,0,INT($A3/$R3))</f>
        <v>0</v>
      </c>
      <c r="AW3" s="12">
        <f>$A3-$AV3*$R3</f>
        <v>0</v>
      </c>
    </row>
    <row r="4" spans="1:49" s="12" customFormat="1" ht="24.95" customHeight="1" x14ac:dyDescent="0.2">
      <c r="A4" s="6"/>
      <c r="B4" s="8">
        <v>890</v>
      </c>
      <c r="C4" s="7">
        <v>1246</v>
      </c>
      <c r="D4" s="8">
        <v>35086</v>
      </c>
      <c r="E4" s="9"/>
      <c r="F4" s="9" t="s">
        <v>51</v>
      </c>
      <c r="G4" s="9" t="s">
        <v>52</v>
      </c>
      <c r="H4" s="9" t="s">
        <v>28</v>
      </c>
      <c r="I4" s="9" t="s">
        <v>48</v>
      </c>
      <c r="J4" s="8">
        <v>2026</v>
      </c>
      <c r="K4" s="9" t="s">
        <v>53</v>
      </c>
      <c r="L4" s="8">
        <v>9785002832460</v>
      </c>
      <c r="M4" s="9" t="s">
        <v>54</v>
      </c>
      <c r="N4" s="8">
        <v>88</v>
      </c>
      <c r="O4" s="10">
        <v>0.51</v>
      </c>
      <c r="P4" s="8">
        <v>220</v>
      </c>
      <c r="Q4" s="8">
        <v>290</v>
      </c>
      <c r="R4" s="8">
        <v>14</v>
      </c>
      <c r="S4" s="9" t="s">
        <v>29</v>
      </c>
      <c r="T4" s="9"/>
      <c r="U4" s="7">
        <v>2000</v>
      </c>
      <c r="V4" s="9" t="s">
        <v>41</v>
      </c>
      <c r="W4" s="9" t="s">
        <v>46</v>
      </c>
      <c r="X4" s="8">
        <v>10</v>
      </c>
      <c r="Y4" s="11" t="str">
        <f>HYPERLINK("","")</f>
        <v/>
      </c>
      <c r="Z4" s="9" t="s">
        <v>55</v>
      </c>
      <c r="AS4" s="12">
        <f t="shared" si="0"/>
        <v>0</v>
      </c>
      <c r="AT4" s="12">
        <f t="shared" si="1"/>
        <v>0</v>
      </c>
      <c r="AU4" s="12">
        <f t="shared" si="2"/>
        <v>0</v>
      </c>
      <c r="AV4" s="12">
        <f t="shared" si="3"/>
        <v>0</v>
      </c>
      <c r="AW4" s="12">
        <f>$A4-$AV4*$R4</f>
        <v>0</v>
      </c>
    </row>
    <row r="5" spans="1:49" s="12" customFormat="1" ht="24.95" customHeight="1" x14ac:dyDescent="0.2">
      <c r="A5" s="6"/>
      <c r="B5" s="8">
        <v>940</v>
      </c>
      <c r="C5" s="7">
        <v>1386</v>
      </c>
      <c r="D5" s="8">
        <v>37005</v>
      </c>
      <c r="E5" s="9"/>
      <c r="F5" s="9" t="s">
        <v>56</v>
      </c>
      <c r="G5" s="9" t="s">
        <v>57</v>
      </c>
      <c r="H5" s="9" t="s">
        <v>34</v>
      </c>
      <c r="I5" s="9"/>
      <c r="J5" s="8">
        <v>2026</v>
      </c>
      <c r="K5" s="9" t="s">
        <v>58</v>
      </c>
      <c r="L5" s="8">
        <v>9785002060191</v>
      </c>
      <c r="M5" s="9" t="s">
        <v>59</v>
      </c>
      <c r="N5" s="8">
        <v>352</v>
      </c>
      <c r="O5" s="10">
        <v>0.52</v>
      </c>
      <c r="P5" s="8">
        <v>140</v>
      </c>
      <c r="Q5" s="8">
        <v>210</v>
      </c>
      <c r="R5" s="8">
        <v>6</v>
      </c>
      <c r="S5" s="9" t="s">
        <v>37</v>
      </c>
      <c r="T5" s="9"/>
      <c r="U5" s="7">
        <v>1000</v>
      </c>
      <c r="V5" s="9" t="s">
        <v>41</v>
      </c>
      <c r="W5" s="9" t="s">
        <v>49</v>
      </c>
      <c r="X5" s="8">
        <v>10</v>
      </c>
      <c r="Y5" s="11" t="str">
        <f>HYPERLINK("https://api-enni.alpina.ru/FilePrivilegesApproval/1240","https://api-enni.alpina.ru/FilePrivilegesApproval/1240")</f>
        <v>https://api-enni.alpina.ru/FilePrivilegesApproval/1240</v>
      </c>
      <c r="Z5" s="9"/>
      <c r="AS5" s="12">
        <f t="shared" si="0"/>
        <v>0</v>
      </c>
      <c r="AT5" s="12">
        <f t="shared" si="1"/>
        <v>0</v>
      </c>
      <c r="AU5" s="12">
        <f t="shared" si="2"/>
        <v>0</v>
      </c>
      <c r="AV5" s="12">
        <f t="shared" si="3"/>
        <v>0</v>
      </c>
      <c r="AW5" s="12">
        <f>$A5-$AV5*$R5</f>
        <v>0</v>
      </c>
    </row>
    <row r="6" spans="1:49" s="12" customFormat="1" ht="21.95" customHeight="1" x14ac:dyDescent="0.2">
      <c r="A6" s="6"/>
      <c r="B6" s="8">
        <v>690</v>
      </c>
      <c r="C6" s="7">
        <v>1035</v>
      </c>
      <c r="D6" s="8">
        <v>36509</v>
      </c>
      <c r="E6" s="9"/>
      <c r="F6" s="9" t="s">
        <v>66</v>
      </c>
      <c r="G6" s="9" t="s">
        <v>67</v>
      </c>
      <c r="H6" s="9" t="s">
        <v>28</v>
      </c>
      <c r="I6" s="9" t="s">
        <v>43</v>
      </c>
      <c r="J6" s="8">
        <v>2026</v>
      </c>
      <c r="K6" s="9" t="s">
        <v>68</v>
      </c>
      <c r="L6" s="8">
        <v>9785002833221</v>
      </c>
      <c r="M6" s="9" t="s">
        <v>69</v>
      </c>
      <c r="N6" s="8">
        <v>80</v>
      </c>
      <c r="O6" s="10">
        <v>0.46</v>
      </c>
      <c r="P6" s="8">
        <v>200</v>
      </c>
      <c r="Q6" s="8">
        <v>290</v>
      </c>
      <c r="R6" s="8">
        <v>12</v>
      </c>
      <c r="S6" s="9" t="s">
        <v>29</v>
      </c>
      <c r="T6" s="9" t="s">
        <v>70</v>
      </c>
      <c r="U6" s="7">
        <v>3000</v>
      </c>
      <c r="V6" s="9" t="s">
        <v>41</v>
      </c>
      <c r="W6" s="9" t="s">
        <v>31</v>
      </c>
      <c r="X6" s="8">
        <v>10</v>
      </c>
      <c r="Y6" s="11" t="str">
        <f t="shared" ref="Y6:Y8" si="4">HYPERLINK("","")</f>
        <v/>
      </c>
      <c r="Z6" s="9" t="s">
        <v>55</v>
      </c>
      <c r="AS6" s="12">
        <f t="shared" si="0"/>
        <v>0</v>
      </c>
      <c r="AT6" s="12">
        <f t="shared" si="1"/>
        <v>0</v>
      </c>
      <c r="AU6" s="12">
        <f t="shared" si="2"/>
        <v>0</v>
      </c>
      <c r="AV6" s="12">
        <f t="shared" si="3"/>
        <v>0</v>
      </c>
      <c r="AW6" s="12">
        <f>$A6-$AV6*$R6</f>
        <v>0</v>
      </c>
    </row>
    <row r="7" spans="1:49" s="12" customFormat="1" ht="21.95" customHeight="1" x14ac:dyDescent="0.2">
      <c r="A7" s="6"/>
      <c r="B7" s="8">
        <v>485</v>
      </c>
      <c r="C7" s="8">
        <v>752</v>
      </c>
      <c r="D7" s="8">
        <v>34664</v>
      </c>
      <c r="E7" s="9"/>
      <c r="F7" s="9" t="s">
        <v>71</v>
      </c>
      <c r="G7" s="9" t="s">
        <v>72</v>
      </c>
      <c r="H7" s="9" t="s">
        <v>28</v>
      </c>
      <c r="I7" s="9"/>
      <c r="J7" s="8">
        <v>2026</v>
      </c>
      <c r="K7" s="9" t="s">
        <v>73</v>
      </c>
      <c r="L7" s="8">
        <v>9785002831340</v>
      </c>
      <c r="M7" s="9" t="s">
        <v>74</v>
      </c>
      <c r="N7" s="8">
        <v>128</v>
      </c>
      <c r="O7" s="10">
        <v>0.28999999999999998</v>
      </c>
      <c r="P7" s="8">
        <v>150</v>
      </c>
      <c r="Q7" s="8">
        <v>210</v>
      </c>
      <c r="R7" s="8">
        <v>16</v>
      </c>
      <c r="S7" s="9" t="s">
        <v>37</v>
      </c>
      <c r="T7" s="9" t="s">
        <v>75</v>
      </c>
      <c r="U7" s="7">
        <v>3000</v>
      </c>
      <c r="V7" s="9" t="s">
        <v>41</v>
      </c>
      <c r="W7" s="9" t="s">
        <v>42</v>
      </c>
      <c r="X7" s="8">
        <v>10</v>
      </c>
      <c r="Y7" s="11" t="str">
        <f t="shared" si="4"/>
        <v/>
      </c>
      <c r="Z7" s="9" t="s">
        <v>65</v>
      </c>
      <c r="AS7" s="12">
        <f t="shared" si="0"/>
        <v>0</v>
      </c>
      <c r="AT7" s="12">
        <f t="shared" si="1"/>
        <v>0</v>
      </c>
      <c r="AU7" s="12">
        <f t="shared" si="2"/>
        <v>0</v>
      </c>
      <c r="AV7" s="12">
        <f t="shared" si="3"/>
        <v>0</v>
      </c>
      <c r="AW7" s="12">
        <f>$A7-$AV7*$R7</f>
        <v>0</v>
      </c>
    </row>
    <row r="8" spans="1:49" s="12" customFormat="1" ht="21.95" customHeight="1" x14ac:dyDescent="0.2">
      <c r="A8" s="6"/>
      <c r="B8" s="8">
        <v>590</v>
      </c>
      <c r="C8" s="8">
        <v>885</v>
      </c>
      <c r="D8" s="8">
        <v>34889</v>
      </c>
      <c r="E8" s="9"/>
      <c r="F8" s="9" t="s">
        <v>76</v>
      </c>
      <c r="G8" s="9" t="s">
        <v>77</v>
      </c>
      <c r="H8" s="9" t="s">
        <v>50</v>
      </c>
      <c r="I8" s="9" t="s">
        <v>48</v>
      </c>
      <c r="J8" s="8">
        <v>2026</v>
      </c>
      <c r="K8" s="9" t="s">
        <v>78</v>
      </c>
      <c r="L8" s="8">
        <v>9785006309401</v>
      </c>
      <c r="M8" s="9" t="s">
        <v>79</v>
      </c>
      <c r="N8" s="8">
        <v>222</v>
      </c>
      <c r="O8" s="10">
        <v>0.37</v>
      </c>
      <c r="P8" s="8">
        <v>140</v>
      </c>
      <c r="Q8" s="8">
        <v>210</v>
      </c>
      <c r="R8" s="8">
        <v>16</v>
      </c>
      <c r="S8" s="9" t="s">
        <v>37</v>
      </c>
      <c r="T8" s="9"/>
      <c r="U8" s="7">
        <v>2000</v>
      </c>
      <c r="V8" s="9" t="s">
        <v>41</v>
      </c>
      <c r="W8" s="9" t="s">
        <v>49</v>
      </c>
      <c r="X8" s="8">
        <v>22</v>
      </c>
      <c r="Y8" s="11" t="str">
        <f t="shared" si="4"/>
        <v/>
      </c>
      <c r="Z8" s="9" t="s">
        <v>80</v>
      </c>
      <c r="AS8" s="12">
        <f t="shared" si="0"/>
        <v>0</v>
      </c>
      <c r="AT8" s="12">
        <f t="shared" si="1"/>
        <v>0</v>
      </c>
      <c r="AU8" s="12">
        <f t="shared" si="2"/>
        <v>0</v>
      </c>
      <c r="AV8" s="12">
        <f t="shared" si="3"/>
        <v>0</v>
      </c>
      <c r="AW8" s="12">
        <f>$A8-$AV8*$R8</f>
        <v>0</v>
      </c>
    </row>
    <row r="9" spans="1:49" s="12" customFormat="1" ht="21.95" customHeight="1" x14ac:dyDescent="0.2">
      <c r="A9" s="6"/>
      <c r="B9" s="8">
        <v>220</v>
      </c>
      <c r="C9" s="8">
        <v>352</v>
      </c>
      <c r="D9" s="8">
        <v>37579</v>
      </c>
      <c r="E9" s="9"/>
      <c r="F9" s="9" t="s">
        <v>27</v>
      </c>
      <c r="G9" s="9" t="s">
        <v>98</v>
      </c>
      <c r="H9" s="9" t="s">
        <v>28</v>
      </c>
      <c r="I9" s="9"/>
      <c r="J9" s="8">
        <v>2026</v>
      </c>
      <c r="K9" s="9" t="s">
        <v>99</v>
      </c>
      <c r="L9" s="8">
        <v>9785002830671</v>
      </c>
      <c r="M9" s="9" t="s">
        <v>100</v>
      </c>
      <c r="N9" s="8">
        <v>1</v>
      </c>
      <c r="O9" s="10">
        <v>0.06</v>
      </c>
      <c r="P9" s="8">
        <v>280</v>
      </c>
      <c r="Q9" s="8">
        <v>200</v>
      </c>
      <c r="R9" s="8">
        <v>60</v>
      </c>
      <c r="S9" s="9" t="s">
        <v>29</v>
      </c>
      <c r="T9" s="9"/>
      <c r="U9" s="7">
        <v>3000</v>
      </c>
      <c r="V9" s="9" t="s">
        <v>30</v>
      </c>
      <c r="W9" s="9" t="s">
        <v>31</v>
      </c>
      <c r="X9" s="8">
        <v>22</v>
      </c>
      <c r="Y9" s="11" t="str">
        <f>HYPERLINK("","")</f>
        <v/>
      </c>
      <c r="Z9" s="9" t="s">
        <v>65</v>
      </c>
      <c r="AS9" s="12">
        <f t="shared" ref="AS9:AS12" si="5">IF($A9&lt;&gt;0,1,0)</f>
        <v>0</v>
      </c>
      <c r="AT9" s="12">
        <f t="shared" ref="AT9:AT12" si="6">$A9*$B9</f>
        <v>0</v>
      </c>
      <c r="AU9" s="12">
        <f t="shared" ref="AU9:AU12" si="7">$A9*$O9</f>
        <v>0</v>
      </c>
      <c r="AV9" s="12">
        <f t="shared" ref="AV9:AV12" si="8">IF($R9=0,0,INT($A9/$R9))</f>
        <v>0</v>
      </c>
      <c r="AW9" s="12">
        <f>$A9-$AV9*$R9</f>
        <v>0</v>
      </c>
    </row>
    <row r="10" spans="1:49" s="12" customFormat="1" ht="24.95" customHeight="1" x14ac:dyDescent="0.2">
      <c r="A10" s="6"/>
      <c r="B10" s="8">
        <v>650</v>
      </c>
      <c r="C10" s="8">
        <v>975</v>
      </c>
      <c r="D10" s="8">
        <v>36107</v>
      </c>
      <c r="E10" s="9"/>
      <c r="F10" s="9" t="s">
        <v>101</v>
      </c>
      <c r="G10" s="9" t="s">
        <v>102</v>
      </c>
      <c r="H10" s="9" t="s">
        <v>82</v>
      </c>
      <c r="I10" s="9" t="s">
        <v>48</v>
      </c>
      <c r="J10" s="8">
        <v>2026</v>
      </c>
      <c r="K10" s="9" t="s">
        <v>103</v>
      </c>
      <c r="L10" s="8">
        <v>9785002238354</v>
      </c>
      <c r="M10" s="9" t="s">
        <v>104</v>
      </c>
      <c r="N10" s="8">
        <v>224</v>
      </c>
      <c r="O10" s="10">
        <v>0.27</v>
      </c>
      <c r="P10" s="8">
        <v>130</v>
      </c>
      <c r="Q10" s="8">
        <v>210</v>
      </c>
      <c r="R10" s="8">
        <v>16</v>
      </c>
      <c r="S10" s="9" t="s">
        <v>91</v>
      </c>
      <c r="T10" s="9" t="s">
        <v>105</v>
      </c>
      <c r="U10" s="7">
        <v>2500</v>
      </c>
      <c r="V10" s="9" t="s">
        <v>41</v>
      </c>
      <c r="W10" s="9" t="s">
        <v>49</v>
      </c>
      <c r="X10" s="8">
        <v>10</v>
      </c>
      <c r="Y10" s="11" t="str">
        <f>HYPERLINK("https://api-enni.alpina.ru/FilePrivilegesApproval/1252","https://api-enni.alpina.ru/FilePrivilegesApproval/1252")</f>
        <v>https://api-enni.alpina.ru/FilePrivilegesApproval/1252</v>
      </c>
      <c r="Z10" s="9" t="s">
        <v>106</v>
      </c>
      <c r="AS10" s="12">
        <f t="shared" si="5"/>
        <v>0</v>
      </c>
      <c r="AT10" s="12">
        <f t="shared" si="6"/>
        <v>0</v>
      </c>
      <c r="AU10" s="12">
        <f t="shared" si="7"/>
        <v>0</v>
      </c>
      <c r="AV10" s="12">
        <f t="shared" si="8"/>
        <v>0</v>
      </c>
      <c r="AW10" s="12">
        <f>$A10-$AV10*$R10</f>
        <v>0</v>
      </c>
    </row>
    <row r="11" spans="1:49" s="12" customFormat="1" ht="24.95" customHeight="1" x14ac:dyDescent="0.2">
      <c r="A11" s="6"/>
      <c r="B11" s="7">
        <v>1190</v>
      </c>
      <c r="C11" s="7">
        <v>1606</v>
      </c>
      <c r="D11" s="8">
        <v>37678</v>
      </c>
      <c r="E11" s="9"/>
      <c r="F11" s="9" t="s">
        <v>108</v>
      </c>
      <c r="G11" s="9" t="s">
        <v>109</v>
      </c>
      <c r="H11" s="9" t="s">
        <v>110</v>
      </c>
      <c r="I11" s="9" t="s">
        <v>48</v>
      </c>
      <c r="J11" s="8">
        <v>2026</v>
      </c>
      <c r="K11" s="9" t="s">
        <v>111</v>
      </c>
      <c r="L11" s="8">
        <v>9785002165735</v>
      </c>
      <c r="M11" s="9" t="s">
        <v>112</v>
      </c>
      <c r="N11" s="8">
        <v>464</v>
      </c>
      <c r="O11" s="10">
        <v>0.45</v>
      </c>
      <c r="P11" s="8">
        <v>140</v>
      </c>
      <c r="Q11" s="8">
        <v>210</v>
      </c>
      <c r="R11" s="8">
        <v>12</v>
      </c>
      <c r="S11" s="9" t="s">
        <v>91</v>
      </c>
      <c r="T11" s="9"/>
      <c r="U11" s="7">
        <v>2000</v>
      </c>
      <c r="V11" s="9" t="s">
        <v>41</v>
      </c>
      <c r="W11" s="9" t="s">
        <v>49</v>
      </c>
      <c r="X11" s="8">
        <v>10</v>
      </c>
      <c r="Y11" s="11" t="str">
        <f>HYPERLINK("https://api-enni.alpina.ru/FilePrivilegesApproval/1282","https://api-enni.alpina.ru/FilePrivilegesApproval/1282")</f>
        <v>https://api-enni.alpina.ru/FilePrivilegesApproval/1282</v>
      </c>
      <c r="Z11" s="9"/>
      <c r="AS11" s="12">
        <f t="shared" si="5"/>
        <v>0</v>
      </c>
      <c r="AT11" s="12">
        <f t="shared" si="6"/>
        <v>0</v>
      </c>
      <c r="AU11" s="12">
        <f t="shared" si="7"/>
        <v>0</v>
      </c>
      <c r="AV11" s="12">
        <f t="shared" si="8"/>
        <v>0</v>
      </c>
      <c r="AW11" s="12">
        <f>$A11-$AV11*$R11</f>
        <v>0</v>
      </c>
    </row>
    <row r="12" spans="1:49" s="12" customFormat="1" ht="24.95" customHeight="1" x14ac:dyDescent="0.2">
      <c r="A12" s="6"/>
      <c r="B12" s="8">
        <v>650</v>
      </c>
      <c r="C12" s="8">
        <v>975</v>
      </c>
      <c r="D12" s="8">
        <v>37926</v>
      </c>
      <c r="E12" s="9"/>
      <c r="F12" s="9" t="s">
        <v>113</v>
      </c>
      <c r="G12" s="9" t="s">
        <v>114</v>
      </c>
      <c r="H12" s="9" t="s">
        <v>82</v>
      </c>
      <c r="I12" s="9"/>
      <c r="J12" s="8">
        <v>2026</v>
      </c>
      <c r="K12" s="9" t="s">
        <v>115</v>
      </c>
      <c r="L12" s="8">
        <v>9785002720514</v>
      </c>
      <c r="M12" s="9" t="s">
        <v>116</v>
      </c>
      <c r="N12" s="8">
        <v>160</v>
      </c>
      <c r="O12" s="10">
        <v>0.14000000000000001</v>
      </c>
      <c r="P12" s="8">
        <v>110</v>
      </c>
      <c r="Q12" s="8">
        <v>180</v>
      </c>
      <c r="R12" s="8">
        <v>12</v>
      </c>
      <c r="S12" s="9" t="s">
        <v>117</v>
      </c>
      <c r="T12" s="9" t="s">
        <v>118</v>
      </c>
      <c r="U12" s="7">
        <v>2000</v>
      </c>
      <c r="V12" s="9" t="s">
        <v>30</v>
      </c>
      <c r="W12" s="9" t="s">
        <v>49</v>
      </c>
      <c r="X12" s="8">
        <v>10</v>
      </c>
      <c r="Y12" s="11" t="str">
        <f>HYPERLINK("https://api-enni.alpina.ru/FilePrivilegesApproval/1257","https://api-enni.alpina.ru/FilePrivilegesApproval/1257")</f>
        <v>https://api-enni.alpina.ru/FilePrivilegesApproval/1257</v>
      </c>
      <c r="Z12" s="9" t="s">
        <v>80</v>
      </c>
      <c r="AS12" s="12">
        <f t="shared" si="5"/>
        <v>0</v>
      </c>
      <c r="AT12" s="12">
        <f t="shared" si="6"/>
        <v>0</v>
      </c>
      <c r="AU12" s="12">
        <f t="shared" si="7"/>
        <v>0</v>
      </c>
      <c r="AV12" s="12">
        <f t="shared" si="8"/>
        <v>0</v>
      </c>
      <c r="AW12" s="12">
        <f>$A12-$AV12*$R12</f>
        <v>0</v>
      </c>
    </row>
    <row r="13" spans="1:49" s="12" customFormat="1" ht="24.95" customHeight="1" x14ac:dyDescent="0.2">
      <c r="A13" s="6"/>
      <c r="B13" s="8">
        <v>940</v>
      </c>
      <c r="C13" s="7">
        <v>1316</v>
      </c>
      <c r="D13" s="8">
        <v>33101</v>
      </c>
      <c r="E13" s="9"/>
      <c r="F13" s="9" t="s">
        <v>119</v>
      </c>
      <c r="G13" s="9" t="s">
        <v>120</v>
      </c>
      <c r="H13" s="9" t="s">
        <v>82</v>
      </c>
      <c r="I13" s="9" t="s">
        <v>48</v>
      </c>
      <c r="J13" s="8">
        <v>2026</v>
      </c>
      <c r="K13" s="9" t="s">
        <v>121</v>
      </c>
      <c r="L13" s="8">
        <v>9785002235377</v>
      </c>
      <c r="M13" s="9" t="s">
        <v>122</v>
      </c>
      <c r="N13" s="8">
        <v>320</v>
      </c>
      <c r="O13" s="10">
        <v>0.48</v>
      </c>
      <c r="P13" s="8">
        <v>150</v>
      </c>
      <c r="Q13" s="8">
        <v>220</v>
      </c>
      <c r="R13" s="8">
        <v>10</v>
      </c>
      <c r="S13" s="9" t="s">
        <v>37</v>
      </c>
      <c r="T13" s="9"/>
      <c r="U13" s="7">
        <v>1000</v>
      </c>
      <c r="V13" s="9" t="s">
        <v>41</v>
      </c>
      <c r="W13" s="9" t="s">
        <v>49</v>
      </c>
      <c r="X13" s="8">
        <v>10</v>
      </c>
      <c r="Y13" s="11" t="str">
        <f>HYPERLINK("https://api-enni.alpina.ru/FilePrivilegesApproval/1216","https://api-enni.alpina.ru/FilePrivilegesApproval/1216")</f>
        <v>https://api-enni.alpina.ru/FilePrivilegesApproval/1216</v>
      </c>
      <c r="Z13" s="9" t="s">
        <v>80</v>
      </c>
      <c r="AS13" s="12">
        <f t="shared" ref="AS13:AS14" si="9">IF($A13&lt;&gt;0,1,0)</f>
        <v>0</v>
      </c>
      <c r="AT13" s="12">
        <f t="shared" ref="AT13:AT14" si="10">$A13*$B13</f>
        <v>0</v>
      </c>
      <c r="AU13" s="12">
        <f t="shared" ref="AU13:AU14" si="11">$A13*$O13</f>
        <v>0</v>
      </c>
      <c r="AV13" s="12">
        <f t="shared" ref="AV13:AV14" si="12">IF($R13=0,0,INT($A13/$R13))</f>
        <v>0</v>
      </c>
      <c r="AW13" s="12">
        <f>$A13-$AV13*$R13</f>
        <v>0</v>
      </c>
    </row>
    <row r="14" spans="1:49" s="12" customFormat="1" ht="21.95" customHeight="1" x14ac:dyDescent="0.2">
      <c r="A14" s="6"/>
      <c r="B14" s="8">
        <v>700</v>
      </c>
      <c r="C14" s="7">
        <v>1050</v>
      </c>
      <c r="D14" s="8">
        <v>37029</v>
      </c>
      <c r="E14" s="9"/>
      <c r="F14" s="9" t="s">
        <v>123</v>
      </c>
      <c r="G14" s="9" t="s">
        <v>124</v>
      </c>
      <c r="H14" s="9" t="s">
        <v>83</v>
      </c>
      <c r="I14" s="9" t="s">
        <v>48</v>
      </c>
      <c r="J14" s="8">
        <v>2026</v>
      </c>
      <c r="K14" s="9" t="s">
        <v>125</v>
      </c>
      <c r="L14" s="8">
        <v>9785006318687</v>
      </c>
      <c r="M14" s="9" t="s">
        <v>126</v>
      </c>
      <c r="N14" s="8">
        <v>384</v>
      </c>
      <c r="O14" s="10">
        <v>0.37</v>
      </c>
      <c r="P14" s="8">
        <v>140</v>
      </c>
      <c r="Q14" s="8">
        <v>210</v>
      </c>
      <c r="R14" s="8">
        <v>6</v>
      </c>
      <c r="S14" s="9" t="s">
        <v>37</v>
      </c>
      <c r="T14" s="9"/>
      <c r="U14" s="7">
        <v>2000</v>
      </c>
      <c r="V14" s="9" t="s">
        <v>30</v>
      </c>
      <c r="W14" s="9" t="s">
        <v>39</v>
      </c>
      <c r="X14" s="8">
        <v>22</v>
      </c>
      <c r="Y14" s="11" t="str">
        <f>HYPERLINK("","")</f>
        <v/>
      </c>
      <c r="Z14" s="9" t="s">
        <v>106</v>
      </c>
      <c r="AS14" s="12">
        <f t="shared" si="9"/>
        <v>0</v>
      </c>
      <c r="AT14" s="12">
        <f t="shared" si="10"/>
        <v>0</v>
      </c>
      <c r="AU14" s="12">
        <f t="shared" si="11"/>
        <v>0</v>
      </c>
      <c r="AV14" s="12">
        <f t="shared" si="12"/>
        <v>0</v>
      </c>
      <c r="AW14" s="12">
        <f>$A14-$AV14*$R14</f>
        <v>0</v>
      </c>
    </row>
    <row r="15" spans="1:49" s="12" customFormat="1" ht="21.95" customHeight="1" x14ac:dyDescent="0.2">
      <c r="A15" s="6"/>
      <c r="B15" s="8">
        <v>640</v>
      </c>
      <c r="C15" s="8">
        <v>960</v>
      </c>
      <c r="D15" s="8">
        <v>33319</v>
      </c>
      <c r="E15" s="9"/>
      <c r="F15" s="9" t="s">
        <v>159</v>
      </c>
      <c r="G15" s="9" t="s">
        <v>160</v>
      </c>
      <c r="H15" s="9" t="s">
        <v>50</v>
      </c>
      <c r="I15" s="9"/>
      <c r="J15" s="8">
        <v>2026</v>
      </c>
      <c r="K15" s="9" t="s">
        <v>161</v>
      </c>
      <c r="L15" s="8">
        <v>9785006304253</v>
      </c>
      <c r="M15" s="9" t="s">
        <v>162</v>
      </c>
      <c r="N15" s="8">
        <v>242</v>
      </c>
      <c r="O15" s="10">
        <v>0.39</v>
      </c>
      <c r="P15" s="8">
        <v>150</v>
      </c>
      <c r="Q15" s="8">
        <v>220</v>
      </c>
      <c r="R15" s="8">
        <v>14</v>
      </c>
      <c r="S15" s="9" t="s">
        <v>37</v>
      </c>
      <c r="T15" s="9"/>
      <c r="U15" s="7">
        <v>3000</v>
      </c>
      <c r="V15" s="9" t="s">
        <v>41</v>
      </c>
      <c r="W15" s="9" t="s">
        <v>49</v>
      </c>
      <c r="X15" s="8">
        <v>10</v>
      </c>
      <c r="Y15" s="11" t="str">
        <f>HYPERLINK("https://api-enni.alpina.ru/FilePrivilegesApproval/873","https://api-enni.alpina.ru/FilePrivilegesApproval/873")</f>
        <v>https://api-enni.alpina.ru/FilePrivilegesApproval/873</v>
      </c>
      <c r="Z15" s="9" t="s">
        <v>106</v>
      </c>
    </row>
    <row r="16" spans="1:49" ht="15" customHeight="1" x14ac:dyDescent="0.2">
      <c r="A16" s="15" t="s">
        <v>127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5"/>
    </row>
    <row r="17" spans="1:49" s="12" customFormat="1" ht="24.95" customHeight="1" x14ac:dyDescent="0.2">
      <c r="A17" s="6"/>
      <c r="B17" s="8">
        <v>260</v>
      </c>
      <c r="C17" s="8">
        <v>416</v>
      </c>
      <c r="D17" s="8">
        <v>39004</v>
      </c>
      <c r="E17" s="9" t="s">
        <v>139</v>
      </c>
      <c r="F17" s="9" t="s">
        <v>140</v>
      </c>
      <c r="G17" s="9" t="s">
        <v>141</v>
      </c>
      <c r="H17" s="9" t="s">
        <v>28</v>
      </c>
      <c r="I17" s="9" t="s">
        <v>62</v>
      </c>
      <c r="J17" s="8">
        <v>2026</v>
      </c>
      <c r="K17" s="9" t="s">
        <v>142</v>
      </c>
      <c r="L17" s="8">
        <v>9785002834341</v>
      </c>
      <c r="M17" s="9" t="s">
        <v>143</v>
      </c>
      <c r="N17" s="8">
        <v>96</v>
      </c>
      <c r="O17" s="10">
        <v>0.08</v>
      </c>
      <c r="P17" s="8">
        <v>120</v>
      </c>
      <c r="Q17" s="8">
        <v>190</v>
      </c>
      <c r="R17" s="8">
        <v>16</v>
      </c>
      <c r="S17" s="9" t="s">
        <v>91</v>
      </c>
      <c r="T17" s="9" t="s">
        <v>86</v>
      </c>
      <c r="U17" s="7">
        <v>1500</v>
      </c>
      <c r="V17" s="9" t="s">
        <v>30</v>
      </c>
      <c r="W17" s="9" t="s">
        <v>42</v>
      </c>
      <c r="X17" s="8">
        <v>10</v>
      </c>
      <c r="Y17" s="11" t="str">
        <f>HYPERLINK("https://api-enni.alpina.ru/FileCertificateProject/59","https://api-enni.alpina.ru/FileCertificateProject/59")</f>
        <v>https://api-enni.alpina.ru/FileCertificateProject/59</v>
      </c>
      <c r="Z17" s="9" t="s">
        <v>55</v>
      </c>
      <c r="AS17" s="12">
        <f t="shared" ref="AS17" si="13">IF($A17&lt;&gt;0,1,0)</f>
        <v>0</v>
      </c>
      <c r="AT17" s="12">
        <f t="shared" ref="AT17" si="14">$A17*$B17</f>
        <v>0</v>
      </c>
      <c r="AU17" s="12">
        <f t="shared" ref="AU17" si="15">$A17*$O17</f>
        <v>0</v>
      </c>
      <c r="AV17" s="12">
        <f t="shared" ref="AV17" si="16">IF($R17=0,0,INT($A17/$R17))</f>
        <v>0</v>
      </c>
      <c r="AW17" s="12">
        <f>$A17-$AV17*$R17</f>
        <v>0</v>
      </c>
    </row>
    <row r="18" spans="1:49" s="12" customFormat="1" ht="24.95" customHeight="1" x14ac:dyDescent="0.2">
      <c r="A18" s="6"/>
      <c r="B18" s="8">
        <v>750</v>
      </c>
      <c r="C18" s="7">
        <v>1088</v>
      </c>
      <c r="D18" s="8">
        <v>36777</v>
      </c>
      <c r="E18" s="9"/>
      <c r="F18" s="9" t="s">
        <v>149</v>
      </c>
      <c r="G18" s="9" t="s">
        <v>150</v>
      </c>
      <c r="H18" s="9" t="s">
        <v>50</v>
      </c>
      <c r="I18" s="9" t="s">
        <v>48</v>
      </c>
      <c r="J18" s="8">
        <v>2026</v>
      </c>
      <c r="K18" s="9" t="s">
        <v>151</v>
      </c>
      <c r="L18" s="8">
        <v>9785006318229</v>
      </c>
      <c r="M18" s="9" t="s">
        <v>152</v>
      </c>
      <c r="N18" s="8">
        <v>424</v>
      </c>
      <c r="O18" s="10">
        <v>0.61</v>
      </c>
      <c r="P18" s="8">
        <v>150</v>
      </c>
      <c r="Q18" s="8">
        <v>220</v>
      </c>
      <c r="R18" s="8">
        <v>10</v>
      </c>
      <c r="S18" s="9" t="s">
        <v>37</v>
      </c>
      <c r="T18" s="9"/>
      <c r="U18" s="7">
        <v>5000</v>
      </c>
      <c r="V18" s="9" t="s">
        <v>41</v>
      </c>
      <c r="W18" s="9" t="s">
        <v>49</v>
      </c>
      <c r="X18" s="8">
        <v>10</v>
      </c>
      <c r="Y18" s="11" t="str">
        <f>HYPERLINK("https://api-enni.alpina.ru/FilePrivilegesApproval/1229","https://api-enni.alpina.ru/FilePrivilegesApproval/1229")</f>
        <v>https://api-enni.alpina.ru/FilePrivilegesApproval/1229</v>
      </c>
      <c r="Z18" s="9" t="s">
        <v>106</v>
      </c>
      <c r="AS18" s="12">
        <f t="shared" ref="AS18" si="17">IF($A18&lt;&gt;0,1,0)</f>
        <v>0</v>
      </c>
      <c r="AT18" s="12">
        <f t="shared" ref="AT18" si="18">$A18*$B18</f>
        <v>0</v>
      </c>
      <c r="AU18" s="12">
        <f t="shared" ref="AU18" si="19">$A18*$O18</f>
        <v>0</v>
      </c>
      <c r="AV18" s="12">
        <f t="shared" ref="AV18" si="20">IF($R18=0,0,INT($A18/$R18))</f>
        <v>0</v>
      </c>
      <c r="AW18" s="12">
        <f>$A18-$AV18*$R18</f>
        <v>0</v>
      </c>
    </row>
    <row r="19" spans="1:49" s="12" customFormat="1" ht="24.95" customHeight="1" x14ac:dyDescent="0.2">
      <c r="A19" s="6"/>
      <c r="B19" s="8">
        <v>640</v>
      </c>
      <c r="C19" s="8">
        <v>960</v>
      </c>
      <c r="D19" s="8">
        <v>18864</v>
      </c>
      <c r="E19" s="9"/>
      <c r="F19" s="9" t="s">
        <v>154</v>
      </c>
      <c r="G19" s="9" t="s">
        <v>155</v>
      </c>
      <c r="H19" s="9" t="s">
        <v>50</v>
      </c>
      <c r="I19" s="9" t="s">
        <v>48</v>
      </c>
      <c r="J19" s="8">
        <v>2026</v>
      </c>
      <c r="K19" s="9" t="s">
        <v>156</v>
      </c>
      <c r="L19" s="8">
        <v>9785961475531</v>
      </c>
      <c r="M19" s="9" t="s">
        <v>157</v>
      </c>
      <c r="N19" s="8">
        <v>300</v>
      </c>
      <c r="O19" s="10">
        <v>0.46</v>
      </c>
      <c r="P19" s="8">
        <v>150</v>
      </c>
      <c r="Q19" s="8">
        <v>220</v>
      </c>
      <c r="R19" s="8">
        <v>10</v>
      </c>
      <c r="S19" s="9" t="s">
        <v>37</v>
      </c>
      <c r="T19" s="9"/>
      <c r="U19" s="7">
        <v>1000</v>
      </c>
      <c r="V19" s="9" t="s">
        <v>41</v>
      </c>
      <c r="W19" s="9" t="s">
        <v>31</v>
      </c>
      <c r="X19" s="8">
        <v>10</v>
      </c>
      <c r="Y19" s="11" t="str">
        <f>HYPERLINK("https://api-enni.alpina.ru/FilePrivilegesApproval/152","https://api-enni.alpina.ru/FilePrivilegesApproval/152")</f>
        <v>https://api-enni.alpina.ru/FilePrivilegesApproval/152</v>
      </c>
      <c r="Z19" s="9" t="s">
        <v>65</v>
      </c>
      <c r="AS19" s="12">
        <f t="shared" ref="AS19" si="21">IF($A19&lt;&gt;0,1,0)</f>
        <v>0</v>
      </c>
      <c r="AT19" s="12">
        <f t="shared" ref="AT19" si="22">$A19*$B19</f>
        <v>0</v>
      </c>
      <c r="AU19" s="12">
        <f t="shared" ref="AU19" si="23">$A19*$O19</f>
        <v>0</v>
      </c>
      <c r="AV19" s="12">
        <f t="shared" ref="AV19" si="24">IF($R19=0,0,INT($A19/$R19))</f>
        <v>0</v>
      </c>
      <c r="AW19" s="12">
        <f>$A19-$AV19*$R19</f>
        <v>0</v>
      </c>
    </row>
    <row r="20" spans="1:49" s="12" customFormat="1" ht="24.95" customHeight="1" x14ac:dyDescent="0.2">
      <c r="A20" s="6"/>
      <c r="B20" s="8">
        <v>640</v>
      </c>
      <c r="C20" s="8">
        <v>960</v>
      </c>
      <c r="D20" s="8">
        <v>1629</v>
      </c>
      <c r="E20" s="9"/>
      <c r="F20" s="9" t="s">
        <v>145</v>
      </c>
      <c r="G20" s="9" t="s">
        <v>146</v>
      </c>
      <c r="H20" s="9" t="s">
        <v>50</v>
      </c>
      <c r="I20" s="9" t="s">
        <v>48</v>
      </c>
      <c r="J20" s="8">
        <v>2026</v>
      </c>
      <c r="K20" s="9" t="s">
        <v>147</v>
      </c>
      <c r="L20" s="8">
        <v>9785961467451</v>
      </c>
      <c r="M20" s="9" t="s">
        <v>148</v>
      </c>
      <c r="N20" s="8">
        <v>216</v>
      </c>
      <c r="O20" s="10">
        <v>0.36</v>
      </c>
      <c r="P20" s="8">
        <v>146</v>
      </c>
      <c r="Q20" s="8">
        <v>216</v>
      </c>
      <c r="R20" s="8">
        <v>16</v>
      </c>
      <c r="S20" s="9" t="s">
        <v>37</v>
      </c>
      <c r="T20" s="9"/>
      <c r="U20" s="7">
        <v>7000</v>
      </c>
      <c r="V20" s="9" t="s">
        <v>41</v>
      </c>
      <c r="W20" s="9" t="s">
        <v>31</v>
      </c>
      <c r="X20" s="8">
        <v>10</v>
      </c>
      <c r="Y20" s="11" t="str">
        <f>HYPERLINK("https://api-enni.alpina.ru/FilePrivilegesApproval/2","https://api-enni.alpina.ru/FilePrivilegesApproval/2")</f>
        <v>https://api-enni.alpina.ru/FilePrivilegesApproval/2</v>
      </c>
      <c r="Z20" s="9" t="s">
        <v>80</v>
      </c>
      <c r="AS20" s="12">
        <f t="shared" ref="AS20" si="25">IF($A20&lt;&gt;0,1,0)</f>
        <v>0</v>
      </c>
      <c r="AT20" s="12">
        <f t="shared" ref="AT20" si="26">$A20*$B20</f>
        <v>0</v>
      </c>
      <c r="AU20" s="12">
        <f t="shared" ref="AU20" si="27">$A20*$O20</f>
        <v>0</v>
      </c>
      <c r="AV20" s="12">
        <f t="shared" ref="AV20" si="28">IF($R20=0,0,INT($A20/$R20))</f>
        <v>0</v>
      </c>
      <c r="AW20" s="12">
        <f>$A20-$AV20*$R20</f>
        <v>0</v>
      </c>
    </row>
    <row r="21" spans="1:49" s="12" customFormat="1" ht="24.95" customHeight="1" x14ac:dyDescent="0.2">
      <c r="A21" s="6"/>
      <c r="B21" s="7">
        <v>1290</v>
      </c>
      <c r="C21" s="7">
        <v>1742</v>
      </c>
      <c r="D21" s="8">
        <v>17911</v>
      </c>
      <c r="E21" s="9"/>
      <c r="F21" s="9" t="s">
        <v>130</v>
      </c>
      <c r="G21" s="9" t="s">
        <v>131</v>
      </c>
      <c r="H21" s="9" t="s">
        <v>50</v>
      </c>
      <c r="I21" s="9" t="s">
        <v>48</v>
      </c>
      <c r="J21" s="8">
        <v>2026</v>
      </c>
      <c r="K21" s="9" t="s">
        <v>132</v>
      </c>
      <c r="L21" s="8">
        <v>9785961440157</v>
      </c>
      <c r="M21" s="9" t="s">
        <v>133</v>
      </c>
      <c r="N21" s="8">
        <v>935</v>
      </c>
      <c r="O21" s="10">
        <v>1.02</v>
      </c>
      <c r="P21" s="8">
        <v>146</v>
      </c>
      <c r="Q21" s="8">
        <v>216</v>
      </c>
      <c r="R21" s="8">
        <v>4</v>
      </c>
      <c r="S21" s="9" t="s">
        <v>37</v>
      </c>
      <c r="T21" s="9"/>
      <c r="U21" s="7">
        <v>4000</v>
      </c>
      <c r="V21" s="9" t="s">
        <v>41</v>
      </c>
      <c r="W21" s="9" t="s">
        <v>49</v>
      </c>
      <c r="X21" s="8">
        <v>10</v>
      </c>
      <c r="Y21" s="11" t="str">
        <f>HYPERLINK("https://api-enni.alpina.ru/FilePrivilegesApproval/128","https://api-enni.alpina.ru/FilePrivilegesApproval/128")</f>
        <v>https://api-enni.alpina.ru/FilePrivilegesApproval/128</v>
      </c>
      <c r="Z21" s="9" t="s">
        <v>106</v>
      </c>
      <c r="AS21" s="12">
        <f t="shared" ref="AS21" si="29">IF($A21&lt;&gt;0,1,0)</f>
        <v>0</v>
      </c>
      <c r="AT21" s="12">
        <f t="shared" ref="AT21" si="30">$A21*$B21</f>
        <v>0</v>
      </c>
      <c r="AU21" s="12">
        <f t="shared" ref="AU21" si="31">$A21*$O21</f>
        <v>0</v>
      </c>
      <c r="AV21" s="12">
        <f t="shared" ref="AV21" si="32">IF($R21=0,0,INT($A21/$R21))</f>
        <v>0</v>
      </c>
      <c r="AW21" s="12">
        <f>$A21-$AV21*$R21</f>
        <v>0</v>
      </c>
    </row>
    <row r="22" spans="1:49" s="12" customFormat="1" ht="24.95" customHeight="1" x14ac:dyDescent="0.2">
      <c r="A22" s="6"/>
      <c r="B22" s="8">
        <v>540</v>
      </c>
      <c r="C22" s="8">
        <v>837</v>
      </c>
      <c r="D22" s="8">
        <v>26625</v>
      </c>
      <c r="E22" s="9"/>
      <c r="F22" s="9" t="s">
        <v>144</v>
      </c>
      <c r="G22" s="9" t="s">
        <v>163</v>
      </c>
      <c r="H22" s="9" t="s">
        <v>50</v>
      </c>
      <c r="I22" s="9"/>
      <c r="J22" s="8">
        <v>2026</v>
      </c>
      <c r="K22" s="9" t="s">
        <v>164</v>
      </c>
      <c r="L22" s="8">
        <v>9785961482447</v>
      </c>
      <c r="M22" s="9" t="s">
        <v>165</v>
      </c>
      <c r="N22" s="8">
        <v>130</v>
      </c>
      <c r="O22" s="10">
        <v>0.2</v>
      </c>
      <c r="P22" s="8">
        <v>140</v>
      </c>
      <c r="Q22" s="8">
        <v>210</v>
      </c>
      <c r="R22" s="8">
        <v>25</v>
      </c>
      <c r="S22" s="9" t="s">
        <v>37</v>
      </c>
      <c r="T22" s="9"/>
      <c r="U22" s="7">
        <v>1000</v>
      </c>
      <c r="V22" s="9" t="s">
        <v>30</v>
      </c>
      <c r="W22" s="9" t="s">
        <v>46</v>
      </c>
      <c r="X22" s="8">
        <v>10</v>
      </c>
      <c r="Y22" s="11" t="str">
        <f>HYPERLINK("https://api-enni.alpina.ru/FilePrivilegesApproval/163","https://api-enni.alpina.ru/FilePrivilegesApproval/163")</f>
        <v>https://api-enni.alpina.ru/FilePrivilegesApproval/163</v>
      </c>
      <c r="Z22" s="9" t="s">
        <v>65</v>
      </c>
      <c r="AS22" s="12">
        <f t="shared" ref="AS22" si="33">IF($A22&lt;&gt;0,1,0)</f>
        <v>0</v>
      </c>
      <c r="AT22" s="12">
        <f t="shared" ref="AT22" si="34">$A22*$B22</f>
        <v>0</v>
      </c>
      <c r="AU22" s="12">
        <f t="shared" ref="AU22" si="35">$A22*$O22</f>
        <v>0</v>
      </c>
      <c r="AV22" s="12">
        <f t="shared" ref="AV22" si="36">IF($R22=0,0,INT($A22/$R22))</f>
        <v>0</v>
      </c>
      <c r="AW22" s="12">
        <f>$A22-$AV22*$R22</f>
        <v>0</v>
      </c>
    </row>
    <row r="23" spans="1:49" s="12" customFormat="1" ht="24.95" customHeight="1" x14ac:dyDescent="0.2">
      <c r="A23" s="6"/>
      <c r="B23" s="8">
        <v>490</v>
      </c>
      <c r="C23" s="8">
        <v>760</v>
      </c>
      <c r="D23" s="8">
        <v>4972</v>
      </c>
      <c r="E23" s="9"/>
      <c r="F23" s="9" t="s">
        <v>166</v>
      </c>
      <c r="G23" s="9" t="s">
        <v>167</v>
      </c>
      <c r="H23" s="9" t="s">
        <v>50</v>
      </c>
      <c r="I23" s="9"/>
      <c r="J23" s="8">
        <v>2026</v>
      </c>
      <c r="K23" s="9" t="s">
        <v>168</v>
      </c>
      <c r="L23" s="8">
        <v>9785961470093</v>
      </c>
      <c r="M23" s="9" t="s">
        <v>169</v>
      </c>
      <c r="N23" s="8">
        <v>154</v>
      </c>
      <c r="O23" s="10">
        <v>0.3</v>
      </c>
      <c r="P23" s="8">
        <v>153</v>
      </c>
      <c r="Q23" s="8">
        <v>216</v>
      </c>
      <c r="R23" s="8">
        <v>10</v>
      </c>
      <c r="S23" s="9" t="s">
        <v>37</v>
      </c>
      <c r="T23" s="9"/>
      <c r="U23" s="7">
        <v>1000</v>
      </c>
      <c r="V23" s="9" t="s">
        <v>41</v>
      </c>
      <c r="W23" s="9" t="s">
        <v>31</v>
      </c>
      <c r="X23" s="8">
        <v>10</v>
      </c>
      <c r="Y23" s="11" t="str">
        <f>HYPERLINK("https://api-enni.alpina.ru/FilePrivilegesApproval/2","https://api-enni.alpina.ru/FilePrivilegesApproval/2")</f>
        <v>https://api-enni.alpina.ru/FilePrivilegesApproval/2</v>
      </c>
      <c r="Z23" s="9" t="s">
        <v>65</v>
      </c>
      <c r="AS23" s="12">
        <f t="shared" ref="AS23" si="37">IF($A23&lt;&gt;0,1,0)</f>
        <v>0</v>
      </c>
      <c r="AT23" s="12">
        <f t="shared" ref="AT23" si="38">$A23*$B23</f>
        <v>0</v>
      </c>
      <c r="AU23" s="12">
        <f t="shared" ref="AU23" si="39">$A23*$O23</f>
        <v>0</v>
      </c>
      <c r="AV23" s="12">
        <f t="shared" ref="AV23" si="40">IF($R23=0,0,INT($A23/$R23))</f>
        <v>0</v>
      </c>
      <c r="AW23" s="12">
        <f>$A23-$AV23*$R23</f>
        <v>0</v>
      </c>
    </row>
    <row r="24" spans="1:49" s="12" customFormat="1" ht="24.95" customHeight="1" x14ac:dyDescent="0.2">
      <c r="A24" s="6"/>
      <c r="B24" s="7">
        <v>1290</v>
      </c>
      <c r="C24" s="7">
        <v>1742</v>
      </c>
      <c r="D24" s="8">
        <v>31091</v>
      </c>
      <c r="E24" s="9"/>
      <c r="F24" s="9" t="s">
        <v>129</v>
      </c>
      <c r="G24" s="9" t="s">
        <v>171</v>
      </c>
      <c r="H24" s="9" t="s">
        <v>82</v>
      </c>
      <c r="I24" s="9" t="s">
        <v>48</v>
      </c>
      <c r="J24" s="8">
        <v>2026</v>
      </c>
      <c r="K24" s="9" t="s">
        <v>172</v>
      </c>
      <c r="L24" s="8">
        <v>9785002233311</v>
      </c>
      <c r="M24" s="9" t="s">
        <v>173</v>
      </c>
      <c r="N24" s="8">
        <v>296</v>
      </c>
      <c r="O24" s="10">
        <v>0.75</v>
      </c>
      <c r="P24" s="8">
        <v>190</v>
      </c>
      <c r="Q24" s="8">
        <v>240</v>
      </c>
      <c r="R24" s="8">
        <v>6</v>
      </c>
      <c r="S24" s="9" t="s">
        <v>45</v>
      </c>
      <c r="T24" s="9"/>
      <c r="U24" s="7">
        <v>2000</v>
      </c>
      <c r="V24" s="9" t="s">
        <v>41</v>
      </c>
      <c r="W24" s="9" t="s">
        <v>46</v>
      </c>
      <c r="X24" s="8">
        <v>10</v>
      </c>
      <c r="Y24" s="11" t="str">
        <f>HYPERLINK("https://api-enni.alpina.ru/FilePrivilegesApproval/1003","https://api-enni.alpina.ru/FilePrivilegesApproval/1003")</f>
        <v>https://api-enni.alpina.ru/FilePrivilegesApproval/1003</v>
      </c>
      <c r="Z24" s="9" t="s">
        <v>80</v>
      </c>
      <c r="AS24" s="12">
        <f t="shared" ref="AS24" si="41">IF($A24&lt;&gt;0,1,0)</f>
        <v>0</v>
      </c>
      <c r="AT24" s="12">
        <f t="shared" ref="AT24" si="42">$A24*$B24</f>
        <v>0</v>
      </c>
      <c r="AU24" s="12">
        <f t="shared" ref="AU24" si="43">$A24*$O24</f>
        <v>0</v>
      </c>
      <c r="AV24" s="12">
        <f t="shared" ref="AV24" si="44">IF($R24=0,0,INT($A24/$R24))</f>
        <v>0</v>
      </c>
      <c r="AW24" s="12">
        <f>$A24-$AV24*$R24</f>
        <v>0</v>
      </c>
    </row>
    <row r="25" spans="1:49" s="12" customFormat="1" ht="24.95" customHeight="1" x14ac:dyDescent="0.2">
      <c r="A25" s="6"/>
      <c r="B25" s="8">
        <v>650</v>
      </c>
      <c r="C25" s="8">
        <v>975</v>
      </c>
      <c r="D25" s="8">
        <v>36103</v>
      </c>
      <c r="E25" s="9"/>
      <c r="F25" s="9" t="s">
        <v>174</v>
      </c>
      <c r="G25" s="9" t="s">
        <v>175</v>
      </c>
      <c r="H25" s="9" t="s">
        <v>82</v>
      </c>
      <c r="I25" s="9" t="s">
        <v>48</v>
      </c>
      <c r="J25" s="8">
        <v>2026</v>
      </c>
      <c r="K25" s="9" t="s">
        <v>176</v>
      </c>
      <c r="L25" s="8">
        <v>9785002238316</v>
      </c>
      <c r="M25" s="9" t="s">
        <v>177</v>
      </c>
      <c r="N25" s="8">
        <v>208</v>
      </c>
      <c r="O25" s="10">
        <v>0.27</v>
      </c>
      <c r="P25" s="8">
        <v>130</v>
      </c>
      <c r="Q25" s="8">
        <v>210</v>
      </c>
      <c r="R25" s="8">
        <v>14</v>
      </c>
      <c r="S25" s="9" t="s">
        <v>91</v>
      </c>
      <c r="T25" s="9" t="s">
        <v>105</v>
      </c>
      <c r="U25" s="7">
        <v>1500</v>
      </c>
      <c r="V25" s="9" t="s">
        <v>41</v>
      </c>
      <c r="W25" s="9" t="s">
        <v>49</v>
      </c>
      <c r="X25" s="8">
        <v>10</v>
      </c>
      <c r="Y25" s="11" t="str">
        <f>HYPERLINK("https://api-enni.alpina.ru/FilePrivilegesApproval/1191","https://api-enni.alpina.ru/FilePrivilegesApproval/1191")</f>
        <v>https://api-enni.alpina.ru/FilePrivilegesApproval/1191</v>
      </c>
      <c r="Z25" s="9" t="s">
        <v>106</v>
      </c>
      <c r="AS25" s="12">
        <f t="shared" ref="AS25" si="45">IF($A25&lt;&gt;0,1,0)</f>
        <v>0</v>
      </c>
      <c r="AT25" s="12">
        <f t="shared" ref="AT25" si="46">$A25*$B25</f>
        <v>0</v>
      </c>
      <c r="AU25" s="12">
        <f t="shared" ref="AU25" si="47">$A25*$O25</f>
        <v>0</v>
      </c>
      <c r="AV25" s="12">
        <f t="shared" ref="AV25" si="48">IF($R25=0,0,INT($A25/$R25))</f>
        <v>0</v>
      </c>
      <c r="AW25" s="12">
        <f>$A25-$AV25*$R25</f>
        <v>0</v>
      </c>
    </row>
    <row r="26" spans="1:49" s="12" customFormat="1" ht="24.95" customHeight="1" x14ac:dyDescent="0.2">
      <c r="A26" s="6"/>
      <c r="B26" s="8">
        <v>790</v>
      </c>
      <c r="C26" s="7">
        <v>1146</v>
      </c>
      <c r="D26" s="8">
        <v>37210</v>
      </c>
      <c r="E26" s="9"/>
      <c r="F26" s="9" t="s">
        <v>178</v>
      </c>
      <c r="G26" s="9" t="s">
        <v>179</v>
      </c>
      <c r="H26" s="9" t="s">
        <v>50</v>
      </c>
      <c r="I26" s="9"/>
      <c r="J26" s="8">
        <v>2026</v>
      </c>
      <c r="K26" s="9" t="s">
        <v>180</v>
      </c>
      <c r="L26" s="8">
        <v>9785006319479</v>
      </c>
      <c r="M26" s="9" t="s">
        <v>181</v>
      </c>
      <c r="N26" s="8">
        <v>446</v>
      </c>
      <c r="O26" s="10">
        <v>0.63</v>
      </c>
      <c r="P26" s="8">
        <v>150</v>
      </c>
      <c r="Q26" s="8">
        <v>220</v>
      </c>
      <c r="R26" s="8">
        <v>8</v>
      </c>
      <c r="S26" s="9" t="s">
        <v>37</v>
      </c>
      <c r="T26" s="9"/>
      <c r="U26" s="7">
        <v>1000</v>
      </c>
      <c r="V26" s="9" t="s">
        <v>41</v>
      </c>
      <c r="W26" s="9" t="s">
        <v>46</v>
      </c>
      <c r="X26" s="8">
        <v>10</v>
      </c>
      <c r="Y26" s="11" t="str">
        <f>HYPERLINK("https://api-enni.alpina.ru/FilePrivilegesApproval/1189","https://api-enni.alpina.ru/FilePrivilegesApproval/1189")</f>
        <v>https://api-enni.alpina.ru/FilePrivilegesApproval/1189</v>
      </c>
      <c r="Z26" s="9" t="s">
        <v>65</v>
      </c>
      <c r="AS26" s="12">
        <f t="shared" ref="AS26" si="49">IF($A26&lt;&gt;0,1,0)</f>
        <v>0</v>
      </c>
      <c r="AT26" s="12">
        <f t="shared" ref="AT26" si="50">$A26*$B26</f>
        <v>0</v>
      </c>
      <c r="AU26" s="12">
        <f t="shared" ref="AU26" si="51">$A26*$O26</f>
        <v>0</v>
      </c>
      <c r="AV26" s="12">
        <f t="shared" ref="AV26" si="52">IF($R26=0,0,INT($A26/$R26))</f>
        <v>0</v>
      </c>
      <c r="AW26" s="12">
        <f>$A26-$AV26*$R26</f>
        <v>0</v>
      </c>
    </row>
    <row r="27" spans="1:49" s="12" customFormat="1" ht="24.95" customHeight="1" x14ac:dyDescent="0.2">
      <c r="A27" s="6"/>
      <c r="B27" s="8">
        <v>740</v>
      </c>
      <c r="C27" s="7">
        <v>1073</v>
      </c>
      <c r="D27" s="8">
        <v>28843</v>
      </c>
      <c r="E27" s="9"/>
      <c r="F27" s="9" t="s">
        <v>170</v>
      </c>
      <c r="G27" s="9" t="s">
        <v>182</v>
      </c>
      <c r="H27" s="9" t="s">
        <v>50</v>
      </c>
      <c r="I27" s="9"/>
      <c r="J27" s="8">
        <v>2026</v>
      </c>
      <c r="K27" s="9" t="s">
        <v>183</v>
      </c>
      <c r="L27" s="8">
        <v>9785961490275</v>
      </c>
      <c r="M27" s="9" t="s">
        <v>184</v>
      </c>
      <c r="N27" s="8">
        <v>226</v>
      </c>
      <c r="O27" s="10">
        <v>0.37</v>
      </c>
      <c r="P27" s="8">
        <v>140</v>
      </c>
      <c r="Q27" s="8">
        <v>210</v>
      </c>
      <c r="R27" s="8">
        <v>14</v>
      </c>
      <c r="S27" s="9" t="s">
        <v>37</v>
      </c>
      <c r="T27" s="9"/>
      <c r="U27" s="7">
        <v>2000</v>
      </c>
      <c r="V27" s="9" t="s">
        <v>30</v>
      </c>
      <c r="W27" s="9" t="s">
        <v>46</v>
      </c>
      <c r="X27" s="8">
        <v>10</v>
      </c>
      <c r="Y27" s="11" t="str">
        <f>HYPERLINK("https://api-enni.alpina.ru/FilePrivilegesApproval/405","https://api-enni.alpina.ru/FilePrivilegesApproval/405")</f>
        <v>https://api-enni.alpina.ru/FilePrivilegesApproval/405</v>
      </c>
      <c r="Z27" s="9" t="s">
        <v>106</v>
      </c>
      <c r="AS27" s="12">
        <f>IF($A27&lt;&gt;0,1,0)</f>
        <v>0</v>
      </c>
      <c r="AT27" s="12">
        <f>$A27*$B27</f>
        <v>0</v>
      </c>
      <c r="AU27" s="12">
        <f>$A27*$O27</f>
        <v>0</v>
      </c>
      <c r="AV27" s="12">
        <f>IF($R27=0,0,INT($A27/$R27))</f>
        <v>0</v>
      </c>
      <c r="AW27" s="12">
        <f>$A27-$AV27*$R27</f>
        <v>0</v>
      </c>
    </row>
    <row r="28" spans="1:49" s="12" customFormat="1" ht="24.95" customHeight="1" x14ac:dyDescent="0.2">
      <c r="A28" s="6"/>
      <c r="B28" s="8">
        <v>990</v>
      </c>
      <c r="C28" s="7">
        <v>1386</v>
      </c>
      <c r="D28" s="8">
        <v>24041</v>
      </c>
      <c r="E28" s="9"/>
      <c r="F28" s="9" t="s">
        <v>128</v>
      </c>
      <c r="G28" s="9" t="s">
        <v>185</v>
      </c>
      <c r="H28" s="9" t="s">
        <v>50</v>
      </c>
      <c r="I28" s="9"/>
      <c r="J28" s="8">
        <v>2026</v>
      </c>
      <c r="K28" s="9" t="s">
        <v>186</v>
      </c>
      <c r="L28" s="8">
        <v>9785961442717</v>
      </c>
      <c r="M28" s="9" t="s">
        <v>187</v>
      </c>
      <c r="N28" s="8">
        <v>583</v>
      </c>
      <c r="O28" s="10">
        <v>0.8</v>
      </c>
      <c r="P28" s="8">
        <v>150</v>
      </c>
      <c r="Q28" s="8">
        <v>220</v>
      </c>
      <c r="R28" s="8">
        <v>5</v>
      </c>
      <c r="S28" s="9" t="s">
        <v>37</v>
      </c>
      <c r="T28" s="9"/>
      <c r="U28" s="7">
        <v>1000</v>
      </c>
      <c r="V28" s="9" t="s">
        <v>41</v>
      </c>
      <c r="W28" s="9" t="s">
        <v>46</v>
      </c>
      <c r="X28" s="8">
        <v>10</v>
      </c>
      <c r="Y28" s="11" t="str">
        <f>HYPERLINK("https://api-enni.alpina.ru/FilePrivilegesApproval/132","https://api-enni.alpina.ru/FilePrivilegesApproval/132")</f>
        <v>https://api-enni.alpina.ru/FilePrivilegesApproval/132</v>
      </c>
      <c r="Z28" s="9" t="s">
        <v>65</v>
      </c>
      <c r="AS28" s="12">
        <f t="shared" ref="AS28" si="53">IF($A28&lt;&gt;0,1,0)</f>
        <v>0</v>
      </c>
      <c r="AT28" s="12">
        <f t="shared" ref="AT28" si="54">$A28*$B28</f>
        <v>0</v>
      </c>
      <c r="AU28" s="12">
        <f t="shared" ref="AU28" si="55">$A28*$O28</f>
        <v>0</v>
      </c>
      <c r="AV28" s="12">
        <f t="shared" ref="AV28" si="56">IF($R28=0,0,INT($A28/$R28))</f>
        <v>0</v>
      </c>
      <c r="AW28" s="12">
        <f>$A28-$AV28*$R28</f>
        <v>0</v>
      </c>
    </row>
    <row r="29" spans="1:49" s="12" customFormat="1" ht="24.95" customHeight="1" x14ac:dyDescent="0.2">
      <c r="A29" s="6"/>
      <c r="B29" s="8">
        <v>520</v>
      </c>
      <c r="C29" s="8">
        <v>806</v>
      </c>
      <c r="D29" s="8">
        <v>31550</v>
      </c>
      <c r="E29" s="9"/>
      <c r="F29" s="9" t="s">
        <v>188</v>
      </c>
      <c r="G29" s="9" t="s">
        <v>189</v>
      </c>
      <c r="H29" s="9" t="s">
        <v>50</v>
      </c>
      <c r="I29" s="9" t="s">
        <v>48</v>
      </c>
      <c r="J29" s="8">
        <v>2026</v>
      </c>
      <c r="K29" s="9" t="s">
        <v>190</v>
      </c>
      <c r="L29" s="8">
        <v>9785961499216</v>
      </c>
      <c r="M29" s="9" t="s">
        <v>191</v>
      </c>
      <c r="N29" s="8">
        <v>132</v>
      </c>
      <c r="O29" s="10">
        <v>0.27</v>
      </c>
      <c r="P29" s="8">
        <v>150</v>
      </c>
      <c r="Q29" s="8">
        <v>220</v>
      </c>
      <c r="R29" s="8">
        <v>10</v>
      </c>
      <c r="S29" s="9" t="s">
        <v>37</v>
      </c>
      <c r="T29" s="9"/>
      <c r="U29" s="7">
        <v>1000</v>
      </c>
      <c r="V29" s="9" t="s">
        <v>41</v>
      </c>
      <c r="W29" s="9" t="s">
        <v>31</v>
      </c>
      <c r="X29" s="8">
        <v>10</v>
      </c>
      <c r="Y29" s="11" t="str">
        <f>HYPERLINK("https://api-enni.alpina.ru/FilePrivilegesApproval/633","https://api-enni.alpina.ru/FilePrivilegesApproval/633")</f>
        <v>https://api-enni.alpina.ru/FilePrivilegesApproval/633</v>
      </c>
      <c r="Z29" s="9" t="s">
        <v>65</v>
      </c>
      <c r="AS29" s="12">
        <f t="shared" ref="AS29" si="57">IF($A29&lt;&gt;0,1,0)</f>
        <v>0</v>
      </c>
      <c r="AT29" s="12">
        <f t="shared" ref="AT29" si="58">$A29*$B29</f>
        <v>0</v>
      </c>
      <c r="AU29" s="12">
        <f t="shared" ref="AU29" si="59">$A29*$O29</f>
        <v>0</v>
      </c>
      <c r="AV29" s="12">
        <f t="shared" ref="AV29" si="60">IF($R29=0,0,INT($A29/$R29))</f>
        <v>0</v>
      </c>
      <c r="AW29" s="12">
        <f>$A29-$AV29*$R29</f>
        <v>0</v>
      </c>
    </row>
    <row r="30" spans="1:49" s="12" customFormat="1" ht="24.95" customHeight="1" x14ac:dyDescent="0.2">
      <c r="A30" s="6"/>
      <c r="B30" s="8">
        <v>550</v>
      </c>
      <c r="C30" s="8">
        <v>852</v>
      </c>
      <c r="D30" s="8">
        <v>27961</v>
      </c>
      <c r="E30" s="9"/>
      <c r="F30" s="9" t="s">
        <v>192</v>
      </c>
      <c r="G30" s="9" t="s">
        <v>193</v>
      </c>
      <c r="H30" s="9" t="s">
        <v>47</v>
      </c>
      <c r="I30" s="9" t="s">
        <v>81</v>
      </c>
      <c r="J30" s="8">
        <v>2026</v>
      </c>
      <c r="K30" s="9" t="s">
        <v>194</v>
      </c>
      <c r="L30" s="8">
        <v>9785961486933</v>
      </c>
      <c r="M30" s="9" t="s">
        <v>195</v>
      </c>
      <c r="N30" s="8">
        <v>423</v>
      </c>
      <c r="O30" s="10">
        <v>0.35</v>
      </c>
      <c r="P30" s="8">
        <v>140</v>
      </c>
      <c r="Q30" s="8">
        <v>200</v>
      </c>
      <c r="R30" s="8">
        <v>4</v>
      </c>
      <c r="S30" s="9" t="s">
        <v>37</v>
      </c>
      <c r="T30" s="9"/>
      <c r="U30" s="7">
        <v>2000</v>
      </c>
      <c r="V30" s="9" t="s">
        <v>30</v>
      </c>
      <c r="W30" s="9" t="s">
        <v>49</v>
      </c>
      <c r="X30" s="8">
        <v>10</v>
      </c>
      <c r="Y30" s="11" t="str">
        <f>HYPERLINK("https://api-enni.alpina.ru/FilePrivilegesApproval/710","https://api-enni.alpina.ru/FilePrivilegesApproval/710")</f>
        <v>https://api-enni.alpina.ru/FilePrivilegesApproval/710</v>
      </c>
      <c r="Z30" s="9" t="s">
        <v>80</v>
      </c>
      <c r="AS30" s="12">
        <f t="shared" ref="AS30" si="61">IF($A30&lt;&gt;0,1,0)</f>
        <v>0</v>
      </c>
      <c r="AT30" s="12">
        <f t="shared" ref="AT30" si="62">$A30*$B30</f>
        <v>0</v>
      </c>
      <c r="AU30" s="12">
        <f t="shared" ref="AU30" si="63">$A30*$O30</f>
        <v>0</v>
      </c>
      <c r="AV30" s="12">
        <f t="shared" ref="AV30" si="64">IF($R30=0,0,INT($A30/$R30))</f>
        <v>0</v>
      </c>
      <c r="AW30" s="12">
        <f>$A30-$AV30*$R30</f>
        <v>0</v>
      </c>
    </row>
    <row r="31" spans="1:49" s="12" customFormat="1" ht="24.95" customHeight="1" x14ac:dyDescent="0.2">
      <c r="A31" s="6"/>
      <c r="B31" s="8">
        <v>620</v>
      </c>
      <c r="C31" s="8">
        <v>930</v>
      </c>
      <c r="D31" s="8">
        <v>34600</v>
      </c>
      <c r="E31" s="9"/>
      <c r="F31" s="9" t="s">
        <v>196</v>
      </c>
      <c r="G31" s="9" t="s">
        <v>197</v>
      </c>
      <c r="H31" s="9" t="s">
        <v>47</v>
      </c>
      <c r="I31" s="9" t="s">
        <v>48</v>
      </c>
      <c r="J31" s="8">
        <v>2026</v>
      </c>
      <c r="K31" s="9" t="s">
        <v>198</v>
      </c>
      <c r="L31" s="8">
        <v>9785006308251</v>
      </c>
      <c r="M31" s="9" t="s">
        <v>199</v>
      </c>
      <c r="N31" s="8">
        <v>470</v>
      </c>
      <c r="O31" s="10">
        <v>0.41</v>
      </c>
      <c r="P31" s="8">
        <v>140</v>
      </c>
      <c r="Q31" s="8">
        <v>200</v>
      </c>
      <c r="R31" s="8">
        <v>6</v>
      </c>
      <c r="S31" s="9" t="s">
        <v>37</v>
      </c>
      <c r="T31" s="9"/>
      <c r="U31" s="7">
        <v>3000</v>
      </c>
      <c r="V31" s="9" t="s">
        <v>30</v>
      </c>
      <c r="W31" s="9" t="s">
        <v>49</v>
      </c>
      <c r="X31" s="8">
        <v>10</v>
      </c>
      <c r="Y31" s="11" t="str">
        <f>HYPERLINK("https://api-enni.alpina.ru/FilePrivilegesApproval/1178","https://api-enni.alpina.ru/FilePrivilegesApproval/1178")</f>
        <v>https://api-enni.alpina.ru/FilePrivilegesApproval/1178</v>
      </c>
      <c r="Z31" s="9" t="s">
        <v>80</v>
      </c>
      <c r="AS31" s="12">
        <f t="shared" ref="AS31" si="65">IF($A31&lt;&gt;0,1,0)</f>
        <v>0</v>
      </c>
      <c r="AT31" s="12">
        <f t="shared" ref="AT31" si="66">$A31*$B31</f>
        <v>0</v>
      </c>
      <c r="AU31" s="12">
        <f t="shared" ref="AU31" si="67">$A31*$O31</f>
        <v>0</v>
      </c>
      <c r="AV31" s="12">
        <f t="shared" ref="AV31" si="68">IF($R31=0,0,INT($A31/$R31))</f>
        <v>0</v>
      </c>
      <c r="AW31" s="12">
        <f>$A31-$AV31*$R31</f>
        <v>0</v>
      </c>
    </row>
    <row r="32" spans="1:49" s="12" customFormat="1" ht="24.95" customHeight="1" x14ac:dyDescent="0.2">
      <c r="A32" s="6"/>
      <c r="B32" s="8">
        <v>590</v>
      </c>
      <c r="C32" s="8">
        <v>885</v>
      </c>
      <c r="D32" s="8">
        <v>28526</v>
      </c>
      <c r="E32" s="9"/>
      <c r="F32" s="9" t="s">
        <v>84</v>
      </c>
      <c r="G32" s="9" t="s">
        <v>201</v>
      </c>
      <c r="H32" s="9" t="s">
        <v>28</v>
      </c>
      <c r="I32" s="9" t="s">
        <v>62</v>
      </c>
      <c r="J32" s="8">
        <v>2026</v>
      </c>
      <c r="K32" s="9" t="s">
        <v>202</v>
      </c>
      <c r="L32" s="8">
        <v>9785961489248</v>
      </c>
      <c r="M32" s="9" t="s">
        <v>203</v>
      </c>
      <c r="N32" s="8">
        <v>30</v>
      </c>
      <c r="O32" s="10">
        <v>0.15</v>
      </c>
      <c r="P32" s="8">
        <v>180</v>
      </c>
      <c r="Q32" s="8">
        <v>190</v>
      </c>
      <c r="R32" s="8">
        <v>20</v>
      </c>
      <c r="S32" s="9" t="s">
        <v>85</v>
      </c>
      <c r="T32" s="9" t="s">
        <v>86</v>
      </c>
      <c r="U32" s="7">
        <v>1200</v>
      </c>
      <c r="V32" s="9" t="s">
        <v>41</v>
      </c>
      <c r="W32" s="9" t="s">
        <v>31</v>
      </c>
      <c r="X32" s="8">
        <v>10</v>
      </c>
      <c r="Y32" s="11" t="str">
        <f>HYPERLINK("https://api-enni.alpina.ru/FileCertificateProject/11","https://api-enni.alpina.ru/FileCertificateProject/11")</f>
        <v>https://api-enni.alpina.ru/FileCertificateProject/11</v>
      </c>
      <c r="Z32" s="9" t="s">
        <v>138</v>
      </c>
      <c r="AS32" s="12">
        <f t="shared" ref="AS32" si="69">IF($A32&lt;&gt;0,1,0)</f>
        <v>0</v>
      </c>
      <c r="AT32" s="12">
        <f t="shared" ref="AT32" si="70">$A32*$B32</f>
        <v>0</v>
      </c>
      <c r="AU32" s="12">
        <f t="shared" ref="AU32" si="71">$A32*$O32</f>
        <v>0</v>
      </c>
      <c r="AV32" s="12">
        <f t="shared" ref="AV32" si="72">IF($R32=0,0,INT($A32/$R32))</f>
        <v>0</v>
      </c>
      <c r="AW32" s="12">
        <f>$A32-$AV32*$R32</f>
        <v>0</v>
      </c>
    </row>
    <row r="33" spans="1:49" s="12" customFormat="1" ht="24.95" customHeight="1" x14ac:dyDescent="0.2">
      <c r="A33" s="6"/>
      <c r="B33" s="8">
        <v>590</v>
      </c>
      <c r="C33" s="8">
        <v>885</v>
      </c>
      <c r="D33" s="8">
        <v>30056</v>
      </c>
      <c r="E33" s="9"/>
      <c r="F33" s="9" t="s">
        <v>84</v>
      </c>
      <c r="G33" s="9" t="s">
        <v>204</v>
      </c>
      <c r="H33" s="9" t="s">
        <v>28</v>
      </c>
      <c r="I33" s="9" t="s">
        <v>62</v>
      </c>
      <c r="J33" s="8">
        <v>2026</v>
      </c>
      <c r="K33" s="9" t="s">
        <v>205</v>
      </c>
      <c r="L33" s="8">
        <v>9785961494662</v>
      </c>
      <c r="M33" s="9" t="s">
        <v>206</v>
      </c>
      <c r="N33" s="8">
        <v>28</v>
      </c>
      <c r="O33" s="10">
        <v>0.17</v>
      </c>
      <c r="P33" s="8">
        <v>180</v>
      </c>
      <c r="Q33" s="8">
        <v>190</v>
      </c>
      <c r="R33" s="8">
        <v>20</v>
      </c>
      <c r="S33" s="9" t="s">
        <v>85</v>
      </c>
      <c r="T33" s="9" t="s">
        <v>86</v>
      </c>
      <c r="U33" s="7">
        <v>1500</v>
      </c>
      <c r="V33" s="9" t="s">
        <v>41</v>
      </c>
      <c r="W33" s="9" t="s">
        <v>31</v>
      </c>
      <c r="X33" s="8">
        <v>10</v>
      </c>
      <c r="Y33" s="11" t="str">
        <f>HYPERLINK("https://api-enni.alpina.ru/FileCertificateProject/14","https://api-enni.alpina.ru/FileCertificateProject/14")</f>
        <v>https://api-enni.alpina.ru/FileCertificateProject/14</v>
      </c>
      <c r="Z33" s="9" t="s">
        <v>138</v>
      </c>
      <c r="AS33" s="12">
        <f t="shared" ref="AS33:AS34" si="73">IF($A33&lt;&gt;0,1,0)</f>
        <v>0</v>
      </c>
      <c r="AT33" s="12">
        <f t="shared" ref="AT33:AT34" si="74">$A33*$B33</f>
        <v>0</v>
      </c>
      <c r="AU33" s="12">
        <f t="shared" ref="AU33:AU34" si="75">$A33*$O33</f>
        <v>0</v>
      </c>
      <c r="AV33" s="12">
        <f t="shared" ref="AV33:AV34" si="76">IF($R33=0,0,INT($A33/$R33))</f>
        <v>0</v>
      </c>
      <c r="AW33" s="12">
        <f>$A33-$AV33*$R33</f>
        <v>0</v>
      </c>
    </row>
    <row r="34" spans="1:49" s="12" customFormat="1" ht="24.95" customHeight="1" x14ac:dyDescent="0.2">
      <c r="A34" s="6"/>
      <c r="B34" s="8">
        <v>590</v>
      </c>
      <c r="C34" s="8">
        <v>885</v>
      </c>
      <c r="D34" s="8">
        <v>32490</v>
      </c>
      <c r="E34" s="9"/>
      <c r="F34" s="9" t="s">
        <v>84</v>
      </c>
      <c r="G34" s="9" t="s">
        <v>207</v>
      </c>
      <c r="H34" s="9" t="s">
        <v>28</v>
      </c>
      <c r="I34" s="9" t="s">
        <v>62</v>
      </c>
      <c r="J34" s="8">
        <v>2026</v>
      </c>
      <c r="K34" s="9" t="s">
        <v>208</v>
      </c>
      <c r="L34" s="8">
        <v>9785006302358</v>
      </c>
      <c r="M34" s="9" t="s">
        <v>209</v>
      </c>
      <c r="N34" s="8">
        <v>32</v>
      </c>
      <c r="O34" s="10">
        <v>0.2</v>
      </c>
      <c r="P34" s="8">
        <v>190</v>
      </c>
      <c r="Q34" s="8">
        <v>180</v>
      </c>
      <c r="R34" s="8">
        <v>20</v>
      </c>
      <c r="S34" s="9" t="s">
        <v>85</v>
      </c>
      <c r="T34" s="9" t="s">
        <v>86</v>
      </c>
      <c r="U34" s="7">
        <v>1500</v>
      </c>
      <c r="V34" s="9" t="s">
        <v>41</v>
      </c>
      <c r="W34" s="9" t="s">
        <v>31</v>
      </c>
      <c r="X34" s="8">
        <v>10</v>
      </c>
      <c r="Y34" s="11" t="str">
        <f>HYPERLINK("https://api-enni.alpina.ru/FileCertificateProject/7","https://api-enni.alpina.ru/FileCertificateProject/7")</f>
        <v>https://api-enni.alpina.ru/FileCertificateProject/7</v>
      </c>
      <c r="Z34" s="9" t="s">
        <v>138</v>
      </c>
      <c r="AS34" s="12">
        <f t="shared" si="73"/>
        <v>0</v>
      </c>
      <c r="AT34" s="12">
        <f t="shared" si="74"/>
        <v>0</v>
      </c>
      <c r="AU34" s="12">
        <f t="shared" si="75"/>
        <v>0</v>
      </c>
      <c r="AV34" s="12">
        <f t="shared" si="76"/>
        <v>0</v>
      </c>
      <c r="AW34" s="12">
        <f>$A34-$AV34*$R34</f>
        <v>0</v>
      </c>
    </row>
    <row r="35" spans="1:49" s="12" customFormat="1" ht="24.95" customHeight="1" x14ac:dyDescent="0.2">
      <c r="A35" s="6"/>
      <c r="B35" s="8">
        <v>890</v>
      </c>
      <c r="C35" s="7">
        <v>1246</v>
      </c>
      <c r="D35" s="8">
        <v>31864</v>
      </c>
      <c r="E35" s="9"/>
      <c r="F35" s="9" t="s">
        <v>200</v>
      </c>
      <c r="G35" s="9" t="s">
        <v>210</v>
      </c>
      <c r="H35" s="9" t="s">
        <v>28</v>
      </c>
      <c r="I35" s="9" t="s">
        <v>62</v>
      </c>
      <c r="J35" s="8">
        <v>2026</v>
      </c>
      <c r="K35" s="9" t="s">
        <v>211</v>
      </c>
      <c r="L35" s="8">
        <v>9785006300842</v>
      </c>
      <c r="M35" s="9" t="s">
        <v>212</v>
      </c>
      <c r="N35" s="8">
        <v>144</v>
      </c>
      <c r="O35" s="10">
        <v>0.62</v>
      </c>
      <c r="P35" s="8">
        <v>210</v>
      </c>
      <c r="Q35" s="8">
        <v>270</v>
      </c>
      <c r="R35" s="8">
        <v>10</v>
      </c>
      <c r="S35" s="9" t="s">
        <v>44</v>
      </c>
      <c r="T35" s="9" t="s">
        <v>158</v>
      </c>
      <c r="U35" s="7">
        <v>5000</v>
      </c>
      <c r="V35" s="9" t="s">
        <v>41</v>
      </c>
      <c r="W35" s="9" t="s">
        <v>31</v>
      </c>
      <c r="X35" s="8">
        <v>10</v>
      </c>
      <c r="Y35" s="11" t="str">
        <f>HYPERLINK("https://api-enni.alpina.ru/FileCertificateProject/57","https://api-enni.alpina.ru/FileCertificateProject/57")</f>
        <v>https://api-enni.alpina.ru/FileCertificateProject/57</v>
      </c>
      <c r="Z35" s="9" t="s">
        <v>107</v>
      </c>
      <c r="AS35" s="12">
        <f t="shared" ref="AS35" si="77">IF($A35&lt;&gt;0,1,0)</f>
        <v>0</v>
      </c>
      <c r="AT35" s="12">
        <f t="shared" ref="AT35" si="78">$A35*$B35</f>
        <v>0</v>
      </c>
      <c r="AU35" s="12">
        <f t="shared" ref="AU35" si="79">$A35*$O35</f>
        <v>0</v>
      </c>
      <c r="AV35" s="12">
        <f t="shared" ref="AV35" si="80">IF($R35=0,0,INT($A35/$R35))</f>
        <v>0</v>
      </c>
      <c r="AW35" s="12">
        <f>$A35-$AV35*$R35</f>
        <v>0</v>
      </c>
    </row>
    <row r="36" spans="1:49" s="12" customFormat="1" ht="24.95" customHeight="1" x14ac:dyDescent="0.2">
      <c r="A36" s="6"/>
      <c r="B36" s="8">
        <v>640</v>
      </c>
      <c r="C36" s="8">
        <v>960</v>
      </c>
      <c r="D36" s="8">
        <v>29888</v>
      </c>
      <c r="E36" s="9"/>
      <c r="F36" s="9" t="s">
        <v>153</v>
      </c>
      <c r="G36" s="9" t="s">
        <v>213</v>
      </c>
      <c r="H36" s="9" t="s">
        <v>28</v>
      </c>
      <c r="I36" s="9"/>
      <c r="J36" s="8">
        <v>2026</v>
      </c>
      <c r="K36" s="9" t="s">
        <v>214</v>
      </c>
      <c r="L36" s="8">
        <v>9785961494303</v>
      </c>
      <c r="M36" s="9" t="s">
        <v>215</v>
      </c>
      <c r="N36" s="8">
        <v>96</v>
      </c>
      <c r="O36" s="10">
        <v>0.37</v>
      </c>
      <c r="P36" s="8">
        <v>170</v>
      </c>
      <c r="Q36" s="8">
        <v>240</v>
      </c>
      <c r="R36" s="8">
        <v>12</v>
      </c>
      <c r="S36" s="9" t="s">
        <v>45</v>
      </c>
      <c r="T36" s="9"/>
      <c r="U36" s="7">
        <v>5000</v>
      </c>
      <c r="V36" s="9" t="s">
        <v>41</v>
      </c>
      <c r="W36" s="9" t="s">
        <v>42</v>
      </c>
      <c r="X36" s="8">
        <v>10</v>
      </c>
      <c r="Y36" s="11" t="str">
        <f>HYPERLINK("https://api-enni.alpina.ru/FileCertificateProject/44","https://api-enni.alpina.ru/FileCertificateProject/44")</f>
        <v>https://api-enni.alpina.ru/FileCertificateProject/44</v>
      </c>
      <c r="Z36" s="9" t="s">
        <v>107</v>
      </c>
      <c r="AS36" s="12">
        <f t="shared" ref="AS36" si="81">IF($A36&lt;&gt;0,1,0)</f>
        <v>0</v>
      </c>
      <c r="AT36" s="12">
        <f t="shared" ref="AT36" si="82">$A36*$B36</f>
        <v>0</v>
      </c>
      <c r="AU36" s="12">
        <f t="shared" ref="AU36" si="83">$A36*$O36</f>
        <v>0</v>
      </c>
      <c r="AV36" s="12">
        <f t="shared" ref="AV36" si="84">IF($R36=0,0,INT($A36/$R36))</f>
        <v>0</v>
      </c>
      <c r="AW36" s="12">
        <f>$A36-$AV36*$R36</f>
        <v>0</v>
      </c>
    </row>
    <row r="37" spans="1:49" s="12" customFormat="1" ht="24.95" customHeight="1" x14ac:dyDescent="0.2">
      <c r="A37" s="6"/>
      <c r="B37" s="8">
        <v>640</v>
      </c>
      <c r="C37" s="8">
        <v>960</v>
      </c>
      <c r="D37" s="8">
        <v>32251</v>
      </c>
      <c r="E37" s="9"/>
      <c r="F37" s="9" t="s">
        <v>216</v>
      </c>
      <c r="G37" s="9" t="s">
        <v>217</v>
      </c>
      <c r="H37" s="9" t="s">
        <v>28</v>
      </c>
      <c r="I37" s="9"/>
      <c r="J37" s="8">
        <v>2026</v>
      </c>
      <c r="K37" s="9" t="s">
        <v>218</v>
      </c>
      <c r="L37" s="8">
        <v>9785006301719</v>
      </c>
      <c r="M37" s="9" t="s">
        <v>219</v>
      </c>
      <c r="N37" s="8">
        <v>64</v>
      </c>
      <c r="O37" s="10">
        <v>0.4</v>
      </c>
      <c r="P37" s="8">
        <v>220</v>
      </c>
      <c r="Q37" s="8">
        <v>260</v>
      </c>
      <c r="R37" s="8">
        <v>12</v>
      </c>
      <c r="S37" s="9" t="s">
        <v>29</v>
      </c>
      <c r="T37" s="9" t="s">
        <v>220</v>
      </c>
      <c r="U37" s="7">
        <v>2000</v>
      </c>
      <c r="V37" s="9" t="s">
        <v>41</v>
      </c>
      <c r="W37" s="9" t="s">
        <v>31</v>
      </c>
      <c r="X37" s="8">
        <v>10</v>
      </c>
      <c r="Y37" s="11" t="str">
        <f>HYPERLINK("https://api-enni.alpina.ru/FileCertificateProject/149","https://api-enni.alpina.ru/FileCertificateProject/149")</f>
        <v>https://api-enni.alpina.ru/FileCertificateProject/149</v>
      </c>
      <c r="Z37" s="9" t="s">
        <v>107</v>
      </c>
      <c r="AS37" s="12">
        <f t="shared" ref="AS37" si="85">IF($A37&lt;&gt;0,1,0)</f>
        <v>0</v>
      </c>
      <c r="AT37" s="12">
        <f t="shared" ref="AT37" si="86">$A37*$B37</f>
        <v>0</v>
      </c>
      <c r="AU37" s="12">
        <f t="shared" ref="AU37" si="87">$A37*$O37</f>
        <v>0</v>
      </c>
      <c r="AV37" s="12">
        <f t="shared" ref="AV37" si="88">IF($R37=0,0,INT($A37/$R37))</f>
        <v>0</v>
      </c>
      <c r="AW37" s="12">
        <f>$A37-$AV37*$R37</f>
        <v>0</v>
      </c>
    </row>
    <row r="38" spans="1:49" s="12" customFormat="1" ht="24.95" customHeight="1" x14ac:dyDescent="0.2">
      <c r="A38" s="6"/>
      <c r="B38" s="8">
        <v>690</v>
      </c>
      <c r="C38" s="7">
        <v>1035</v>
      </c>
      <c r="D38" s="8">
        <v>29502</v>
      </c>
      <c r="E38" s="9"/>
      <c r="F38" s="9" t="s">
        <v>221</v>
      </c>
      <c r="G38" s="9" t="s">
        <v>222</v>
      </c>
      <c r="H38" s="9" t="s">
        <v>28</v>
      </c>
      <c r="I38" s="9" t="s">
        <v>81</v>
      </c>
      <c r="J38" s="8">
        <v>2026</v>
      </c>
      <c r="K38" s="9" t="s">
        <v>223</v>
      </c>
      <c r="L38" s="8">
        <v>9785961492866</v>
      </c>
      <c r="M38" s="9" t="s">
        <v>224</v>
      </c>
      <c r="N38" s="8">
        <v>48</v>
      </c>
      <c r="O38" s="10">
        <v>0.39</v>
      </c>
      <c r="P38" s="8">
        <v>210</v>
      </c>
      <c r="Q38" s="8">
        <v>290</v>
      </c>
      <c r="R38" s="8">
        <v>15</v>
      </c>
      <c r="S38" s="9" t="s">
        <v>29</v>
      </c>
      <c r="T38" s="9"/>
      <c r="U38" s="7">
        <v>1500</v>
      </c>
      <c r="V38" s="9" t="s">
        <v>41</v>
      </c>
      <c r="W38" s="9" t="s">
        <v>31</v>
      </c>
      <c r="X38" s="8">
        <v>10</v>
      </c>
      <c r="Y38" s="11" t="str">
        <f>HYPERLINK("https://api-enni.alpina.ru/FileCertificateProject/92","https://api-enni.alpina.ru/FileCertificateProject/92")</f>
        <v>https://api-enni.alpina.ru/FileCertificateProject/92</v>
      </c>
      <c r="Z38" s="9" t="s">
        <v>138</v>
      </c>
      <c r="AS38" s="12">
        <f t="shared" ref="AS38" si="89">IF($A38&lt;&gt;0,1,0)</f>
        <v>0</v>
      </c>
      <c r="AT38" s="12">
        <f t="shared" ref="AT38" si="90">$A38*$B38</f>
        <v>0</v>
      </c>
      <c r="AU38" s="12">
        <f t="shared" ref="AU38" si="91">$A38*$O38</f>
        <v>0</v>
      </c>
      <c r="AV38" s="12">
        <f t="shared" ref="AV38" si="92">IF($R38=0,0,INT($A38/$R38))</f>
        <v>0</v>
      </c>
      <c r="AW38" s="12">
        <f>$A38-$AV38*$R38</f>
        <v>0</v>
      </c>
    </row>
    <row r="39" spans="1:49" s="12" customFormat="1" ht="24.95" customHeight="1" x14ac:dyDescent="0.2">
      <c r="A39" s="6"/>
      <c r="B39" s="8">
        <v>790</v>
      </c>
      <c r="C39" s="7">
        <v>1146</v>
      </c>
      <c r="D39" s="8">
        <v>30264</v>
      </c>
      <c r="E39" s="9"/>
      <c r="F39" s="9" t="s">
        <v>134</v>
      </c>
      <c r="G39" s="9" t="s">
        <v>135</v>
      </c>
      <c r="H39" s="9" t="s">
        <v>28</v>
      </c>
      <c r="I39" s="9"/>
      <c r="J39" s="8">
        <v>2026</v>
      </c>
      <c r="K39" s="9" t="s">
        <v>136</v>
      </c>
      <c r="L39" s="8">
        <v>9785961495089</v>
      </c>
      <c r="M39" s="9" t="s">
        <v>137</v>
      </c>
      <c r="N39" s="8">
        <v>48</v>
      </c>
      <c r="O39" s="10">
        <v>0.44</v>
      </c>
      <c r="P39" s="8">
        <v>210</v>
      </c>
      <c r="Q39" s="8">
        <v>260</v>
      </c>
      <c r="R39" s="8">
        <v>16</v>
      </c>
      <c r="S39" s="9" t="s">
        <v>44</v>
      </c>
      <c r="T39" s="9"/>
      <c r="U39" s="7">
        <v>3000</v>
      </c>
      <c r="V39" s="9" t="s">
        <v>41</v>
      </c>
      <c r="W39" s="9" t="s">
        <v>31</v>
      </c>
      <c r="X39" s="8">
        <v>10</v>
      </c>
      <c r="Y39" s="11" t="str">
        <f>HYPERLINK("https://api-enni.alpina.ru/FileCertificateProject/93","https://api-enni.alpina.ru/FileCertificateProject/93")</f>
        <v>https://api-enni.alpina.ru/FileCertificateProject/93</v>
      </c>
      <c r="Z39" s="9" t="s">
        <v>138</v>
      </c>
      <c r="AS39" s="12">
        <f t="shared" ref="AS39" si="93">IF($A39&lt;&gt;0,1,0)</f>
        <v>0</v>
      </c>
      <c r="AT39" s="12">
        <f t="shared" ref="AT39" si="94">$A39*$B39</f>
        <v>0</v>
      </c>
      <c r="AU39" s="12">
        <f t="shared" ref="AU39" si="95">$A39*$O39</f>
        <v>0</v>
      </c>
      <c r="AV39" s="12">
        <f t="shared" ref="AV39" si="96">IF($R39=0,0,INT($A39/$R39))</f>
        <v>0</v>
      </c>
      <c r="AW39" s="12">
        <f>$A39-$AV39*$R39</f>
        <v>0</v>
      </c>
    </row>
    <row r="40" spans="1:49" s="13" customFormat="1" ht="11.45" customHeight="1" x14ac:dyDescent="0.2">
      <c r="A40" s="6"/>
      <c r="B40" s="8">
        <v>690</v>
      </c>
      <c r="C40" s="7">
        <v>1035</v>
      </c>
      <c r="D40" s="8">
        <v>36656</v>
      </c>
      <c r="E40" s="9"/>
      <c r="F40" s="9" t="s">
        <v>60</v>
      </c>
      <c r="G40" s="9" t="s">
        <v>61</v>
      </c>
      <c r="H40" s="9" t="s">
        <v>50</v>
      </c>
      <c r="I40" s="9" t="s">
        <v>62</v>
      </c>
      <c r="J40" s="8">
        <v>2026</v>
      </c>
      <c r="K40" s="9" t="s">
        <v>63</v>
      </c>
      <c r="L40" s="8">
        <v>9785006317765</v>
      </c>
      <c r="M40" s="9" t="s">
        <v>64</v>
      </c>
      <c r="N40" s="8">
        <v>268</v>
      </c>
      <c r="O40" s="10">
        <v>0.42</v>
      </c>
      <c r="P40" s="8">
        <v>150</v>
      </c>
      <c r="Q40" s="8">
        <v>220</v>
      </c>
      <c r="R40" s="8">
        <v>10</v>
      </c>
      <c r="S40" s="9" t="s">
        <v>37</v>
      </c>
      <c r="T40" s="9"/>
      <c r="U40" s="7">
        <v>1000</v>
      </c>
      <c r="V40" s="9" t="s">
        <v>41</v>
      </c>
      <c r="W40" s="9" t="s">
        <v>49</v>
      </c>
      <c r="X40" s="8">
        <v>10</v>
      </c>
      <c r="Y40" s="11" t="str">
        <f>HYPERLINK("https://api-enni.alpina.ru/FilePrivilegesApproval/1269","https://api-enni.alpina.ru/FilePrivilegesApproval/1269")</f>
        <v>https://api-enni.alpina.ru/FilePrivilegesApproval/1269</v>
      </c>
      <c r="Z40" s="9" t="s">
        <v>65</v>
      </c>
      <c r="AA40" s="12"/>
      <c r="AB40" s="12"/>
      <c r="AC40" s="12"/>
      <c r="AD40" s="12"/>
      <c r="AE40" s="12"/>
    </row>
    <row r="41" spans="1:49" s="13" customFormat="1" ht="11.45" customHeight="1" x14ac:dyDescent="0.2">
      <c r="A41" s="6"/>
      <c r="B41" s="8">
        <v>260</v>
      </c>
      <c r="C41" s="8">
        <v>416</v>
      </c>
      <c r="D41" s="8">
        <v>38612</v>
      </c>
      <c r="E41" s="9"/>
      <c r="F41" s="9" t="s">
        <v>87</v>
      </c>
      <c r="G41" s="9" t="s">
        <v>88</v>
      </c>
      <c r="H41" s="9" t="s">
        <v>28</v>
      </c>
      <c r="I41" s="9" t="s">
        <v>62</v>
      </c>
      <c r="J41" s="8">
        <v>2026</v>
      </c>
      <c r="K41" s="9" t="s">
        <v>89</v>
      </c>
      <c r="L41" s="8">
        <v>9785002834235</v>
      </c>
      <c r="M41" s="9" t="s">
        <v>90</v>
      </c>
      <c r="N41" s="8">
        <v>128</v>
      </c>
      <c r="O41" s="10">
        <v>0.08</v>
      </c>
      <c r="P41" s="8">
        <v>120</v>
      </c>
      <c r="Q41" s="8">
        <v>190</v>
      </c>
      <c r="R41" s="8">
        <v>16</v>
      </c>
      <c r="S41" s="9" t="s">
        <v>91</v>
      </c>
      <c r="T41" s="9" t="s">
        <v>86</v>
      </c>
      <c r="U41" s="7">
        <v>1500</v>
      </c>
      <c r="V41" s="9" t="s">
        <v>30</v>
      </c>
      <c r="W41" s="9" t="s">
        <v>42</v>
      </c>
      <c r="X41" s="8">
        <v>10</v>
      </c>
      <c r="Y41" s="11" t="str">
        <f>HYPERLINK("https://api-enni.alpina.ru/FileCertificateProject/59","https://api-enni.alpina.ru/FileCertificateProject/59")</f>
        <v>https://api-enni.alpina.ru/FileCertificateProject/59</v>
      </c>
      <c r="Z41" s="9" t="s">
        <v>55</v>
      </c>
      <c r="AA41" s="12"/>
      <c r="AB41" s="12"/>
      <c r="AC41" s="12"/>
      <c r="AD41" s="12"/>
      <c r="AE41" s="12"/>
    </row>
    <row r="42" spans="1:49" s="13" customFormat="1" ht="11.45" customHeight="1" x14ac:dyDescent="0.2">
      <c r="A42" s="6"/>
      <c r="B42" s="8">
        <v>260</v>
      </c>
      <c r="C42" s="8">
        <v>416</v>
      </c>
      <c r="D42" s="8">
        <v>38605</v>
      </c>
      <c r="E42" s="9"/>
      <c r="F42" s="9" t="s">
        <v>87</v>
      </c>
      <c r="G42" s="9" t="s">
        <v>92</v>
      </c>
      <c r="H42" s="9" t="s">
        <v>28</v>
      </c>
      <c r="I42" s="9" t="s">
        <v>62</v>
      </c>
      <c r="J42" s="8">
        <v>2026</v>
      </c>
      <c r="K42" s="9" t="s">
        <v>93</v>
      </c>
      <c r="L42" s="8">
        <v>9785002834228</v>
      </c>
      <c r="M42" s="9" t="s">
        <v>94</v>
      </c>
      <c r="N42" s="8">
        <v>96</v>
      </c>
      <c r="O42" s="10">
        <v>0.08</v>
      </c>
      <c r="P42" s="8">
        <v>120</v>
      </c>
      <c r="Q42" s="8">
        <v>190</v>
      </c>
      <c r="R42" s="8">
        <v>16</v>
      </c>
      <c r="S42" s="9" t="s">
        <v>91</v>
      </c>
      <c r="T42" s="9" t="s">
        <v>86</v>
      </c>
      <c r="U42" s="7">
        <v>1500</v>
      </c>
      <c r="V42" s="9" t="s">
        <v>30</v>
      </c>
      <c r="W42" s="9" t="s">
        <v>42</v>
      </c>
      <c r="X42" s="8">
        <v>10</v>
      </c>
      <c r="Y42" s="11" t="str">
        <f>HYPERLINK("https://api-enni.alpina.ru/FileCertificateProject/4","https://api-enni.alpina.ru/FileCertificateProject/4")</f>
        <v>https://api-enni.alpina.ru/FileCertificateProject/4</v>
      </c>
      <c r="Z42" s="9" t="s">
        <v>55</v>
      </c>
      <c r="AA42" s="12"/>
      <c r="AB42" s="12"/>
      <c r="AC42" s="12"/>
      <c r="AD42" s="12"/>
      <c r="AE42" s="12"/>
    </row>
    <row r="43" spans="1:49" s="13" customFormat="1" ht="11.45" customHeight="1" x14ac:dyDescent="0.2">
      <c r="A43" s="6"/>
      <c r="B43" s="8">
        <v>260</v>
      </c>
      <c r="C43" s="8">
        <v>416</v>
      </c>
      <c r="D43" s="8">
        <v>38479</v>
      </c>
      <c r="E43" s="9"/>
      <c r="F43" s="9" t="s">
        <v>87</v>
      </c>
      <c r="G43" s="9" t="s">
        <v>95</v>
      </c>
      <c r="H43" s="9" t="s">
        <v>28</v>
      </c>
      <c r="I43" s="9" t="s">
        <v>62</v>
      </c>
      <c r="J43" s="8">
        <v>2026</v>
      </c>
      <c r="K43" s="9" t="s">
        <v>96</v>
      </c>
      <c r="L43" s="8">
        <v>9785002834150</v>
      </c>
      <c r="M43" s="9" t="s">
        <v>97</v>
      </c>
      <c r="N43" s="8">
        <v>96</v>
      </c>
      <c r="O43" s="10">
        <v>0.08</v>
      </c>
      <c r="P43" s="8">
        <v>120</v>
      </c>
      <c r="Q43" s="8">
        <v>190</v>
      </c>
      <c r="R43" s="8">
        <v>16</v>
      </c>
      <c r="S43" s="9" t="s">
        <v>91</v>
      </c>
      <c r="T43" s="9" t="s">
        <v>86</v>
      </c>
      <c r="U43" s="7">
        <v>1500</v>
      </c>
      <c r="V43" s="9" t="s">
        <v>30</v>
      </c>
      <c r="W43" s="9" t="s">
        <v>42</v>
      </c>
      <c r="X43" s="8">
        <v>10</v>
      </c>
      <c r="Y43" s="11" t="str">
        <f>HYPERLINK("https://api-enni.alpina.ru/FileCertificateProject/19","https://api-enni.alpina.ru/FileCertificateProject/19")</f>
        <v>https://api-enni.alpina.ru/FileCertificateProject/19</v>
      </c>
      <c r="Z43" s="9" t="s">
        <v>55</v>
      </c>
      <c r="AA43" s="12"/>
      <c r="AB43" s="12"/>
      <c r="AC43" s="12"/>
      <c r="AD43" s="12"/>
      <c r="AE43" s="12"/>
    </row>
  </sheetData>
  <mergeCells count="2">
    <mergeCell ref="A2:Y2"/>
    <mergeCell ref="A16:Y1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Орешникова Мария</dc:creator>
  <cp:lastModifiedBy>shabanova</cp:lastModifiedBy>
  <dcterms:created xsi:type="dcterms:W3CDTF">2026-09-07T10:13:03Z</dcterms:created>
  <dcterms:modified xsi:type="dcterms:W3CDTF">2026-09-08T12:05:49Z</dcterms:modified>
</cp:coreProperties>
</file>