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11400" windowHeight="5844"/>
  </bookViews>
  <sheets>
    <sheet name="TDSheet" sheetId="1" r:id="rId1"/>
  </sheets>
  <definedNames>
    <definedName name="_xlnm._FilterDatabase" localSheetId="0" hidden="1">TDSheet!$B$4:$V$4594</definedName>
  </definedNames>
  <calcPr calcId="144525" refMode="R1C1"/>
</workbook>
</file>

<file path=xl/calcChain.xml><?xml version="1.0" encoding="utf-8"?>
<calcChain xmlns="http://schemas.openxmlformats.org/spreadsheetml/2006/main">
  <c r="L4578" i="1" l="1"/>
  <c r="L4568" i="1"/>
  <c r="L4567" i="1"/>
  <c r="L4566" i="1"/>
  <c r="L4564" i="1"/>
  <c r="L4563" i="1"/>
  <c r="L4561" i="1"/>
  <c r="L4560" i="1"/>
  <c r="L4558" i="1"/>
  <c r="L4557" i="1"/>
  <c r="L4556" i="1"/>
  <c r="L4555" i="1"/>
  <c r="L4554" i="1"/>
  <c r="L4553" i="1"/>
  <c r="L4552" i="1"/>
  <c r="L4550" i="1"/>
  <c r="L4549" i="1"/>
  <c r="L4540" i="1"/>
  <c r="L4539" i="1"/>
  <c r="L4497" i="1"/>
  <c r="L4496" i="1"/>
  <c r="L4495" i="1"/>
  <c r="L4494" i="1"/>
  <c r="L4493" i="1"/>
  <c r="L4492" i="1"/>
  <c r="L4491" i="1"/>
  <c r="L4490" i="1"/>
  <c r="L4489" i="1"/>
  <c r="L4488" i="1"/>
  <c r="L4487" i="1"/>
  <c r="L4486" i="1"/>
  <c r="L4474" i="1"/>
  <c r="L4473" i="1"/>
  <c r="L4472" i="1"/>
  <c r="L4471" i="1"/>
  <c r="L4470" i="1"/>
  <c r="L4469" i="1"/>
  <c r="L4468" i="1"/>
  <c r="L4467" i="1"/>
  <c r="L4466" i="1"/>
  <c r="L4465" i="1"/>
  <c r="L4464" i="1"/>
  <c r="L4463" i="1"/>
  <c r="L4461" i="1"/>
  <c r="L4460" i="1"/>
  <c r="L4459" i="1"/>
  <c r="L4458" i="1"/>
  <c r="L4457" i="1"/>
  <c r="L4456" i="1"/>
  <c r="L4455" i="1"/>
  <c r="L4454" i="1"/>
  <c r="L4453" i="1"/>
  <c r="L4452" i="1"/>
  <c r="L4451" i="1"/>
  <c r="L4449" i="1"/>
  <c r="L4448" i="1"/>
  <c r="L4447" i="1"/>
  <c r="L4446" i="1"/>
  <c r="L4445" i="1"/>
  <c r="L4444" i="1"/>
  <c r="L4443" i="1"/>
  <c r="L4442" i="1"/>
  <c r="L4441" i="1"/>
  <c r="L4440" i="1"/>
  <c r="L4439" i="1"/>
  <c r="L4438" i="1"/>
  <c r="L4437" i="1"/>
  <c r="L4396" i="1"/>
  <c r="L4395" i="1"/>
  <c r="L4394" i="1"/>
  <c r="L4393" i="1"/>
  <c r="L4392" i="1"/>
  <c r="L4391" i="1"/>
  <c r="L4390" i="1"/>
  <c r="L4389" i="1"/>
  <c r="L4388" i="1"/>
  <c r="L4387" i="1"/>
  <c r="L4386" i="1"/>
  <c r="L4385" i="1"/>
  <c r="L4384" i="1"/>
  <c r="L4346" i="1"/>
  <c r="L4337" i="1"/>
  <c r="L4336" i="1"/>
  <c r="L4335" i="1"/>
  <c r="L4334" i="1"/>
  <c r="L4333" i="1"/>
  <c r="L4331" i="1"/>
  <c r="L4330" i="1"/>
  <c r="L4327" i="1"/>
  <c r="L4326" i="1"/>
  <c r="L4325" i="1"/>
  <c r="L4324" i="1"/>
  <c r="L4321" i="1"/>
  <c r="L4320" i="1"/>
  <c r="L4318" i="1"/>
  <c r="L4316" i="1"/>
  <c r="L4315" i="1"/>
  <c r="L4282" i="1"/>
  <c r="L4281" i="1"/>
  <c r="L4280" i="1"/>
  <c r="L4279" i="1"/>
  <c r="L4278" i="1"/>
  <c r="L4270" i="1"/>
  <c r="L4269" i="1"/>
  <c r="L4268" i="1"/>
  <c r="L4267" i="1"/>
  <c r="L4266" i="1"/>
  <c r="L4265" i="1"/>
  <c r="L4264" i="1"/>
  <c r="L4263" i="1"/>
  <c r="L4262" i="1"/>
  <c r="L4261" i="1"/>
  <c r="L4259" i="1"/>
  <c r="L4230" i="1"/>
  <c r="L4229" i="1"/>
  <c r="L4227" i="1"/>
  <c r="L4226" i="1"/>
  <c r="L4224" i="1"/>
  <c r="L4220" i="1"/>
  <c r="L4215" i="1"/>
  <c r="L4214" i="1"/>
  <c r="L4213" i="1"/>
  <c r="L4212" i="1"/>
  <c r="L4210" i="1"/>
  <c r="L4209" i="1"/>
  <c r="L4207" i="1"/>
  <c r="L4206" i="1"/>
  <c r="L4204" i="1"/>
  <c r="L4203" i="1"/>
  <c r="L4202" i="1"/>
  <c r="L4199" i="1"/>
  <c r="L4197" i="1"/>
  <c r="L4196" i="1"/>
  <c r="L4195" i="1"/>
  <c r="L4194" i="1"/>
  <c r="L4192" i="1"/>
  <c r="L4191" i="1"/>
  <c r="L4190" i="1"/>
  <c r="L4189" i="1"/>
  <c r="L4187" i="1"/>
  <c r="L4186" i="1"/>
  <c r="L4185" i="1"/>
  <c r="L4183" i="1"/>
  <c r="L4181" i="1"/>
  <c r="L4180" i="1"/>
  <c r="L4179" i="1"/>
  <c r="L4178" i="1"/>
  <c r="L4134" i="1"/>
  <c r="L4133" i="1"/>
  <c r="L4132" i="1"/>
  <c r="L4131" i="1"/>
  <c r="L4130" i="1"/>
  <c r="L4129" i="1"/>
  <c r="L4128" i="1"/>
  <c r="L4127" i="1"/>
  <c r="L4126" i="1"/>
  <c r="L4125" i="1"/>
  <c r="L4124" i="1"/>
  <c r="L4123" i="1"/>
  <c r="L4122" i="1"/>
  <c r="L4120" i="1"/>
  <c r="L4119" i="1"/>
  <c r="L4118" i="1"/>
  <c r="L4117" i="1"/>
  <c r="L4116" i="1"/>
  <c r="L4115" i="1"/>
  <c r="L4114" i="1"/>
  <c r="L4113" i="1"/>
  <c r="L4112" i="1"/>
  <c r="L4076" i="1"/>
  <c r="L4075" i="1"/>
  <c r="L4074" i="1"/>
  <c r="L4073" i="1"/>
  <c r="L4071" i="1"/>
  <c r="L4070" i="1"/>
  <c r="L4069" i="1"/>
  <c r="L4068" i="1"/>
  <c r="L4067" i="1"/>
  <c r="L4064" i="1"/>
  <c r="L4063" i="1"/>
  <c r="L4062" i="1"/>
  <c r="L4061" i="1"/>
  <c r="L4060" i="1"/>
  <c r="L4059" i="1"/>
  <c r="L4057" i="1"/>
  <c r="L4056" i="1"/>
  <c r="L4055" i="1"/>
  <c r="L4054" i="1"/>
  <c r="L4053" i="1"/>
  <c r="L4052" i="1"/>
  <c r="L4048" i="1"/>
  <c r="L4047" i="1"/>
  <c r="L4046" i="1"/>
  <c r="L4045" i="1"/>
  <c r="L4044" i="1"/>
  <c r="L4043" i="1"/>
  <c r="L4042" i="1"/>
  <c r="L4039" i="1"/>
  <c r="L4038" i="1"/>
  <c r="L4037" i="1"/>
  <c r="L4036" i="1"/>
  <c r="L4035" i="1"/>
  <c r="L4032" i="1"/>
  <c r="L4031" i="1"/>
  <c r="L4030" i="1"/>
  <c r="L4015" i="1"/>
  <c r="L4012" i="1"/>
  <c r="L4011" i="1"/>
  <c r="L4010" i="1"/>
  <c r="L4009" i="1"/>
  <c r="L4008" i="1"/>
  <c r="L4007" i="1"/>
  <c r="L4005" i="1"/>
  <c r="L4004" i="1"/>
  <c r="L4003" i="1"/>
  <c r="L4002" i="1"/>
  <c r="L3995" i="1"/>
  <c r="L3994" i="1"/>
  <c r="L3993" i="1"/>
  <c r="L3992" i="1"/>
  <c r="L3989" i="1"/>
  <c r="L3988" i="1"/>
  <c r="L3983" i="1"/>
  <c r="L3982" i="1"/>
  <c r="L3981" i="1"/>
  <c r="L3980" i="1"/>
  <c r="L3979" i="1"/>
  <c r="L3963" i="1"/>
  <c r="L3961" i="1"/>
  <c r="L3959" i="1"/>
  <c r="L3958" i="1"/>
  <c r="L3957" i="1"/>
  <c r="L3956" i="1"/>
  <c r="L3955" i="1"/>
  <c r="L3953" i="1"/>
  <c r="L3909" i="1"/>
  <c r="L3906" i="1"/>
  <c r="L3904" i="1"/>
  <c r="L3902" i="1"/>
  <c r="L3901" i="1"/>
  <c r="L3886" i="1"/>
  <c r="L3866" i="1"/>
  <c r="L3865" i="1"/>
  <c r="L3864" i="1"/>
  <c r="L3863" i="1"/>
  <c r="L3862" i="1"/>
  <c r="L3861" i="1"/>
  <c r="L3856" i="1"/>
  <c r="L3832" i="1"/>
  <c r="L3831" i="1"/>
  <c r="L3824" i="1"/>
  <c r="L3823" i="1"/>
  <c r="L3822" i="1"/>
  <c r="L3821" i="1"/>
  <c r="L3820" i="1"/>
  <c r="L3819" i="1"/>
  <c r="L3818" i="1"/>
  <c r="L3809" i="1"/>
  <c r="L3806" i="1"/>
  <c r="L3804" i="1"/>
  <c r="L3802" i="1"/>
  <c r="L3797" i="1"/>
  <c r="L3796" i="1"/>
  <c r="L3792" i="1"/>
  <c r="L3791" i="1"/>
  <c r="L3789" i="1"/>
  <c r="L3788" i="1"/>
  <c r="L3787" i="1"/>
  <c r="L3786" i="1"/>
  <c r="L3782" i="1"/>
  <c r="L3780" i="1"/>
  <c r="L3777" i="1"/>
  <c r="L3776" i="1"/>
  <c r="L3775" i="1"/>
  <c r="L3774" i="1"/>
  <c r="L3773" i="1"/>
  <c r="L3772" i="1"/>
  <c r="L3771" i="1"/>
  <c r="L3770" i="1"/>
  <c r="L3769" i="1"/>
  <c r="L3768" i="1"/>
  <c r="L3767" i="1"/>
  <c r="L3756" i="1"/>
  <c r="L3746" i="1"/>
  <c r="L3745" i="1"/>
  <c r="L3725" i="1"/>
  <c r="L3724" i="1"/>
  <c r="L3723" i="1"/>
  <c r="L3717" i="1"/>
  <c r="L3715" i="1"/>
  <c r="L3712" i="1"/>
  <c r="L3711" i="1"/>
  <c r="L3710" i="1"/>
  <c r="L3707" i="1"/>
  <c r="L3702" i="1"/>
  <c r="L3699" i="1"/>
  <c r="L3696" i="1"/>
  <c r="L3667" i="1"/>
  <c r="L3660" i="1"/>
  <c r="L3659" i="1"/>
  <c r="L3657" i="1"/>
  <c r="L3656" i="1"/>
  <c r="L3655" i="1"/>
  <c r="L3654" i="1"/>
  <c r="L3638" i="1"/>
  <c r="L3637" i="1"/>
  <c r="L3632" i="1"/>
  <c r="L3626" i="1"/>
  <c r="L3625" i="1"/>
  <c r="L3619" i="1"/>
  <c r="L3614" i="1"/>
  <c r="L3613" i="1"/>
  <c r="L3612" i="1"/>
  <c r="L3606" i="1"/>
  <c r="L3605" i="1"/>
  <c r="L3604" i="1"/>
  <c r="L3603" i="1"/>
  <c r="L3596" i="1"/>
  <c r="L3595" i="1"/>
  <c r="L3594" i="1"/>
  <c r="L3593" i="1"/>
  <c r="L3591" i="1"/>
  <c r="L3590" i="1"/>
  <c r="L3588" i="1"/>
  <c r="L3586" i="1"/>
  <c r="L3578" i="1"/>
  <c r="L3577" i="1"/>
  <c r="L3567" i="1"/>
  <c r="L3566" i="1"/>
  <c r="L3565" i="1"/>
  <c r="L3563" i="1"/>
  <c r="L3558" i="1"/>
  <c r="L3556" i="1"/>
  <c r="L3555" i="1"/>
  <c r="L3554" i="1"/>
  <c r="L3551" i="1"/>
  <c r="L3550" i="1"/>
  <c r="L3549" i="1"/>
  <c r="L3548" i="1"/>
  <c r="L3539" i="1"/>
  <c r="N3539" i="1" s="1"/>
  <c r="L3537" i="1"/>
  <c r="L3535" i="1"/>
  <c r="L3534" i="1"/>
  <c r="L3533" i="1"/>
  <c r="N3533" i="1" s="1"/>
  <c r="L3532" i="1"/>
  <c r="L3528" i="1"/>
  <c r="L3527" i="1"/>
  <c r="L3526" i="1"/>
  <c r="N3526" i="1" s="1"/>
  <c r="L3525" i="1"/>
  <c r="L3521" i="1"/>
  <c r="L3520" i="1"/>
  <c r="L3518" i="1"/>
  <c r="N3518" i="1" s="1"/>
  <c r="L3516" i="1"/>
  <c r="L3514" i="1"/>
  <c r="L3512" i="1"/>
  <c r="L3510" i="1"/>
  <c r="N3510" i="1" s="1"/>
  <c r="L3507" i="1"/>
  <c r="L3506" i="1"/>
  <c r="L3504" i="1"/>
  <c r="L3503" i="1"/>
  <c r="N3503" i="1" s="1"/>
  <c r="L3502" i="1"/>
  <c r="L3501" i="1"/>
  <c r="L3498" i="1"/>
  <c r="L3497" i="1"/>
  <c r="N3497" i="1" s="1"/>
  <c r="L3495" i="1"/>
  <c r="L3494" i="1"/>
  <c r="L3491" i="1"/>
  <c r="L3489" i="1"/>
  <c r="N3489" i="1" s="1"/>
  <c r="L3488" i="1"/>
  <c r="L3486" i="1"/>
  <c r="L3484" i="1"/>
  <c r="L3479" i="1"/>
  <c r="N3479" i="1" s="1"/>
  <c r="L3478" i="1"/>
  <c r="L3476" i="1"/>
  <c r="L3468" i="1"/>
  <c r="L3467" i="1"/>
  <c r="L3466" i="1"/>
  <c r="L3465" i="1"/>
  <c r="L3464" i="1"/>
  <c r="L3462" i="1"/>
  <c r="L3459" i="1"/>
  <c r="L3456" i="1"/>
  <c r="L3453" i="1"/>
  <c r="L3451" i="1"/>
  <c r="L3436" i="1"/>
  <c r="L3434" i="1"/>
  <c r="L3431" i="1"/>
  <c r="L3430" i="1"/>
  <c r="L3429" i="1"/>
  <c r="L3423" i="1"/>
  <c r="L3422" i="1"/>
  <c r="L3414" i="1"/>
  <c r="L3413" i="1"/>
  <c r="L3411" i="1"/>
  <c r="L3410" i="1"/>
  <c r="L3408" i="1"/>
  <c r="L3407" i="1"/>
  <c r="L3402" i="1"/>
  <c r="L3401" i="1"/>
  <c r="L3400" i="1"/>
  <c r="L3399" i="1"/>
  <c r="L3395" i="1"/>
  <c r="L3381" i="1"/>
  <c r="L3380" i="1"/>
  <c r="L3379" i="1"/>
  <c r="L3377" i="1"/>
  <c r="L3376" i="1"/>
  <c r="L3375" i="1"/>
  <c r="L3374" i="1"/>
  <c r="L3359" i="1"/>
  <c r="L3358" i="1"/>
  <c r="L3261" i="1"/>
  <c r="L3248" i="1"/>
  <c r="L3247" i="1"/>
  <c r="L3245" i="1"/>
  <c r="L3242" i="1"/>
  <c r="L3214" i="1"/>
  <c r="L3195" i="1"/>
  <c r="L3193" i="1"/>
  <c r="L3184" i="1"/>
  <c r="L3183" i="1"/>
  <c r="L3182" i="1"/>
  <c r="L3181" i="1"/>
  <c r="L3157" i="1"/>
  <c r="L3152" i="1"/>
  <c r="L3151" i="1"/>
  <c r="L3149" i="1"/>
  <c r="L3148" i="1"/>
  <c r="L3147" i="1"/>
  <c r="L3145" i="1"/>
  <c r="L3122" i="1"/>
  <c r="L3121" i="1"/>
  <c r="L3119" i="1"/>
  <c r="L3117" i="1"/>
  <c r="L3111" i="1"/>
  <c r="L3109" i="1"/>
  <c r="N3109" i="1" s="1"/>
  <c r="L3108" i="1"/>
  <c r="L3107" i="1"/>
  <c r="L3106" i="1"/>
  <c r="L3105" i="1"/>
  <c r="N3105" i="1" s="1"/>
  <c r="L3104" i="1"/>
  <c r="L3103" i="1"/>
  <c r="L3102" i="1"/>
  <c r="L3101" i="1"/>
  <c r="N3101" i="1" s="1"/>
  <c r="L3100" i="1"/>
  <c r="L3099" i="1"/>
  <c r="L3097" i="1"/>
  <c r="L3096" i="1"/>
  <c r="N3096" i="1" s="1"/>
  <c r="L3095" i="1"/>
  <c r="L3092" i="1"/>
  <c r="L3091" i="1"/>
  <c r="L3084" i="1"/>
  <c r="L3082" i="1"/>
  <c r="L3081" i="1"/>
  <c r="L3080" i="1"/>
  <c r="L3079" i="1"/>
  <c r="L3078" i="1"/>
  <c r="L3077" i="1"/>
  <c r="L3076" i="1"/>
  <c r="L3074" i="1"/>
  <c r="L3073" i="1"/>
  <c r="L3072" i="1"/>
  <c r="L3070" i="1"/>
  <c r="L3069" i="1"/>
  <c r="L3068" i="1"/>
  <c r="L3067" i="1"/>
  <c r="L3066" i="1"/>
  <c r="L3064" i="1"/>
  <c r="L3063" i="1"/>
  <c r="L3062" i="1"/>
  <c r="L3061" i="1"/>
  <c r="L3060" i="1"/>
  <c r="L3059" i="1"/>
  <c r="L3058" i="1"/>
  <c r="L3057" i="1"/>
  <c r="L3056" i="1"/>
  <c r="L3055" i="1"/>
  <c r="L3053" i="1"/>
  <c r="L3052" i="1"/>
  <c r="L3051" i="1"/>
  <c r="L3049" i="1"/>
  <c r="L3046" i="1"/>
  <c r="L3045" i="1"/>
  <c r="L3044" i="1"/>
  <c r="L3043" i="1"/>
  <c r="L3042" i="1"/>
  <c r="L3040" i="1"/>
  <c r="L3039" i="1"/>
  <c r="L3038" i="1"/>
  <c r="L2978" i="1"/>
  <c r="L2975" i="1"/>
  <c r="L2973" i="1"/>
  <c r="L2972" i="1"/>
  <c r="L2971" i="1"/>
  <c r="L2967" i="1"/>
  <c r="L2966" i="1"/>
  <c r="L2964" i="1"/>
  <c r="L2963" i="1"/>
  <c r="L2962" i="1"/>
  <c r="L2959" i="1"/>
  <c r="L2958" i="1"/>
  <c r="L2957" i="1"/>
  <c r="L2954" i="1"/>
  <c r="L2953" i="1"/>
  <c r="L2949" i="1"/>
  <c r="L2948" i="1"/>
  <c r="L2943" i="1"/>
  <c r="L2942" i="1"/>
  <c r="L2941" i="1"/>
  <c r="L2940" i="1"/>
  <c r="L2939" i="1"/>
  <c r="L2938" i="1"/>
  <c r="N2938" i="1" s="1"/>
  <c r="L2937" i="1"/>
  <c r="L2935" i="1"/>
  <c r="L2934" i="1"/>
  <c r="L2933" i="1"/>
  <c r="N2933" i="1" s="1"/>
  <c r="L2931" i="1"/>
  <c r="L2930" i="1"/>
  <c r="L2929" i="1"/>
  <c r="L2928" i="1"/>
  <c r="N2928" i="1" s="1"/>
  <c r="L2927" i="1"/>
  <c r="L2923" i="1"/>
  <c r="L2919" i="1"/>
  <c r="L2918" i="1"/>
  <c r="N2918" i="1" s="1"/>
  <c r="L2917" i="1"/>
  <c r="L2916" i="1"/>
  <c r="L2915" i="1"/>
  <c r="L2914" i="1"/>
  <c r="N2914" i="1" s="1"/>
  <c r="L2913" i="1"/>
  <c r="L2912" i="1"/>
  <c r="L2911" i="1"/>
  <c r="L2910" i="1"/>
  <c r="N2910" i="1" s="1"/>
  <c r="L2908" i="1"/>
  <c r="L2907" i="1"/>
  <c r="L2904" i="1"/>
  <c r="L2903" i="1"/>
  <c r="N2903" i="1" s="1"/>
  <c r="L2902" i="1"/>
  <c r="L2900" i="1"/>
  <c r="L2899" i="1"/>
  <c r="L2898" i="1"/>
  <c r="N2898" i="1" s="1"/>
  <c r="L2897" i="1"/>
  <c r="L2895" i="1"/>
  <c r="L2894" i="1"/>
  <c r="L2893" i="1"/>
  <c r="N2893" i="1" s="1"/>
  <c r="L2891" i="1"/>
  <c r="L2889" i="1"/>
  <c r="L2888" i="1"/>
  <c r="L2887" i="1"/>
  <c r="N2887" i="1" s="1"/>
  <c r="L2886" i="1"/>
  <c r="L2885" i="1"/>
  <c r="L2884" i="1"/>
  <c r="L2877" i="1"/>
  <c r="L2876" i="1"/>
  <c r="L2875" i="1"/>
  <c r="L2874" i="1"/>
  <c r="L2872" i="1"/>
  <c r="N2872" i="1" s="1"/>
  <c r="L2871" i="1"/>
  <c r="L2870" i="1"/>
  <c r="L2869" i="1"/>
  <c r="L2867" i="1"/>
  <c r="N2867" i="1" s="1"/>
  <c r="L2861" i="1"/>
  <c r="L2860" i="1"/>
  <c r="L2859" i="1"/>
  <c r="L2858" i="1"/>
  <c r="N2858" i="1" s="1"/>
  <c r="L2857" i="1"/>
  <c r="L2854" i="1"/>
  <c r="L2852" i="1"/>
  <c r="L2849" i="1"/>
  <c r="N2849" i="1" s="1"/>
  <c r="L2847" i="1"/>
  <c r="L2846" i="1"/>
  <c r="L2845" i="1"/>
  <c r="L2844" i="1"/>
  <c r="N2844" i="1" s="1"/>
  <c r="L2843" i="1"/>
  <c r="L2842" i="1"/>
  <c r="L2841" i="1"/>
  <c r="L2840" i="1"/>
  <c r="N2840" i="1" s="1"/>
  <c r="L2838" i="1"/>
  <c r="L2837" i="1"/>
  <c r="L2833" i="1"/>
  <c r="L2831" i="1"/>
  <c r="N2831" i="1" s="1"/>
  <c r="L2830" i="1"/>
  <c r="L2827" i="1"/>
  <c r="L2826" i="1"/>
  <c r="L2825" i="1"/>
  <c r="N2825" i="1" s="1"/>
  <c r="L2824" i="1"/>
  <c r="L2822" i="1"/>
  <c r="L2821" i="1"/>
  <c r="L2820" i="1"/>
  <c r="N2820" i="1" s="1"/>
  <c r="L2819" i="1"/>
  <c r="L2818" i="1"/>
  <c r="L2817" i="1"/>
  <c r="L2816" i="1"/>
  <c r="N2816" i="1" s="1"/>
  <c r="L2814" i="1"/>
  <c r="L2813" i="1"/>
  <c r="L2812" i="1"/>
  <c r="L2811" i="1"/>
  <c r="N2811" i="1" s="1"/>
  <c r="L2810" i="1"/>
  <c r="L2809" i="1"/>
  <c r="L2808" i="1"/>
  <c r="L2807" i="1"/>
  <c r="N2807" i="1" s="1"/>
  <c r="L2806" i="1"/>
  <c r="L2805" i="1"/>
  <c r="L2804" i="1"/>
  <c r="L2803" i="1"/>
  <c r="N2803" i="1" s="1"/>
  <c r="L2802" i="1"/>
  <c r="L2798" i="1"/>
  <c r="L2797" i="1"/>
  <c r="L2796" i="1"/>
  <c r="N2796" i="1" s="1"/>
  <c r="L2794" i="1"/>
  <c r="L2793" i="1"/>
  <c r="L2791" i="1"/>
  <c r="L2788" i="1"/>
  <c r="N2788" i="1" s="1"/>
  <c r="L2785" i="1"/>
  <c r="L2781" i="1"/>
  <c r="L2780" i="1"/>
  <c r="L2779" i="1"/>
  <c r="N2779" i="1" s="1"/>
  <c r="L2778" i="1"/>
  <c r="L2776" i="1"/>
  <c r="L2775" i="1"/>
  <c r="L2774" i="1"/>
  <c r="N2774" i="1" s="1"/>
  <c r="L2773" i="1"/>
  <c r="L2763" i="1"/>
  <c r="L2762" i="1"/>
  <c r="L2761" i="1"/>
  <c r="N2761" i="1" s="1"/>
  <c r="L2760" i="1"/>
  <c r="L2759" i="1"/>
  <c r="L2756" i="1"/>
  <c r="L2755" i="1"/>
  <c r="N2755" i="1" s="1"/>
  <c r="L2753" i="1"/>
  <c r="L2744" i="1"/>
  <c r="L2740" i="1"/>
  <c r="L2738" i="1"/>
  <c r="N2738" i="1" s="1"/>
  <c r="L2737" i="1"/>
  <c r="L2736" i="1"/>
  <c r="L2735" i="1"/>
  <c r="L2734" i="1"/>
  <c r="N2734" i="1" s="1"/>
  <c r="L2733" i="1"/>
  <c r="L2732" i="1"/>
  <c r="L2731" i="1"/>
  <c r="L2729" i="1"/>
  <c r="N2729" i="1" s="1"/>
  <c r="L2728" i="1"/>
  <c r="L2727" i="1"/>
  <c r="L2725" i="1"/>
  <c r="L2720" i="1"/>
  <c r="N2720" i="1" s="1"/>
  <c r="L2719" i="1"/>
  <c r="L2718" i="1"/>
  <c r="L2716" i="1"/>
  <c r="L2715" i="1"/>
  <c r="N2715" i="1" s="1"/>
  <c r="L2714" i="1"/>
  <c r="L2711" i="1"/>
  <c r="L2708" i="1"/>
  <c r="L2707" i="1"/>
  <c r="N2707" i="1" s="1"/>
  <c r="L2706" i="1"/>
  <c r="L2703" i="1"/>
  <c r="L2702" i="1"/>
  <c r="L2701" i="1"/>
  <c r="N2701" i="1" s="1"/>
  <c r="L2700" i="1"/>
  <c r="L2698" i="1"/>
  <c r="L2697" i="1"/>
  <c r="L2696" i="1"/>
  <c r="N2696" i="1" s="1"/>
  <c r="L2688" i="1"/>
  <c r="L2687" i="1"/>
  <c r="L2686" i="1"/>
  <c r="L2685" i="1"/>
  <c r="N2685" i="1" s="1"/>
  <c r="L2683" i="1"/>
  <c r="L2682" i="1"/>
  <c r="L2681" i="1"/>
  <c r="L2680" i="1"/>
  <c r="N2680" i="1" s="1"/>
  <c r="L2679" i="1"/>
  <c r="L2677" i="1"/>
  <c r="L2675" i="1"/>
  <c r="L2674" i="1"/>
  <c r="N2674" i="1" s="1"/>
  <c r="L2672" i="1"/>
  <c r="L2670" i="1"/>
  <c r="L2664" i="1"/>
  <c r="L2663" i="1"/>
  <c r="N2663" i="1" s="1"/>
  <c r="L2659" i="1"/>
  <c r="L2658" i="1"/>
  <c r="L2657" i="1"/>
  <c r="L2656" i="1"/>
  <c r="N2656" i="1" s="1"/>
  <c r="L2655" i="1"/>
  <c r="L2653" i="1"/>
  <c r="L2652" i="1"/>
  <c r="L2651" i="1"/>
  <c r="N2651" i="1" s="1"/>
  <c r="L2650" i="1"/>
  <c r="L2649" i="1"/>
  <c r="L2648" i="1"/>
  <c r="L2647" i="1"/>
  <c r="N2647" i="1" s="1"/>
  <c r="L2645" i="1"/>
  <c r="L2644" i="1"/>
  <c r="L2642" i="1"/>
  <c r="L2641" i="1"/>
  <c r="N2641" i="1" s="1"/>
  <c r="L2640" i="1"/>
  <c r="L2639" i="1"/>
  <c r="L2638" i="1"/>
  <c r="L2637" i="1"/>
  <c r="N2637" i="1" s="1"/>
  <c r="L2636" i="1"/>
  <c r="L2635" i="1"/>
  <c r="L2634" i="1"/>
  <c r="L2633" i="1"/>
  <c r="N2633" i="1" s="1"/>
  <c r="L2628" i="1"/>
  <c r="L2627" i="1"/>
  <c r="L2626" i="1"/>
  <c r="L2625" i="1"/>
  <c r="N2625" i="1" s="1"/>
  <c r="L2623" i="1"/>
  <c r="L2622" i="1"/>
  <c r="L2621" i="1"/>
  <c r="L2617" i="1"/>
  <c r="N2617" i="1" s="1"/>
  <c r="L2616" i="1"/>
  <c r="L2615" i="1"/>
  <c r="L2614" i="1"/>
  <c r="L2613" i="1"/>
  <c r="N2613" i="1" s="1"/>
  <c r="L2612" i="1"/>
  <c r="L2603" i="1"/>
  <c r="L2602" i="1"/>
  <c r="L2601" i="1"/>
  <c r="N2601" i="1" s="1"/>
  <c r="L2591" i="1"/>
  <c r="L2590" i="1"/>
  <c r="L2589" i="1"/>
  <c r="L2587" i="1"/>
  <c r="N2587" i="1" s="1"/>
  <c r="L2585" i="1"/>
  <c r="L2584" i="1"/>
  <c r="L2574" i="1"/>
  <c r="L2573" i="1"/>
  <c r="N2573" i="1" s="1"/>
  <c r="L2572" i="1"/>
  <c r="L2562" i="1"/>
  <c r="L2561" i="1"/>
  <c r="L2559" i="1"/>
  <c r="N2559" i="1" s="1"/>
  <c r="L2558" i="1"/>
  <c r="L2557" i="1"/>
  <c r="L2556" i="1"/>
  <c r="L2555" i="1"/>
  <c r="N2555" i="1" s="1"/>
  <c r="L2554" i="1"/>
  <c r="L2550" i="1"/>
  <c r="L2544" i="1"/>
  <c r="L2536" i="1"/>
  <c r="N2536" i="1" s="1"/>
  <c r="L2523" i="1"/>
  <c r="L2519" i="1"/>
  <c r="L2517" i="1"/>
  <c r="L2516" i="1"/>
  <c r="N2516" i="1" s="1"/>
  <c r="L2514" i="1"/>
  <c r="L2504" i="1"/>
  <c r="L2501" i="1"/>
  <c r="L2499" i="1"/>
  <c r="N2499" i="1" s="1"/>
  <c r="L2498" i="1"/>
  <c r="L2495" i="1"/>
  <c r="L2493" i="1"/>
  <c r="L2492" i="1"/>
  <c r="N2492" i="1" s="1"/>
  <c r="L2491" i="1"/>
  <c r="L2490" i="1"/>
  <c r="L2489" i="1"/>
  <c r="L2488" i="1"/>
  <c r="N2488" i="1" s="1"/>
  <c r="L2487" i="1"/>
  <c r="L2486" i="1"/>
  <c r="L2483" i="1"/>
  <c r="L2482" i="1"/>
  <c r="N2482" i="1" s="1"/>
  <c r="L2478" i="1"/>
  <c r="L2438" i="1"/>
  <c r="L2435" i="1"/>
  <c r="L2345" i="1"/>
  <c r="N2345" i="1" s="1"/>
  <c r="L2344" i="1"/>
  <c r="L2342" i="1"/>
  <c r="L2341" i="1"/>
  <c r="L2136" i="1"/>
  <c r="N2136" i="1" s="1"/>
  <c r="L2134" i="1"/>
  <c r="L2053" i="1"/>
  <c r="L2052" i="1"/>
  <c r="L2051" i="1"/>
  <c r="N2051" i="1" s="1"/>
  <c r="L1747" i="1"/>
  <c r="L1574" i="1"/>
  <c r="L1531" i="1"/>
  <c r="L1530" i="1"/>
  <c r="N1530" i="1" s="1"/>
  <c r="L1527" i="1"/>
  <c r="L1526" i="1"/>
  <c r="L1479" i="1"/>
  <c r="L1477" i="1"/>
  <c r="N1477" i="1" s="1"/>
  <c r="L1455" i="1"/>
  <c r="L1454" i="1"/>
  <c r="L1453" i="1"/>
  <c r="L1452" i="1"/>
  <c r="N1452" i="1" s="1"/>
  <c r="L1451" i="1"/>
  <c r="L1450" i="1"/>
  <c r="L1448" i="1"/>
  <c r="L1447" i="1"/>
  <c r="N1447" i="1" s="1"/>
  <c r="L1444" i="1"/>
  <c r="L1443" i="1"/>
  <c r="L1442" i="1"/>
  <c r="L1440" i="1"/>
  <c r="N1440" i="1" s="1"/>
  <c r="L1439" i="1"/>
  <c r="L1438" i="1"/>
  <c r="L1437" i="1"/>
  <c r="L1436" i="1"/>
  <c r="N1436" i="1" s="1"/>
  <c r="L1435" i="1"/>
  <c r="L1423" i="1"/>
  <c r="L1422" i="1"/>
  <c r="L1420" i="1"/>
  <c r="L1419" i="1"/>
  <c r="L1417" i="1"/>
  <c r="L1412" i="1"/>
  <c r="L1407" i="1"/>
  <c r="L1406" i="1"/>
  <c r="L1401" i="1"/>
  <c r="L1400" i="1"/>
  <c r="L1315" i="1"/>
  <c r="N1315" i="1" s="1"/>
  <c r="L1305" i="1"/>
  <c r="L1299" i="1"/>
  <c r="L1298" i="1"/>
  <c r="L1292" i="1"/>
  <c r="N1292" i="1" s="1"/>
  <c r="L1291" i="1"/>
  <c r="L1289" i="1"/>
  <c r="L1286" i="1"/>
  <c r="L1285" i="1"/>
  <c r="N1285" i="1" s="1"/>
  <c r="L1284" i="1"/>
  <c r="L1280" i="1"/>
  <c r="L1277" i="1"/>
  <c r="L1275" i="1"/>
  <c r="N1275" i="1" s="1"/>
  <c r="L1274" i="1"/>
  <c r="L1273" i="1"/>
  <c r="L1270" i="1"/>
  <c r="L1263" i="1"/>
  <c r="N1263" i="1" s="1"/>
  <c r="L1262" i="1"/>
  <c r="L1261" i="1"/>
  <c r="L1258" i="1"/>
  <c r="L1257" i="1"/>
  <c r="N1257" i="1" s="1"/>
  <c r="L1256" i="1"/>
  <c r="L1255" i="1"/>
  <c r="L1254" i="1"/>
  <c r="L1253" i="1"/>
  <c r="N1253" i="1" s="1"/>
  <c r="L1252" i="1"/>
  <c r="L1251" i="1"/>
  <c r="L1248" i="1"/>
  <c r="L1247" i="1"/>
  <c r="N1247" i="1" s="1"/>
  <c r="L1246" i="1"/>
  <c r="L1245" i="1"/>
  <c r="L1244" i="1"/>
  <c r="L1243" i="1"/>
  <c r="N1243" i="1" s="1"/>
  <c r="L1242" i="1"/>
  <c r="L1241" i="1"/>
  <c r="L1240" i="1"/>
  <c r="L1232" i="1"/>
  <c r="N1232" i="1" s="1"/>
  <c r="L1229" i="1"/>
  <c r="L1228" i="1"/>
  <c r="L1227" i="1"/>
  <c r="L1226" i="1"/>
  <c r="N1226" i="1" s="1"/>
  <c r="L1224" i="1"/>
  <c r="L1223" i="1"/>
  <c r="L1222" i="1"/>
  <c r="L1221" i="1"/>
  <c r="N1221" i="1" s="1"/>
  <c r="L1220" i="1"/>
  <c r="L1219" i="1"/>
  <c r="L1218" i="1"/>
  <c r="L1217" i="1"/>
  <c r="N1217" i="1" s="1"/>
  <c r="L1216" i="1"/>
  <c r="L1211" i="1"/>
  <c r="L1210" i="1"/>
  <c r="L1209" i="1"/>
  <c r="N1209" i="1" s="1"/>
  <c r="L1208" i="1"/>
  <c r="L1205" i="1"/>
  <c r="L1204" i="1"/>
  <c r="L1203" i="1"/>
  <c r="N1203" i="1" s="1"/>
  <c r="L1202" i="1"/>
  <c r="L1201" i="1"/>
  <c r="L1198" i="1"/>
  <c r="L1197" i="1"/>
  <c r="N1197" i="1" s="1"/>
  <c r="L1188" i="1"/>
  <c r="L1187" i="1"/>
  <c r="L1183" i="1"/>
  <c r="L1182" i="1"/>
  <c r="N1182" i="1" s="1"/>
  <c r="L1181" i="1"/>
  <c r="L1180" i="1"/>
  <c r="L1179" i="1"/>
  <c r="L1174" i="1"/>
  <c r="N1174" i="1" s="1"/>
  <c r="L1173" i="1"/>
  <c r="L1172" i="1"/>
  <c r="L1168" i="1"/>
  <c r="L1167" i="1"/>
  <c r="N1167" i="1" s="1"/>
  <c r="L1163" i="1"/>
  <c r="L1158" i="1"/>
  <c r="L1156" i="1"/>
  <c r="L1155" i="1"/>
  <c r="N1155" i="1" s="1"/>
  <c r="L1154" i="1"/>
  <c r="L1152" i="1"/>
  <c r="L1151" i="1"/>
  <c r="L1146" i="1"/>
  <c r="N1146" i="1" s="1"/>
  <c r="L1145" i="1"/>
  <c r="L1143" i="1"/>
  <c r="L1142" i="1"/>
  <c r="L1141" i="1"/>
  <c r="N1141" i="1" s="1"/>
  <c r="L1135" i="1"/>
  <c r="L1132" i="1"/>
  <c r="L1131" i="1"/>
  <c r="L1130" i="1"/>
  <c r="N1130" i="1" s="1"/>
  <c r="L1129" i="1"/>
  <c r="L1128" i="1"/>
  <c r="L1124" i="1"/>
  <c r="L1123" i="1"/>
  <c r="N1123" i="1" s="1"/>
  <c r="L1122" i="1"/>
  <c r="L1120" i="1"/>
  <c r="L1119" i="1"/>
  <c r="L1118" i="1"/>
  <c r="N1118" i="1" s="1"/>
  <c r="L1117" i="1"/>
  <c r="L1116" i="1"/>
  <c r="L1115" i="1"/>
  <c r="L1114" i="1"/>
  <c r="N1114" i="1" s="1"/>
  <c r="L1113" i="1"/>
  <c r="L1112" i="1"/>
  <c r="L1111" i="1"/>
  <c r="L1110" i="1"/>
  <c r="N1110" i="1" s="1"/>
  <c r="L1109" i="1"/>
  <c r="L1108" i="1"/>
  <c r="L1106" i="1"/>
  <c r="L1105" i="1"/>
  <c r="N1105" i="1" s="1"/>
  <c r="L1104" i="1"/>
  <c r="L1102" i="1"/>
  <c r="L1101" i="1"/>
  <c r="L1100" i="1"/>
  <c r="N1100" i="1" s="1"/>
  <c r="L1099" i="1"/>
  <c r="L1098" i="1"/>
  <c r="L1097" i="1"/>
  <c r="L1094" i="1"/>
  <c r="N1094" i="1" s="1"/>
  <c r="L1093" i="1"/>
  <c r="L1092" i="1"/>
  <c r="L1091" i="1"/>
  <c r="L1090" i="1"/>
  <c r="N1090" i="1" s="1"/>
  <c r="L1088" i="1"/>
  <c r="L1087" i="1"/>
  <c r="L1082" i="1"/>
  <c r="L1081" i="1"/>
  <c r="N1081" i="1" s="1"/>
  <c r="L1080" i="1"/>
  <c r="L1079" i="1"/>
  <c r="L1078" i="1"/>
  <c r="L1077" i="1"/>
  <c r="N1077" i="1" s="1"/>
  <c r="L1076" i="1"/>
  <c r="L1075" i="1"/>
  <c r="L1074" i="1"/>
  <c r="L1071" i="1"/>
  <c r="N1071" i="1" s="1"/>
  <c r="L1070" i="1"/>
  <c r="L1069" i="1"/>
  <c r="L1068" i="1"/>
  <c r="L1067" i="1"/>
  <c r="N1067" i="1" s="1"/>
  <c r="L1063" i="1"/>
  <c r="L1062" i="1"/>
  <c r="L1061" i="1"/>
  <c r="L1059" i="1"/>
  <c r="N1059" i="1" s="1"/>
  <c r="L1058" i="1"/>
  <c r="L1057" i="1"/>
  <c r="L1055" i="1"/>
  <c r="L1053" i="1"/>
  <c r="N1053" i="1" s="1"/>
  <c r="L1052" i="1"/>
  <c r="L1051" i="1"/>
  <c r="L1050" i="1"/>
  <c r="L1049" i="1"/>
  <c r="N1049" i="1" s="1"/>
  <c r="L1048" i="1"/>
  <c r="L1047" i="1"/>
  <c r="L1046" i="1"/>
  <c r="L1045" i="1"/>
  <c r="N1045" i="1" s="1"/>
  <c r="L1043" i="1"/>
  <c r="L1042" i="1"/>
  <c r="L1041" i="1"/>
  <c r="L1040" i="1"/>
  <c r="N1040" i="1" s="1"/>
  <c r="L1039" i="1"/>
  <c r="L1037" i="1"/>
  <c r="L1034" i="1"/>
  <c r="L1033" i="1"/>
  <c r="N1033" i="1" s="1"/>
  <c r="L1032" i="1"/>
  <c r="L1013" i="1"/>
  <c r="L1012" i="1"/>
  <c r="L1011" i="1"/>
  <c r="N1011" i="1" s="1"/>
  <c r="L1010" i="1"/>
  <c r="L1009" i="1"/>
  <c r="L1007" i="1"/>
  <c r="L1006" i="1"/>
  <c r="N1006" i="1" s="1"/>
  <c r="L1005" i="1"/>
  <c r="L1004" i="1"/>
  <c r="L1003" i="1"/>
  <c r="L1002" i="1"/>
  <c r="N1002" i="1" s="1"/>
  <c r="L1001" i="1"/>
  <c r="L1000" i="1"/>
  <c r="L999" i="1"/>
  <c r="L998" i="1"/>
  <c r="N998" i="1" s="1"/>
  <c r="L997" i="1"/>
  <c r="L996" i="1"/>
  <c r="L995" i="1"/>
  <c r="L994" i="1"/>
  <c r="N994" i="1" s="1"/>
  <c r="L993" i="1"/>
  <c r="L992" i="1"/>
  <c r="L991" i="1"/>
  <c r="L990" i="1"/>
  <c r="N990" i="1" s="1"/>
  <c r="L989" i="1"/>
  <c r="L987" i="1"/>
  <c r="L962" i="1"/>
  <c r="L960" i="1"/>
  <c r="N960" i="1" s="1"/>
  <c r="L959" i="1"/>
  <c r="L958" i="1"/>
  <c r="L957" i="1"/>
  <c r="L956" i="1"/>
  <c r="N956" i="1" s="1"/>
  <c r="L955" i="1"/>
  <c r="L954" i="1"/>
  <c r="L953" i="1"/>
  <c r="L952" i="1"/>
  <c r="N952" i="1" s="1"/>
  <c r="L951" i="1"/>
  <c r="L950" i="1"/>
  <c r="L949" i="1"/>
  <c r="L948" i="1"/>
  <c r="N948" i="1" s="1"/>
  <c r="L947" i="1"/>
  <c r="L946" i="1"/>
  <c r="L945" i="1"/>
  <c r="L944" i="1"/>
  <c r="N944" i="1" s="1"/>
  <c r="L942" i="1"/>
  <c r="L941" i="1"/>
  <c r="L940" i="1"/>
  <c r="L939" i="1"/>
  <c r="N939" i="1" s="1"/>
  <c r="L937" i="1"/>
  <c r="L934" i="1"/>
  <c r="L933" i="1"/>
  <c r="L932" i="1"/>
  <c r="N932" i="1" s="1"/>
  <c r="L931" i="1"/>
  <c r="L930" i="1"/>
  <c r="L929" i="1"/>
  <c r="L928" i="1"/>
  <c r="N928" i="1" s="1"/>
  <c r="L926" i="1"/>
  <c r="L925" i="1"/>
  <c r="L876" i="1"/>
  <c r="L859" i="1"/>
  <c r="N859" i="1" s="1"/>
  <c r="L858" i="1"/>
  <c r="L857" i="1"/>
  <c r="L855" i="1"/>
  <c r="L849" i="1"/>
  <c r="N849" i="1" s="1"/>
  <c r="L839" i="1"/>
  <c r="L838" i="1"/>
  <c r="L830" i="1"/>
  <c r="L823" i="1"/>
  <c r="N823" i="1" s="1"/>
  <c r="L814" i="1"/>
  <c r="L810" i="1"/>
  <c r="L782" i="1"/>
  <c r="L773" i="1"/>
  <c r="N773" i="1" s="1"/>
  <c r="L758" i="1"/>
  <c r="L746" i="1"/>
  <c r="L680" i="1"/>
  <c r="L659" i="1"/>
  <c r="N659" i="1" s="1"/>
  <c r="L654" i="1"/>
  <c r="L629" i="1"/>
  <c r="L628" i="1"/>
  <c r="L627" i="1"/>
  <c r="N627" i="1" s="1"/>
  <c r="L625" i="1"/>
  <c r="L608" i="1"/>
  <c r="L598" i="1"/>
  <c r="L597" i="1"/>
  <c r="N597" i="1" s="1"/>
  <c r="L595" i="1"/>
  <c r="L594" i="1"/>
  <c r="L589" i="1"/>
  <c r="L566" i="1"/>
  <c r="N566" i="1" s="1"/>
  <c r="L559" i="1"/>
  <c r="L555" i="1"/>
  <c r="L554" i="1"/>
  <c r="L553" i="1"/>
  <c r="N553" i="1" s="1"/>
  <c r="L552" i="1"/>
  <c r="L542" i="1"/>
  <c r="L534" i="1"/>
  <c r="L530" i="1"/>
  <c r="N530" i="1" s="1"/>
  <c r="L528" i="1"/>
  <c r="L527" i="1"/>
  <c r="L503" i="1"/>
  <c r="L502" i="1"/>
  <c r="N502" i="1" s="1"/>
  <c r="L482" i="1"/>
  <c r="L481" i="1"/>
  <c r="L476" i="1"/>
  <c r="L452" i="1"/>
  <c r="N452" i="1" s="1"/>
  <c r="L450" i="1"/>
  <c r="L449" i="1"/>
  <c r="L448" i="1"/>
  <c r="L447" i="1"/>
  <c r="N447" i="1" s="1"/>
  <c r="L445" i="1"/>
  <c r="L444" i="1"/>
  <c r="L443" i="1"/>
  <c r="L439" i="1"/>
  <c r="N439" i="1" s="1"/>
  <c r="L438" i="1"/>
  <c r="L423" i="1"/>
  <c r="L422" i="1"/>
  <c r="L421" i="1"/>
  <c r="N421" i="1" s="1"/>
  <c r="L403" i="1"/>
  <c r="L401" i="1"/>
  <c r="L400" i="1"/>
  <c r="L392" i="1"/>
  <c r="N392" i="1" s="1"/>
  <c r="L391" i="1"/>
  <c r="L386" i="1"/>
  <c r="L375" i="1"/>
  <c r="L373" i="1"/>
  <c r="N373" i="1" s="1"/>
  <c r="L369" i="1"/>
  <c r="L368" i="1"/>
  <c r="L366" i="1"/>
  <c r="L365" i="1"/>
  <c r="N365" i="1" s="1"/>
  <c r="L364" i="1"/>
  <c r="L363" i="1"/>
  <c r="L360" i="1"/>
  <c r="L359" i="1"/>
  <c r="N359" i="1" s="1"/>
  <c r="L358" i="1"/>
  <c r="L357" i="1"/>
  <c r="L356" i="1"/>
  <c r="L355" i="1"/>
  <c r="N355" i="1" s="1"/>
  <c r="L354" i="1"/>
  <c r="L353" i="1"/>
  <c r="L352" i="1"/>
  <c r="L350" i="1"/>
  <c r="N350" i="1" s="1"/>
  <c r="L349" i="1"/>
  <c r="N9" i="1"/>
  <c r="O9" i="1"/>
  <c r="P9" i="1"/>
  <c r="T9" i="1"/>
  <c r="N10" i="1"/>
  <c r="O10" i="1"/>
  <c r="P10" i="1"/>
  <c r="T10" i="1"/>
  <c r="N11" i="1"/>
  <c r="O11" i="1"/>
  <c r="P11" i="1"/>
  <c r="T11" i="1"/>
  <c r="N12" i="1"/>
  <c r="O12" i="1"/>
  <c r="P12" i="1"/>
  <c r="T12" i="1"/>
  <c r="N13" i="1"/>
  <c r="O13" i="1"/>
  <c r="P13" i="1"/>
  <c r="T13" i="1"/>
  <c r="N14" i="1"/>
  <c r="O14" i="1"/>
  <c r="P14" i="1"/>
  <c r="T14" i="1"/>
  <c r="N15" i="1"/>
  <c r="O15" i="1"/>
  <c r="P15" i="1"/>
  <c r="T15" i="1"/>
  <c r="N16" i="1"/>
  <c r="O16" i="1"/>
  <c r="P16" i="1"/>
  <c r="N17" i="1"/>
  <c r="O17" i="1"/>
  <c r="P17" i="1"/>
  <c r="N18" i="1"/>
  <c r="O18" i="1"/>
  <c r="P18" i="1"/>
  <c r="N19" i="1"/>
  <c r="O19" i="1"/>
  <c r="P19" i="1"/>
  <c r="N20" i="1"/>
  <c r="O20" i="1"/>
  <c r="P20" i="1"/>
  <c r="T20" i="1"/>
  <c r="N21" i="1"/>
  <c r="O21" i="1"/>
  <c r="P21" i="1"/>
  <c r="N22" i="1"/>
  <c r="O22" i="1"/>
  <c r="P22" i="1"/>
  <c r="N23" i="1"/>
  <c r="O23" i="1"/>
  <c r="P23" i="1"/>
  <c r="N24" i="1"/>
  <c r="O24" i="1"/>
  <c r="P24" i="1"/>
  <c r="N26" i="1"/>
  <c r="O26" i="1"/>
  <c r="P26" i="1"/>
  <c r="T26" i="1"/>
  <c r="N27" i="1"/>
  <c r="O27" i="1"/>
  <c r="P27" i="1"/>
  <c r="N28" i="1"/>
  <c r="O28" i="1"/>
  <c r="P28" i="1"/>
  <c r="N29" i="1"/>
  <c r="O29" i="1"/>
  <c r="P29" i="1"/>
  <c r="N30" i="1"/>
  <c r="O30" i="1"/>
  <c r="P30" i="1"/>
  <c r="N31" i="1"/>
  <c r="O31" i="1"/>
  <c r="P31" i="1"/>
  <c r="N32" i="1"/>
  <c r="O32" i="1"/>
  <c r="P32" i="1"/>
  <c r="N33" i="1"/>
  <c r="O33" i="1"/>
  <c r="P33" i="1"/>
  <c r="N34" i="1"/>
  <c r="O34" i="1"/>
  <c r="P34" i="1"/>
  <c r="T34" i="1"/>
  <c r="N35" i="1"/>
  <c r="O35" i="1"/>
  <c r="P35" i="1"/>
  <c r="T35" i="1"/>
  <c r="N36" i="1"/>
  <c r="O36" i="1"/>
  <c r="P36" i="1"/>
  <c r="N37" i="1"/>
  <c r="O37" i="1"/>
  <c r="P37" i="1"/>
  <c r="N38" i="1"/>
  <c r="O38" i="1"/>
  <c r="P38" i="1"/>
  <c r="N39" i="1"/>
  <c r="O39" i="1"/>
  <c r="P39" i="1"/>
  <c r="N40" i="1"/>
  <c r="O40" i="1"/>
  <c r="P40" i="1"/>
  <c r="N41" i="1"/>
  <c r="O41" i="1"/>
  <c r="P41" i="1"/>
  <c r="T41" i="1"/>
  <c r="N42" i="1"/>
  <c r="O42" i="1"/>
  <c r="P42" i="1"/>
  <c r="N43" i="1"/>
  <c r="O43" i="1"/>
  <c r="P43" i="1"/>
  <c r="N44" i="1"/>
  <c r="O44" i="1"/>
  <c r="P44" i="1"/>
  <c r="N45" i="1"/>
  <c r="O45" i="1"/>
  <c r="P45" i="1"/>
  <c r="N46" i="1"/>
  <c r="O46" i="1"/>
  <c r="P46" i="1"/>
  <c r="N47" i="1"/>
  <c r="O47" i="1"/>
  <c r="P47" i="1"/>
  <c r="N48" i="1"/>
  <c r="O48" i="1"/>
  <c r="P48" i="1"/>
  <c r="N49" i="1"/>
  <c r="O49" i="1"/>
  <c r="P49" i="1"/>
  <c r="N50" i="1"/>
  <c r="O50" i="1"/>
  <c r="P50" i="1"/>
  <c r="N51" i="1"/>
  <c r="O51" i="1"/>
  <c r="P51" i="1"/>
  <c r="N53" i="1"/>
  <c r="O53" i="1"/>
  <c r="P53" i="1"/>
  <c r="N54" i="1"/>
  <c r="O54" i="1"/>
  <c r="P54" i="1"/>
  <c r="N55" i="1"/>
  <c r="O55" i="1"/>
  <c r="P55" i="1"/>
  <c r="N56" i="1"/>
  <c r="O56" i="1"/>
  <c r="P56" i="1"/>
  <c r="N57" i="1"/>
  <c r="O57" i="1"/>
  <c r="P57" i="1"/>
  <c r="N58" i="1"/>
  <c r="O58" i="1"/>
  <c r="P58" i="1"/>
  <c r="N59" i="1"/>
  <c r="O59" i="1"/>
  <c r="P59" i="1"/>
  <c r="N60" i="1"/>
  <c r="O60" i="1"/>
  <c r="P60" i="1"/>
  <c r="N61" i="1"/>
  <c r="O61" i="1"/>
  <c r="P61" i="1"/>
  <c r="N62" i="1"/>
  <c r="O62" i="1"/>
  <c r="P62" i="1"/>
  <c r="N63" i="1"/>
  <c r="O63" i="1"/>
  <c r="P63" i="1"/>
  <c r="N64" i="1"/>
  <c r="O64" i="1"/>
  <c r="P64" i="1"/>
  <c r="N65" i="1"/>
  <c r="O65" i="1"/>
  <c r="P65" i="1"/>
  <c r="N66" i="1"/>
  <c r="O66" i="1"/>
  <c r="P66" i="1"/>
  <c r="N67" i="1"/>
  <c r="O67" i="1"/>
  <c r="P67" i="1"/>
  <c r="N68" i="1"/>
  <c r="O68" i="1"/>
  <c r="P68" i="1"/>
  <c r="N69" i="1"/>
  <c r="O69" i="1"/>
  <c r="P69" i="1"/>
  <c r="N70" i="1"/>
  <c r="O70" i="1"/>
  <c r="P70" i="1"/>
  <c r="N71" i="1"/>
  <c r="O71" i="1"/>
  <c r="P71" i="1"/>
  <c r="N72" i="1"/>
  <c r="O72" i="1"/>
  <c r="P72" i="1"/>
  <c r="N73" i="1"/>
  <c r="O73" i="1"/>
  <c r="P73" i="1"/>
  <c r="N74" i="1"/>
  <c r="O74" i="1"/>
  <c r="P74" i="1"/>
  <c r="N76" i="1"/>
  <c r="O76" i="1"/>
  <c r="P76" i="1"/>
  <c r="N77" i="1"/>
  <c r="O77" i="1"/>
  <c r="P77" i="1"/>
  <c r="N78" i="1"/>
  <c r="O78" i="1"/>
  <c r="P78" i="1"/>
  <c r="N79" i="1"/>
  <c r="O79" i="1"/>
  <c r="P79" i="1"/>
  <c r="T79" i="1"/>
  <c r="N80" i="1"/>
  <c r="O80" i="1"/>
  <c r="P80" i="1"/>
  <c r="N82" i="1"/>
  <c r="O82" i="1"/>
  <c r="P82" i="1"/>
  <c r="N83" i="1"/>
  <c r="O83" i="1"/>
  <c r="P83" i="1"/>
  <c r="N84" i="1"/>
  <c r="O84" i="1"/>
  <c r="P84" i="1"/>
  <c r="N85" i="1"/>
  <c r="O85" i="1"/>
  <c r="P85" i="1"/>
  <c r="T85" i="1"/>
  <c r="N86" i="1"/>
  <c r="O86" i="1"/>
  <c r="P86" i="1"/>
  <c r="N88" i="1"/>
  <c r="O88" i="1"/>
  <c r="P88" i="1"/>
  <c r="N89" i="1"/>
  <c r="O89" i="1"/>
  <c r="P89" i="1"/>
  <c r="N90" i="1"/>
  <c r="O90" i="1"/>
  <c r="P90" i="1"/>
  <c r="T90" i="1"/>
  <c r="N91" i="1"/>
  <c r="O91" i="1"/>
  <c r="P91" i="1"/>
  <c r="N92" i="1"/>
  <c r="O92" i="1"/>
  <c r="T92" i="1"/>
  <c r="N93" i="1"/>
  <c r="O93" i="1"/>
  <c r="P93" i="1"/>
  <c r="N95" i="1"/>
  <c r="O95" i="1"/>
  <c r="P95" i="1"/>
  <c r="T95" i="1"/>
  <c r="N96" i="1"/>
  <c r="O96" i="1"/>
  <c r="P96" i="1"/>
  <c r="T96" i="1"/>
  <c r="N97" i="1"/>
  <c r="O97" i="1"/>
  <c r="P97" i="1"/>
  <c r="T97" i="1"/>
  <c r="N98" i="1"/>
  <c r="O98" i="1"/>
  <c r="P98" i="1"/>
  <c r="T98" i="1"/>
  <c r="N99" i="1"/>
  <c r="O99" i="1"/>
  <c r="P99" i="1"/>
  <c r="T99" i="1"/>
  <c r="N100" i="1"/>
  <c r="O100" i="1"/>
  <c r="P100" i="1"/>
  <c r="N101" i="1"/>
  <c r="O101" i="1"/>
  <c r="P101" i="1"/>
  <c r="N102" i="1"/>
  <c r="O102" i="1"/>
  <c r="P102" i="1"/>
  <c r="N103" i="1"/>
  <c r="O103" i="1"/>
  <c r="P103" i="1"/>
  <c r="N104" i="1"/>
  <c r="O104" i="1"/>
  <c r="P104" i="1"/>
  <c r="N107" i="1"/>
  <c r="O107" i="1"/>
  <c r="P107" i="1"/>
  <c r="N109" i="1"/>
  <c r="O109" i="1"/>
  <c r="P109" i="1"/>
  <c r="N111" i="1"/>
  <c r="O111" i="1"/>
  <c r="P111" i="1"/>
  <c r="T111" i="1"/>
  <c r="N112" i="1"/>
  <c r="O112" i="1"/>
  <c r="P112" i="1"/>
  <c r="T112" i="1"/>
  <c r="N114" i="1"/>
  <c r="O114" i="1"/>
  <c r="P114" i="1"/>
  <c r="N116" i="1"/>
  <c r="O116" i="1"/>
  <c r="P116" i="1"/>
  <c r="T116" i="1"/>
  <c r="N118" i="1"/>
  <c r="O118" i="1"/>
  <c r="P118" i="1"/>
  <c r="T118" i="1"/>
  <c r="N120" i="1"/>
  <c r="O120" i="1"/>
  <c r="P120" i="1"/>
  <c r="T120" i="1"/>
  <c r="N121" i="1"/>
  <c r="O121" i="1"/>
  <c r="P121" i="1"/>
  <c r="N122" i="1"/>
  <c r="O122" i="1"/>
  <c r="P122" i="1"/>
  <c r="N124" i="1"/>
  <c r="O124" i="1"/>
  <c r="P124" i="1"/>
  <c r="T124" i="1"/>
  <c r="N125" i="1"/>
  <c r="O125" i="1"/>
  <c r="P125" i="1"/>
  <c r="T125" i="1"/>
  <c r="N126" i="1"/>
  <c r="O126" i="1"/>
  <c r="P126" i="1"/>
  <c r="N127" i="1"/>
  <c r="O127" i="1"/>
  <c r="P127" i="1"/>
  <c r="T127" i="1"/>
  <c r="N128" i="1"/>
  <c r="O128" i="1"/>
  <c r="P128" i="1"/>
  <c r="T128" i="1"/>
  <c r="N129" i="1"/>
  <c r="O129" i="1"/>
  <c r="P129" i="1"/>
  <c r="N130" i="1"/>
  <c r="O130" i="1"/>
  <c r="P130" i="1"/>
  <c r="N131" i="1"/>
  <c r="O131" i="1"/>
  <c r="P131" i="1"/>
  <c r="T131" i="1"/>
  <c r="N132" i="1"/>
  <c r="O132" i="1"/>
  <c r="P132" i="1"/>
  <c r="N133" i="1"/>
  <c r="O133" i="1"/>
  <c r="T133" i="1"/>
  <c r="N135" i="1"/>
  <c r="O135" i="1"/>
  <c r="P135" i="1"/>
  <c r="T135" i="1"/>
  <c r="N137" i="1"/>
  <c r="O137" i="1"/>
  <c r="P137" i="1"/>
  <c r="T137" i="1"/>
  <c r="N138" i="1"/>
  <c r="O138" i="1"/>
  <c r="P138" i="1"/>
  <c r="T138" i="1"/>
  <c r="N139" i="1"/>
  <c r="O139" i="1"/>
  <c r="P139" i="1"/>
  <c r="T139" i="1"/>
  <c r="N140" i="1"/>
  <c r="O140" i="1"/>
  <c r="P140" i="1"/>
  <c r="T140" i="1"/>
  <c r="N141" i="1"/>
  <c r="O141" i="1"/>
  <c r="P141" i="1"/>
  <c r="T141" i="1"/>
  <c r="N143" i="1"/>
  <c r="O143" i="1"/>
  <c r="P143" i="1"/>
  <c r="N144" i="1"/>
  <c r="O144" i="1"/>
  <c r="P144" i="1"/>
  <c r="N145" i="1"/>
  <c r="O145" i="1"/>
  <c r="P145" i="1"/>
  <c r="T145" i="1"/>
  <c r="N146" i="1"/>
  <c r="O146" i="1"/>
  <c r="P146" i="1"/>
  <c r="T146" i="1"/>
  <c r="N147" i="1"/>
  <c r="O147" i="1"/>
  <c r="P147" i="1"/>
  <c r="T147" i="1"/>
  <c r="N148" i="1"/>
  <c r="O148" i="1"/>
  <c r="P148" i="1"/>
  <c r="T148" i="1"/>
  <c r="N149" i="1"/>
  <c r="O149" i="1"/>
  <c r="P149" i="1"/>
  <c r="N151" i="1"/>
  <c r="O151" i="1"/>
  <c r="P151" i="1"/>
  <c r="N152" i="1"/>
  <c r="O152" i="1"/>
  <c r="P152" i="1"/>
  <c r="N153" i="1"/>
  <c r="O153" i="1"/>
  <c r="P153" i="1"/>
  <c r="T153" i="1"/>
  <c r="N156" i="1"/>
  <c r="O156" i="1"/>
  <c r="P156" i="1"/>
  <c r="N157" i="1"/>
  <c r="O157" i="1"/>
  <c r="P157" i="1"/>
  <c r="N158" i="1"/>
  <c r="O158" i="1"/>
  <c r="P158" i="1"/>
  <c r="T158" i="1"/>
  <c r="N159" i="1"/>
  <c r="O159" i="1"/>
  <c r="P159" i="1"/>
  <c r="T159" i="1"/>
  <c r="N160" i="1"/>
  <c r="O160" i="1"/>
  <c r="P160" i="1"/>
  <c r="T160" i="1"/>
  <c r="N161" i="1"/>
  <c r="O161" i="1"/>
  <c r="P161" i="1"/>
  <c r="T161" i="1"/>
  <c r="N162" i="1"/>
  <c r="O162" i="1"/>
  <c r="P162" i="1"/>
  <c r="N163" i="1"/>
  <c r="O163" i="1"/>
  <c r="P163" i="1"/>
  <c r="N164" i="1"/>
  <c r="O164" i="1"/>
  <c r="P164" i="1"/>
  <c r="N165" i="1"/>
  <c r="O165" i="1"/>
  <c r="P165" i="1"/>
  <c r="N166" i="1"/>
  <c r="O166" i="1"/>
  <c r="P166" i="1"/>
  <c r="N167" i="1"/>
  <c r="O167" i="1"/>
  <c r="P167" i="1"/>
  <c r="N168" i="1"/>
  <c r="O168" i="1"/>
  <c r="P168" i="1"/>
  <c r="N170" i="1"/>
  <c r="O170" i="1"/>
  <c r="P170" i="1"/>
  <c r="T170" i="1"/>
  <c r="N171" i="1"/>
  <c r="O171" i="1"/>
  <c r="P171" i="1"/>
  <c r="N172" i="1"/>
  <c r="O172" i="1"/>
  <c r="P172" i="1"/>
  <c r="N173" i="1"/>
  <c r="O173" i="1"/>
  <c r="P173" i="1"/>
  <c r="N174" i="1"/>
  <c r="O174" i="1"/>
  <c r="P174" i="1"/>
  <c r="N175" i="1"/>
  <c r="O175" i="1"/>
  <c r="P175" i="1"/>
  <c r="N176" i="1"/>
  <c r="O176" i="1"/>
  <c r="P176" i="1"/>
  <c r="N178" i="1"/>
  <c r="O178" i="1"/>
  <c r="P178" i="1"/>
  <c r="N179" i="1"/>
  <c r="O179" i="1"/>
  <c r="P179" i="1"/>
  <c r="N180" i="1"/>
  <c r="O180" i="1"/>
  <c r="P180" i="1"/>
  <c r="N181" i="1"/>
  <c r="O181" i="1"/>
  <c r="P181" i="1"/>
  <c r="T181" i="1"/>
  <c r="N182" i="1"/>
  <c r="O182" i="1"/>
  <c r="P182" i="1"/>
  <c r="N183" i="1"/>
  <c r="O183" i="1"/>
  <c r="P183" i="1"/>
  <c r="N184" i="1"/>
  <c r="O184" i="1"/>
  <c r="P184" i="1"/>
  <c r="T184" i="1"/>
  <c r="N185" i="1"/>
  <c r="O185" i="1"/>
  <c r="P185" i="1"/>
  <c r="T185" i="1"/>
  <c r="N186" i="1"/>
  <c r="O186" i="1"/>
  <c r="P186" i="1"/>
  <c r="N187" i="1"/>
  <c r="O187" i="1"/>
  <c r="P187" i="1"/>
  <c r="N188" i="1"/>
  <c r="O188" i="1"/>
  <c r="P188" i="1"/>
  <c r="N189" i="1"/>
  <c r="O189" i="1"/>
  <c r="P189" i="1"/>
  <c r="N190" i="1"/>
  <c r="O190" i="1"/>
  <c r="P190" i="1"/>
  <c r="N191" i="1"/>
  <c r="O191" i="1"/>
  <c r="P191" i="1"/>
  <c r="T191" i="1"/>
  <c r="N192" i="1"/>
  <c r="O192" i="1"/>
  <c r="P192" i="1"/>
  <c r="N193" i="1"/>
  <c r="O193" i="1"/>
  <c r="P193" i="1"/>
  <c r="T193" i="1"/>
  <c r="N194" i="1"/>
  <c r="O194" i="1"/>
  <c r="P194" i="1"/>
  <c r="T194" i="1"/>
  <c r="N195" i="1"/>
  <c r="O195" i="1"/>
  <c r="P195" i="1"/>
  <c r="N196" i="1"/>
  <c r="O196" i="1"/>
  <c r="P196" i="1"/>
  <c r="N197" i="1"/>
  <c r="O197" i="1"/>
  <c r="P197" i="1"/>
  <c r="T197" i="1"/>
  <c r="N198" i="1"/>
  <c r="O198" i="1"/>
  <c r="P198" i="1"/>
  <c r="N199" i="1"/>
  <c r="O199" i="1"/>
  <c r="P199" i="1"/>
  <c r="N200" i="1"/>
  <c r="O200" i="1"/>
  <c r="P200" i="1"/>
  <c r="N201" i="1"/>
  <c r="O201" i="1"/>
  <c r="P201" i="1"/>
  <c r="T201" i="1"/>
  <c r="N202" i="1"/>
  <c r="O202" i="1"/>
  <c r="P202" i="1"/>
  <c r="T202" i="1"/>
  <c r="N203" i="1"/>
  <c r="O203" i="1"/>
  <c r="P203" i="1"/>
  <c r="T203" i="1"/>
  <c r="N204" i="1"/>
  <c r="O204" i="1"/>
  <c r="P204" i="1"/>
  <c r="T204" i="1"/>
  <c r="N205" i="1"/>
  <c r="O205" i="1"/>
  <c r="P205" i="1"/>
  <c r="T205" i="1"/>
  <c r="N206" i="1"/>
  <c r="O206" i="1"/>
  <c r="P206" i="1"/>
  <c r="T206" i="1"/>
  <c r="N207" i="1"/>
  <c r="O207" i="1"/>
  <c r="P207" i="1"/>
  <c r="T207" i="1"/>
  <c r="N208" i="1"/>
  <c r="O208" i="1"/>
  <c r="P208" i="1"/>
  <c r="T208" i="1"/>
  <c r="N209" i="1"/>
  <c r="O209" i="1"/>
  <c r="P209" i="1"/>
  <c r="T209" i="1"/>
  <c r="N210" i="1"/>
  <c r="O210" i="1"/>
  <c r="P210" i="1"/>
  <c r="T210" i="1"/>
  <c r="N211" i="1"/>
  <c r="O211" i="1"/>
  <c r="P211" i="1"/>
  <c r="T211" i="1"/>
  <c r="N212" i="1"/>
  <c r="O212" i="1"/>
  <c r="P212" i="1"/>
  <c r="T212" i="1"/>
  <c r="N213" i="1"/>
  <c r="O213" i="1"/>
  <c r="P213" i="1"/>
  <c r="T213" i="1"/>
  <c r="N214" i="1"/>
  <c r="O214" i="1"/>
  <c r="P214" i="1"/>
  <c r="T214" i="1"/>
  <c r="N215" i="1"/>
  <c r="O215" i="1"/>
  <c r="P215" i="1"/>
  <c r="T215" i="1"/>
  <c r="N216" i="1"/>
  <c r="O216" i="1"/>
  <c r="P216" i="1"/>
  <c r="T216" i="1"/>
  <c r="N217" i="1"/>
  <c r="O217" i="1"/>
  <c r="P217" i="1"/>
  <c r="T217" i="1"/>
  <c r="N218" i="1"/>
  <c r="O218" i="1"/>
  <c r="P218" i="1"/>
  <c r="T218" i="1"/>
  <c r="N219" i="1"/>
  <c r="O219" i="1"/>
  <c r="P219" i="1"/>
  <c r="T219" i="1"/>
  <c r="N220" i="1"/>
  <c r="O220" i="1"/>
  <c r="P220" i="1"/>
  <c r="T220" i="1"/>
  <c r="N221" i="1"/>
  <c r="O221" i="1"/>
  <c r="P221" i="1"/>
  <c r="T221" i="1"/>
  <c r="N222" i="1"/>
  <c r="O222" i="1"/>
  <c r="P222" i="1"/>
  <c r="N223" i="1"/>
  <c r="O223" i="1"/>
  <c r="P223" i="1"/>
  <c r="T223" i="1"/>
  <c r="N224" i="1"/>
  <c r="O224" i="1"/>
  <c r="P224" i="1"/>
  <c r="N225" i="1"/>
  <c r="O225" i="1"/>
  <c r="P225" i="1"/>
  <c r="N226" i="1"/>
  <c r="O226" i="1"/>
  <c r="P226" i="1"/>
  <c r="T226" i="1"/>
  <c r="N227" i="1"/>
  <c r="O227" i="1"/>
  <c r="P227" i="1"/>
  <c r="T227" i="1"/>
  <c r="N228" i="1"/>
  <c r="O228" i="1"/>
  <c r="P228" i="1"/>
  <c r="T228" i="1"/>
  <c r="N229" i="1"/>
  <c r="O229" i="1"/>
  <c r="P229" i="1"/>
  <c r="N230" i="1"/>
  <c r="O230" i="1"/>
  <c r="P230" i="1"/>
  <c r="N231" i="1"/>
  <c r="O231" i="1"/>
  <c r="P231" i="1"/>
  <c r="T231" i="1"/>
  <c r="N232" i="1"/>
  <c r="O232" i="1"/>
  <c r="P232" i="1"/>
  <c r="T232" i="1"/>
  <c r="N233" i="1"/>
  <c r="O233" i="1"/>
  <c r="P233" i="1"/>
  <c r="T233" i="1"/>
  <c r="N234" i="1"/>
  <c r="O234" i="1"/>
  <c r="P234" i="1"/>
  <c r="T234" i="1"/>
  <c r="N235" i="1"/>
  <c r="O235" i="1"/>
  <c r="P235" i="1"/>
  <c r="T235" i="1"/>
  <c r="N236" i="1"/>
  <c r="O236" i="1"/>
  <c r="P236" i="1"/>
  <c r="T236" i="1"/>
  <c r="N237" i="1"/>
  <c r="O237" i="1"/>
  <c r="P237" i="1"/>
  <c r="N238" i="1"/>
  <c r="O238" i="1"/>
  <c r="P238" i="1"/>
  <c r="N239" i="1"/>
  <c r="O239" i="1"/>
  <c r="P239" i="1"/>
  <c r="T239" i="1"/>
  <c r="N240" i="1"/>
  <c r="O240" i="1"/>
  <c r="P240" i="1"/>
  <c r="N241" i="1"/>
  <c r="O241" i="1"/>
  <c r="P241" i="1"/>
  <c r="N242" i="1"/>
  <c r="O242" i="1"/>
  <c r="P242" i="1"/>
  <c r="T242" i="1"/>
  <c r="N243" i="1"/>
  <c r="O243" i="1"/>
  <c r="P243" i="1"/>
  <c r="N244" i="1"/>
  <c r="O244" i="1"/>
  <c r="P244" i="1"/>
  <c r="T244" i="1"/>
  <c r="N245" i="1"/>
  <c r="O245" i="1"/>
  <c r="P245" i="1"/>
  <c r="T245" i="1"/>
  <c r="N246" i="1"/>
  <c r="O246" i="1"/>
  <c r="P246" i="1"/>
  <c r="T246" i="1"/>
  <c r="N247" i="1"/>
  <c r="O247" i="1"/>
  <c r="P247" i="1"/>
  <c r="T247" i="1"/>
  <c r="N248" i="1"/>
  <c r="O248" i="1"/>
  <c r="P248" i="1"/>
  <c r="T248" i="1"/>
  <c r="N249" i="1"/>
  <c r="O249" i="1"/>
  <c r="P249" i="1"/>
  <c r="T249" i="1"/>
  <c r="N250" i="1"/>
  <c r="O250" i="1"/>
  <c r="P250" i="1"/>
  <c r="N251" i="1"/>
  <c r="O251" i="1"/>
  <c r="P251" i="1"/>
  <c r="T251" i="1"/>
  <c r="N252" i="1"/>
  <c r="O252" i="1"/>
  <c r="P252" i="1"/>
  <c r="T252" i="1"/>
  <c r="N253" i="1"/>
  <c r="O253" i="1"/>
  <c r="P253" i="1"/>
  <c r="N254" i="1"/>
  <c r="O254" i="1"/>
  <c r="P254" i="1"/>
  <c r="T254" i="1"/>
  <c r="N255" i="1"/>
  <c r="O255" i="1"/>
  <c r="P255" i="1"/>
  <c r="T255" i="1"/>
  <c r="N256" i="1"/>
  <c r="O256" i="1"/>
  <c r="P256" i="1"/>
  <c r="N257" i="1"/>
  <c r="O257" i="1"/>
  <c r="P257" i="1"/>
  <c r="N258" i="1"/>
  <c r="O258" i="1"/>
  <c r="P258" i="1"/>
  <c r="N259" i="1"/>
  <c r="O259" i="1"/>
  <c r="P259" i="1"/>
  <c r="N261" i="1"/>
  <c r="O261" i="1"/>
  <c r="P261" i="1"/>
  <c r="N263" i="1"/>
  <c r="O263" i="1"/>
  <c r="P263" i="1"/>
  <c r="N264" i="1"/>
  <c r="O264" i="1"/>
  <c r="P264" i="1"/>
  <c r="N265" i="1"/>
  <c r="O265" i="1"/>
  <c r="P265" i="1"/>
  <c r="N266" i="1"/>
  <c r="O266" i="1"/>
  <c r="T266" i="1"/>
  <c r="N267" i="1"/>
  <c r="O267" i="1"/>
  <c r="P267" i="1"/>
  <c r="N268" i="1"/>
  <c r="O268" i="1"/>
  <c r="P268" i="1"/>
  <c r="N269" i="1"/>
  <c r="O269" i="1"/>
  <c r="P269" i="1"/>
  <c r="N270" i="1"/>
  <c r="O270" i="1"/>
  <c r="P270" i="1"/>
  <c r="T270" i="1"/>
  <c r="N271" i="1"/>
  <c r="O271" i="1"/>
  <c r="P271" i="1"/>
  <c r="T271" i="1"/>
  <c r="N272" i="1"/>
  <c r="O272" i="1"/>
  <c r="P272" i="1"/>
  <c r="T272" i="1"/>
  <c r="N273" i="1"/>
  <c r="O273" i="1"/>
  <c r="P273" i="1"/>
  <c r="N274" i="1"/>
  <c r="O274" i="1"/>
  <c r="P274" i="1"/>
  <c r="N275" i="1"/>
  <c r="O275" i="1"/>
  <c r="T275" i="1"/>
  <c r="N276" i="1"/>
  <c r="O276" i="1"/>
  <c r="P276" i="1"/>
  <c r="N277" i="1"/>
  <c r="O277" i="1"/>
  <c r="P277" i="1"/>
  <c r="N278" i="1"/>
  <c r="O278" i="1"/>
  <c r="P278" i="1"/>
  <c r="N279" i="1"/>
  <c r="O279" i="1"/>
  <c r="P279" i="1"/>
  <c r="N280" i="1"/>
  <c r="O280" i="1"/>
  <c r="P280" i="1"/>
  <c r="T280" i="1"/>
  <c r="N281" i="1"/>
  <c r="O281" i="1"/>
  <c r="P281" i="1"/>
  <c r="T281" i="1"/>
  <c r="N282" i="1"/>
  <c r="O282" i="1"/>
  <c r="P282" i="1"/>
  <c r="T282" i="1"/>
  <c r="N283" i="1"/>
  <c r="O283" i="1"/>
  <c r="P283" i="1"/>
  <c r="N284" i="1"/>
  <c r="O284" i="1"/>
  <c r="P284" i="1"/>
  <c r="T284" i="1"/>
  <c r="N285" i="1"/>
  <c r="O285" i="1"/>
  <c r="P285" i="1"/>
  <c r="N286" i="1"/>
  <c r="O286" i="1"/>
  <c r="P286" i="1"/>
  <c r="N287" i="1"/>
  <c r="O287" i="1"/>
  <c r="P287" i="1"/>
  <c r="N288" i="1"/>
  <c r="O288" i="1"/>
  <c r="P288" i="1"/>
  <c r="N289" i="1"/>
  <c r="O289" i="1"/>
  <c r="P289" i="1"/>
  <c r="N290" i="1"/>
  <c r="O290" i="1"/>
  <c r="P290" i="1"/>
  <c r="N291" i="1"/>
  <c r="O291" i="1"/>
  <c r="P291" i="1"/>
  <c r="N292" i="1"/>
  <c r="O292" i="1"/>
  <c r="P292" i="1"/>
  <c r="N293" i="1"/>
  <c r="O293" i="1"/>
  <c r="P293" i="1"/>
  <c r="N294" i="1"/>
  <c r="O294" i="1"/>
  <c r="P294" i="1"/>
  <c r="N295" i="1"/>
  <c r="O295" i="1"/>
  <c r="P295" i="1"/>
  <c r="N296" i="1"/>
  <c r="O296" i="1"/>
  <c r="P296" i="1"/>
  <c r="N297" i="1"/>
  <c r="O297" i="1"/>
  <c r="P297" i="1"/>
  <c r="N298" i="1"/>
  <c r="O298" i="1"/>
  <c r="P298" i="1"/>
  <c r="N299" i="1"/>
  <c r="O299" i="1"/>
  <c r="P299" i="1"/>
  <c r="N300" i="1"/>
  <c r="O300" i="1"/>
  <c r="P300" i="1"/>
  <c r="N301" i="1"/>
  <c r="O301" i="1"/>
  <c r="P301" i="1"/>
  <c r="N302" i="1"/>
  <c r="O302" i="1"/>
  <c r="P302" i="1"/>
  <c r="N303" i="1"/>
  <c r="O303" i="1"/>
  <c r="P303" i="1"/>
  <c r="N304" i="1"/>
  <c r="O304" i="1"/>
  <c r="P304" i="1"/>
  <c r="N305" i="1"/>
  <c r="O305" i="1"/>
  <c r="P305" i="1"/>
  <c r="N306" i="1"/>
  <c r="O306" i="1"/>
  <c r="P306" i="1"/>
  <c r="N307" i="1"/>
  <c r="O307" i="1"/>
  <c r="P307" i="1"/>
  <c r="N308" i="1"/>
  <c r="O308" i="1"/>
  <c r="P308" i="1"/>
  <c r="N309" i="1"/>
  <c r="O309" i="1"/>
  <c r="P309" i="1"/>
  <c r="N310" i="1"/>
  <c r="O310" i="1"/>
  <c r="P310" i="1"/>
  <c r="N311" i="1"/>
  <c r="O311" i="1"/>
  <c r="P311" i="1"/>
  <c r="N312" i="1"/>
  <c r="O312" i="1"/>
  <c r="P312" i="1"/>
  <c r="T312" i="1"/>
  <c r="N313" i="1"/>
  <c r="O313" i="1"/>
  <c r="P313" i="1"/>
  <c r="N314" i="1"/>
  <c r="O314" i="1"/>
  <c r="P314" i="1"/>
  <c r="T314" i="1"/>
  <c r="N315" i="1"/>
  <c r="O315" i="1"/>
  <c r="P315" i="1"/>
  <c r="N316" i="1"/>
  <c r="O316" i="1"/>
  <c r="P316" i="1"/>
  <c r="N317" i="1"/>
  <c r="O317" i="1"/>
  <c r="P317" i="1"/>
  <c r="N318" i="1"/>
  <c r="O318" i="1"/>
  <c r="P318" i="1"/>
  <c r="N319" i="1"/>
  <c r="O319" i="1"/>
  <c r="P319" i="1"/>
  <c r="N320" i="1"/>
  <c r="O320" i="1"/>
  <c r="P320" i="1"/>
  <c r="N321" i="1"/>
  <c r="O321" i="1"/>
  <c r="P321" i="1"/>
  <c r="N322" i="1"/>
  <c r="O322" i="1"/>
  <c r="P322" i="1"/>
  <c r="N323" i="1"/>
  <c r="O323" i="1"/>
  <c r="P323" i="1"/>
  <c r="T323" i="1"/>
  <c r="N324" i="1"/>
  <c r="O324" i="1"/>
  <c r="P324" i="1"/>
  <c r="N325" i="1"/>
  <c r="O325" i="1"/>
  <c r="P325" i="1"/>
  <c r="T325" i="1"/>
  <c r="N326" i="1"/>
  <c r="O326" i="1"/>
  <c r="P326" i="1"/>
  <c r="N327" i="1"/>
  <c r="O327" i="1"/>
  <c r="P327" i="1"/>
  <c r="N328" i="1"/>
  <c r="O328" i="1"/>
  <c r="P328" i="1"/>
  <c r="N329" i="1"/>
  <c r="O329" i="1"/>
  <c r="P329" i="1"/>
  <c r="N330" i="1"/>
  <c r="O330" i="1"/>
  <c r="P330" i="1"/>
  <c r="N331" i="1"/>
  <c r="O331" i="1"/>
  <c r="P331" i="1"/>
  <c r="N332" i="1"/>
  <c r="O332" i="1"/>
  <c r="P332" i="1"/>
  <c r="N333" i="1"/>
  <c r="O333" i="1"/>
  <c r="P333" i="1"/>
  <c r="N334" i="1"/>
  <c r="O334" i="1"/>
  <c r="P334" i="1"/>
  <c r="N335" i="1"/>
  <c r="O335" i="1"/>
  <c r="P335" i="1"/>
  <c r="N336" i="1"/>
  <c r="O336" i="1"/>
  <c r="P336" i="1"/>
  <c r="N337" i="1"/>
  <c r="O337" i="1"/>
  <c r="P337" i="1"/>
  <c r="N338" i="1"/>
  <c r="O338" i="1"/>
  <c r="P338" i="1"/>
  <c r="N339" i="1"/>
  <c r="O339" i="1"/>
  <c r="P339" i="1"/>
  <c r="N340" i="1"/>
  <c r="O340" i="1"/>
  <c r="P340" i="1"/>
  <c r="T340" i="1"/>
  <c r="N341" i="1"/>
  <c r="O341" i="1"/>
  <c r="P341" i="1"/>
  <c r="N342" i="1"/>
  <c r="O342" i="1"/>
  <c r="P342" i="1"/>
  <c r="N343" i="1"/>
  <c r="O343" i="1"/>
  <c r="P343" i="1"/>
  <c r="N347" i="1"/>
  <c r="O347" i="1"/>
  <c r="P347" i="1"/>
  <c r="T347" i="1"/>
  <c r="N349" i="1"/>
  <c r="O349" i="1"/>
  <c r="T349" i="1"/>
  <c r="O350" i="1"/>
  <c r="P350" i="1"/>
  <c r="T350" i="1"/>
  <c r="N352" i="1"/>
  <c r="O352" i="1"/>
  <c r="P352" i="1"/>
  <c r="T352" i="1"/>
  <c r="N353" i="1"/>
  <c r="O353" i="1"/>
  <c r="P353" i="1"/>
  <c r="T353" i="1"/>
  <c r="N354" i="1"/>
  <c r="O354" i="1"/>
  <c r="P354" i="1"/>
  <c r="T354" i="1"/>
  <c r="O355" i="1"/>
  <c r="P355" i="1"/>
  <c r="T355" i="1"/>
  <c r="N356" i="1"/>
  <c r="O356" i="1"/>
  <c r="P356" i="1"/>
  <c r="T356" i="1"/>
  <c r="N357" i="1"/>
  <c r="O357" i="1"/>
  <c r="P357" i="1"/>
  <c r="T357" i="1"/>
  <c r="N358" i="1"/>
  <c r="O358" i="1"/>
  <c r="P358" i="1"/>
  <c r="T358" i="1"/>
  <c r="O359" i="1"/>
  <c r="P359" i="1"/>
  <c r="T359" i="1"/>
  <c r="N360" i="1"/>
  <c r="O360" i="1"/>
  <c r="P360" i="1"/>
  <c r="T360" i="1"/>
  <c r="N361" i="1"/>
  <c r="O361" i="1"/>
  <c r="P361" i="1"/>
  <c r="T361" i="1"/>
  <c r="N362" i="1"/>
  <c r="O362" i="1"/>
  <c r="P362" i="1"/>
  <c r="N363" i="1"/>
  <c r="O363" i="1"/>
  <c r="P363" i="1"/>
  <c r="T363" i="1"/>
  <c r="N364" i="1"/>
  <c r="O364" i="1"/>
  <c r="P364" i="1"/>
  <c r="T364" i="1"/>
  <c r="O365" i="1"/>
  <c r="P365" i="1"/>
  <c r="T365" i="1"/>
  <c r="N366" i="1"/>
  <c r="O366" i="1"/>
  <c r="P366" i="1"/>
  <c r="T366" i="1"/>
  <c r="N368" i="1"/>
  <c r="O368" i="1"/>
  <c r="P368" i="1"/>
  <c r="T368" i="1"/>
  <c r="N369" i="1"/>
  <c r="O369" i="1"/>
  <c r="P369" i="1"/>
  <c r="T369" i="1"/>
  <c r="N370" i="1"/>
  <c r="O370" i="1"/>
  <c r="P370" i="1"/>
  <c r="T370" i="1"/>
  <c r="N371" i="1"/>
  <c r="O371" i="1"/>
  <c r="P371" i="1"/>
  <c r="T371" i="1"/>
  <c r="N372" i="1"/>
  <c r="O372" i="1"/>
  <c r="P372" i="1"/>
  <c r="T372" i="1"/>
  <c r="O373" i="1"/>
  <c r="P373" i="1"/>
  <c r="T373" i="1"/>
  <c r="N375" i="1"/>
  <c r="O375" i="1"/>
  <c r="P375" i="1"/>
  <c r="T375" i="1"/>
  <c r="N376" i="1"/>
  <c r="O376" i="1"/>
  <c r="P376" i="1"/>
  <c r="T376" i="1"/>
  <c r="N382" i="1"/>
  <c r="O382" i="1"/>
  <c r="P382" i="1"/>
  <c r="T382" i="1"/>
  <c r="N384" i="1"/>
  <c r="O384" i="1"/>
  <c r="P384" i="1"/>
  <c r="T384" i="1"/>
  <c r="N385" i="1"/>
  <c r="O385" i="1"/>
  <c r="P385" i="1"/>
  <c r="T385" i="1"/>
  <c r="N386" i="1"/>
  <c r="O386" i="1"/>
  <c r="P386" i="1"/>
  <c r="T386" i="1"/>
  <c r="N387" i="1"/>
  <c r="O387" i="1"/>
  <c r="P387" i="1"/>
  <c r="T387" i="1"/>
  <c r="N388" i="1"/>
  <c r="O388" i="1"/>
  <c r="P388" i="1"/>
  <c r="T388" i="1"/>
  <c r="N389" i="1"/>
  <c r="O389" i="1"/>
  <c r="P389" i="1"/>
  <c r="T389" i="1"/>
  <c r="N390" i="1"/>
  <c r="O390" i="1"/>
  <c r="P390" i="1"/>
  <c r="T390" i="1"/>
  <c r="N391" i="1"/>
  <c r="O391" i="1"/>
  <c r="P391" i="1"/>
  <c r="T391" i="1"/>
  <c r="O392" i="1"/>
  <c r="P392" i="1"/>
  <c r="T392" i="1"/>
  <c r="N393" i="1"/>
  <c r="O393" i="1"/>
  <c r="P393" i="1"/>
  <c r="T393" i="1"/>
  <c r="N394" i="1"/>
  <c r="O394" i="1"/>
  <c r="P394" i="1"/>
  <c r="T394" i="1"/>
  <c r="N395" i="1"/>
  <c r="O395" i="1"/>
  <c r="P395" i="1"/>
  <c r="T395" i="1"/>
  <c r="N396" i="1"/>
  <c r="O396" i="1"/>
  <c r="P396" i="1"/>
  <c r="T396" i="1"/>
  <c r="N397" i="1"/>
  <c r="O397" i="1"/>
  <c r="P397" i="1"/>
  <c r="T397" i="1"/>
  <c r="N398" i="1"/>
  <c r="O398" i="1"/>
  <c r="P398" i="1"/>
  <c r="T398" i="1"/>
  <c r="N399" i="1"/>
  <c r="O399" i="1"/>
  <c r="P399" i="1"/>
  <c r="T399" i="1"/>
  <c r="N400" i="1"/>
  <c r="O400" i="1"/>
  <c r="P400" i="1"/>
  <c r="T400" i="1"/>
  <c r="N401" i="1"/>
  <c r="O401" i="1"/>
  <c r="P401" i="1"/>
  <c r="T401" i="1"/>
  <c r="N402" i="1"/>
  <c r="O402" i="1"/>
  <c r="P402" i="1"/>
  <c r="T402" i="1"/>
  <c r="N403" i="1"/>
  <c r="O403" i="1"/>
  <c r="P403" i="1"/>
  <c r="T403" i="1"/>
  <c r="N404" i="1"/>
  <c r="O404" i="1"/>
  <c r="P404" i="1"/>
  <c r="T404" i="1"/>
  <c r="N405" i="1"/>
  <c r="O405" i="1"/>
  <c r="P405" i="1"/>
  <c r="T405" i="1"/>
  <c r="N408" i="1"/>
  <c r="O408" i="1"/>
  <c r="P408" i="1"/>
  <c r="T408" i="1"/>
  <c r="N409" i="1"/>
  <c r="O409" i="1"/>
  <c r="P409" i="1"/>
  <c r="T409" i="1"/>
  <c r="N411" i="1"/>
  <c r="O411" i="1"/>
  <c r="P411" i="1"/>
  <c r="T411" i="1"/>
  <c r="N414" i="1"/>
  <c r="O414" i="1"/>
  <c r="P414" i="1"/>
  <c r="T414" i="1"/>
  <c r="N415" i="1"/>
  <c r="O415" i="1"/>
  <c r="P415" i="1"/>
  <c r="T415" i="1"/>
  <c r="N416" i="1"/>
  <c r="O416" i="1"/>
  <c r="P416" i="1"/>
  <c r="T416" i="1"/>
  <c r="N418" i="1"/>
  <c r="O418" i="1"/>
  <c r="P418" i="1"/>
  <c r="T418" i="1"/>
  <c r="N419" i="1"/>
  <c r="O419" i="1"/>
  <c r="P419" i="1"/>
  <c r="T419" i="1"/>
  <c r="N420" i="1"/>
  <c r="O420" i="1"/>
  <c r="P420" i="1"/>
  <c r="T420" i="1"/>
  <c r="O421" i="1"/>
  <c r="P421" i="1"/>
  <c r="T421" i="1"/>
  <c r="N422" i="1"/>
  <c r="O422" i="1"/>
  <c r="P422" i="1"/>
  <c r="T422" i="1"/>
  <c r="N423" i="1"/>
  <c r="O423" i="1"/>
  <c r="P423" i="1"/>
  <c r="T423" i="1"/>
  <c r="N425" i="1"/>
  <c r="O425" i="1"/>
  <c r="P425" i="1"/>
  <c r="T425" i="1"/>
  <c r="N426" i="1"/>
  <c r="O426" i="1"/>
  <c r="P426" i="1"/>
  <c r="T426" i="1"/>
  <c r="N427" i="1"/>
  <c r="O427" i="1"/>
  <c r="P427" i="1"/>
  <c r="T427" i="1"/>
  <c r="N428" i="1"/>
  <c r="O428" i="1"/>
  <c r="P428" i="1"/>
  <c r="T428" i="1"/>
  <c r="N429" i="1"/>
  <c r="O429" i="1"/>
  <c r="P429" i="1"/>
  <c r="T429" i="1"/>
  <c r="N430" i="1"/>
  <c r="O430" i="1"/>
  <c r="P430" i="1"/>
  <c r="T430" i="1"/>
  <c r="N431" i="1"/>
  <c r="O431" i="1"/>
  <c r="P431" i="1"/>
  <c r="T431" i="1"/>
  <c r="N432" i="1"/>
  <c r="O432" i="1"/>
  <c r="P432" i="1"/>
  <c r="T432" i="1"/>
  <c r="N433" i="1"/>
  <c r="O433" i="1"/>
  <c r="P433" i="1"/>
  <c r="T433" i="1"/>
  <c r="N434" i="1"/>
  <c r="O434" i="1"/>
  <c r="P434" i="1"/>
  <c r="T434" i="1"/>
  <c r="N435" i="1"/>
  <c r="O435" i="1"/>
  <c r="P435" i="1"/>
  <c r="T435" i="1"/>
  <c r="N436" i="1"/>
  <c r="O436" i="1"/>
  <c r="P436" i="1"/>
  <c r="T436" i="1"/>
  <c r="N437" i="1"/>
  <c r="O437" i="1"/>
  <c r="P437" i="1"/>
  <c r="T437" i="1"/>
  <c r="N438" i="1"/>
  <c r="O438" i="1"/>
  <c r="P438" i="1"/>
  <c r="T438" i="1"/>
  <c r="O439" i="1"/>
  <c r="P439" i="1"/>
  <c r="T439" i="1"/>
  <c r="N440" i="1"/>
  <c r="O440" i="1"/>
  <c r="P440" i="1"/>
  <c r="T440" i="1"/>
  <c r="N443" i="1"/>
  <c r="O443" i="1"/>
  <c r="P443" i="1"/>
  <c r="T443" i="1"/>
  <c r="N444" i="1"/>
  <c r="O444" i="1"/>
  <c r="P444" i="1"/>
  <c r="T444" i="1"/>
  <c r="N445" i="1"/>
  <c r="O445" i="1"/>
  <c r="P445" i="1"/>
  <c r="T445" i="1"/>
  <c r="O447" i="1"/>
  <c r="P447" i="1"/>
  <c r="T447" i="1"/>
  <c r="N448" i="1"/>
  <c r="O448" i="1"/>
  <c r="P448" i="1"/>
  <c r="T448" i="1"/>
  <c r="N449" i="1"/>
  <c r="O449" i="1"/>
  <c r="P449" i="1"/>
  <c r="T449" i="1"/>
  <c r="N450" i="1"/>
  <c r="O450" i="1"/>
  <c r="P450" i="1"/>
  <c r="T450" i="1"/>
  <c r="N451" i="1"/>
  <c r="O451" i="1"/>
  <c r="P451" i="1"/>
  <c r="T451" i="1"/>
  <c r="O452" i="1"/>
  <c r="P452" i="1"/>
  <c r="T452" i="1"/>
  <c r="N453" i="1"/>
  <c r="O453" i="1"/>
  <c r="P453" i="1"/>
  <c r="T453" i="1"/>
  <c r="N456" i="1"/>
  <c r="O456" i="1"/>
  <c r="P456" i="1"/>
  <c r="T456" i="1"/>
  <c r="N457" i="1"/>
  <c r="O457" i="1"/>
  <c r="P457" i="1"/>
  <c r="T457" i="1"/>
  <c r="N458" i="1"/>
  <c r="O458" i="1"/>
  <c r="P458" i="1"/>
  <c r="T458" i="1"/>
  <c r="N459" i="1"/>
  <c r="O459" i="1"/>
  <c r="P459" i="1"/>
  <c r="T459" i="1"/>
  <c r="N460" i="1"/>
  <c r="O460" i="1"/>
  <c r="P460" i="1"/>
  <c r="T460" i="1"/>
  <c r="N461" i="1"/>
  <c r="O461" i="1"/>
  <c r="P461" i="1"/>
  <c r="T461" i="1"/>
  <c r="N462" i="1"/>
  <c r="O462" i="1"/>
  <c r="P462" i="1"/>
  <c r="T462" i="1"/>
  <c r="N463" i="1"/>
  <c r="O463" i="1"/>
  <c r="P463" i="1"/>
  <c r="T463" i="1"/>
  <c r="N465" i="1"/>
  <c r="O465" i="1"/>
  <c r="P465" i="1"/>
  <c r="T465" i="1"/>
  <c r="N466" i="1"/>
  <c r="O466" i="1"/>
  <c r="P466" i="1"/>
  <c r="T466" i="1"/>
  <c r="N467" i="1"/>
  <c r="O467" i="1"/>
  <c r="P467" i="1"/>
  <c r="T467" i="1"/>
  <c r="N469" i="1"/>
  <c r="O469" i="1"/>
  <c r="P469" i="1"/>
  <c r="T469" i="1"/>
  <c r="N471" i="1"/>
  <c r="O471" i="1"/>
  <c r="P471" i="1"/>
  <c r="T471" i="1"/>
  <c r="N473" i="1"/>
  <c r="O473" i="1"/>
  <c r="P473" i="1"/>
  <c r="T473" i="1"/>
  <c r="N474" i="1"/>
  <c r="O474" i="1"/>
  <c r="P474" i="1"/>
  <c r="T474" i="1"/>
  <c r="N476" i="1"/>
  <c r="O476" i="1"/>
  <c r="P476" i="1"/>
  <c r="T476" i="1"/>
  <c r="N477" i="1"/>
  <c r="O477" i="1"/>
  <c r="P477" i="1"/>
  <c r="T477" i="1"/>
  <c r="N478" i="1"/>
  <c r="O478" i="1"/>
  <c r="P478" i="1"/>
  <c r="T478" i="1"/>
  <c r="N479" i="1"/>
  <c r="O479" i="1"/>
  <c r="P479" i="1"/>
  <c r="T479" i="1"/>
  <c r="N481" i="1"/>
  <c r="O481" i="1"/>
  <c r="P481" i="1"/>
  <c r="T481" i="1"/>
  <c r="N482" i="1"/>
  <c r="O482" i="1"/>
  <c r="P482" i="1"/>
  <c r="T482" i="1"/>
  <c r="N483" i="1"/>
  <c r="O483" i="1"/>
  <c r="P483" i="1"/>
  <c r="T483" i="1"/>
  <c r="N484" i="1"/>
  <c r="O484" i="1"/>
  <c r="P484" i="1"/>
  <c r="T484" i="1"/>
  <c r="N485" i="1"/>
  <c r="O485" i="1"/>
  <c r="P485" i="1"/>
  <c r="T485" i="1"/>
  <c r="N486" i="1"/>
  <c r="O486" i="1"/>
  <c r="P486" i="1"/>
  <c r="T486" i="1"/>
  <c r="N489" i="1"/>
  <c r="O489" i="1"/>
  <c r="P489" i="1"/>
  <c r="T489" i="1"/>
  <c r="N490" i="1"/>
  <c r="O490" i="1"/>
  <c r="P490" i="1"/>
  <c r="T490" i="1"/>
  <c r="N491" i="1"/>
  <c r="O491" i="1"/>
  <c r="P491" i="1"/>
  <c r="T491" i="1"/>
  <c r="N492" i="1"/>
  <c r="O492" i="1"/>
  <c r="P492" i="1"/>
  <c r="T492" i="1"/>
  <c r="N493" i="1"/>
  <c r="O493" i="1"/>
  <c r="P493" i="1"/>
  <c r="T493" i="1"/>
  <c r="N495" i="1"/>
  <c r="O495" i="1"/>
  <c r="T495" i="1"/>
  <c r="N496" i="1"/>
  <c r="O496" i="1"/>
  <c r="P496" i="1"/>
  <c r="T496" i="1"/>
  <c r="N499" i="1"/>
  <c r="O499" i="1"/>
  <c r="P499" i="1"/>
  <c r="T499" i="1"/>
  <c r="N500" i="1"/>
  <c r="O500" i="1"/>
  <c r="P500" i="1"/>
  <c r="T500" i="1"/>
  <c r="O502" i="1"/>
  <c r="P502" i="1"/>
  <c r="T502" i="1"/>
  <c r="N503" i="1"/>
  <c r="O503" i="1"/>
  <c r="P503" i="1"/>
  <c r="T503" i="1"/>
  <c r="N505" i="1"/>
  <c r="O505" i="1"/>
  <c r="P505" i="1"/>
  <c r="T505" i="1"/>
  <c r="N507" i="1"/>
  <c r="O507" i="1"/>
  <c r="P507" i="1"/>
  <c r="T507" i="1"/>
  <c r="N508" i="1"/>
  <c r="O508" i="1"/>
  <c r="P508" i="1"/>
  <c r="T508" i="1"/>
  <c r="N509" i="1"/>
  <c r="O509" i="1"/>
  <c r="P509" i="1"/>
  <c r="T509" i="1"/>
  <c r="N510" i="1"/>
  <c r="O510" i="1"/>
  <c r="P510" i="1"/>
  <c r="T510" i="1"/>
  <c r="N511" i="1"/>
  <c r="O511" i="1"/>
  <c r="P511" i="1"/>
  <c r="T511" i="1"/>
  <c r="N512" i="1"/>
  <c r="O512" i="1"/>
  <c r="P512" i="1"/>
  <c r="T512" i="1"/>
  <c r="N513" i="1"/>
  <c r="O513" i="1"/>
  <c r="P513" i="1"/>
  <c r="T513" i="1"/>
  <c r="N515" i="1"/>
  <c r="O515" i="1"/>
  <c r="P515" i="1"/>
  <c r="T515" i="1"/>
  <c r="N516" i="1"/>
  <c r="O516" i="1"/>
  <c r="P516" i="1"/>
  <c r="T516" i="1"/>
  <c r="N517" i="1"/>
  <c r="O517" i="1"/>
  <c r="P517" i="1"/>
  <c r="T517" i="1"/>
  <c r="N518" i="1"/>
  <c r="O518" i="1"/>
  <c r="P518" i="1"/>
  <c r="T518" i="1"/>
  <c r="N521" i="1"/>
  <c r="O521" i="1"/>
  <c r="P521" i="1"/>
  <c r="T521" i="1"/>
  <c r="N522" i="1"/>
  <c r="O522" i="1"/>
  <c r="P522" i="1"/>
  <c r="T522" i="1"/>
  <c r="N523" i="1"/>
  <c r="O523" i="1"/>
  <c r="P523" i="1"/>
  <c r="T523" i="1"/>
  <c r="N524" i="1"/>
  <c r="O524" i="1"/>
  <c r="P524" i="1"/>
  <c r="T524" i="1"/>
  <c r="N526" i="1"/>
  <c r="O526" i="1"/>
  <c r="P526" i="1"/>
  <c r="T526" i="1"/>
  <c r="N527" i="1"/>
  <c r="O527" i="1"/>
  <c r="P527" i="1"/>
  <c r="T527" i="1"/>
  <c r="N528" i="1"/>
  <c r="O528" i="1"/>
  <c r="P528" i="1"/>
  <c r="T528" i="1"/>
  <c r="O530" i="1"/>
  <c r="P530" i="1"/>
  <c r="T530" i="1"/>
  <c r="N531" i="1"/>
  <c r="O531" i="1"/>
  <c r="P531" i="1"/>
  <c r="T531" i="1"/>
  <c r="N532" i="1"/>
  <c r="O532" i="1"/>
  <c r="P532" i="1"/>
  <c r="T532" i="1"/>
  <c r="N533" i="1"/>
  <c r="O533" i="1"/>
  <c r="P533" i="1"/>
  <c r="T533" i="1"/>
  <c r="N534" i="1"/>
  <c r="O534" i="1"/>
  <c r="P534" i="1"/>
  <c r="T534" i="1"/>
  <c r="N535" i="1"/>
  <c r="O535" i="1"/>
  <c r="P535" i="1"/>
  <c r="T535" i="1"/>
  <c r="N538" i="1"/>
  <c r="O538" i="1"/>
  <c r="P538" i="1"/>
  <c r="T538" i="1"/>
  <c r="N539" i="1"/>
  <c r="O539" i="1"/>
  <c r="P539" i="1"/>
  <c r="T539" i="1"/>
  <c r="N542" i="1"/>
  <c r="O542" i="1"/>
  <c r="P542" i="1"/>
  <c r="T542" i="1"/>
  <c r="N543" i="1"/>
  <c r="O543" i="1"/>
  <c r="P543" i="1"/>
  <c r="T543" i="1"/>
  <c r="N544" i="1"/>
  <c r="O544" i="1"/>
  <c r="P544" i="1"/>
  <c r="T544" i="1"/>
  <c r="N545" i="1"/>
  <c r="O545" i="1"/>
  <c r="P545" i="1"/>
  <c r="T545" i="1"/>
  <c r="N547" i="1"/>
  <c r="O547" i="1"/>
  <c r="P547" i="1"/>
  <c r="T547" i="1"/>
  <c r="N548" i="1"/>
  <c r="O548" i="1"/>
  <c r="P548" i="1"/>
  <c r="T548" i="1"/>
  <c r="N551" i="1"/>
  <c r="O551" i="1"/>
  <c r="P551" i="1"/>
  <c r="T551" i="1"/>
  <c r="N552" i="1"/>
  <c r="O552" i="1"/>
  <c r="P552" i="1"/>
  <c r="T552" i="1"/>
  <c r="O553" i="1"/>
  <c r="P553" i="1"/>
  <c r="T553" i="1"/>
  <c r="N554" i="1"/>
  <c r="O554" i="1"/>
  <c r="P554" i="1"/>
  <c r="T554" i="1"/>
  <c r="N555" i="1"/>
  <c r="O555" i="1"/>
  <c r="P555" i="1"/>
  <c r="T555" i="1"/>
  <c r="N556" i="1"/>
  <c r="O556" i="1"/>
  <c r="P556" i="1"/>
  <c r="T556" i="1"/>
  <c r="N557" i="1"/>
  <c r="O557" i="1"/>
  <c r="P557" i="1"/>
  <c r="T557" i="1"/>
  <c r="N558" i="1"/>
  <c r="O558" i="1"/>
  <c r="P558" i="1"/>
  <c r="T558" i="1"/>
  <c r="N559" i="1"/>
  <c r="O559" i="1"/>
  <c r="P559" i="1"/>
  <c r="T559" i="1"/>
  <c r="N561" i="1"/>
  <c r="O561" i="1"/>
  <c r="P561" i="1"/>
  <c r="T561" i="1"/>
  <c r="N562" i="1"/>
  <c r="O562" i="1"/>
  <c r="P562" i="1"/>
  <c r="T562" i="1"/>
  <c r="N563" i="1"/>
  <c r="O563" i="1"/>
  <c r="P563" i="1"/>
  <c r="T563" i="1"/>
  <c r="N564" i="1"/>
  <c r="O564" i="1"/>
  <c r="P564" i="1"/>
  <c r="T564" i="1"/>
  <c r="O566" i="1"/>
  <c r="P566" i="1"/>
  <c r="T566" i="1"/>
  <c r="N567" i="1"/>
  <c r="O567" i="1"/>
  <c r="P567" i="1"/>
  <c r="T567" i="1"/>
  <c r="N568" i="1"/>
  <c r="O568" i="1"/>
  <c r="P568" i="1"/>
  <c r="T568" i="1"/>
  <c r="N569" i="1"/>
  <c r="O569" i="1"/>
  <c r="P569" i="1"/>
  <c r="T569" i="1"/>
  <c r="N570" i="1"/>
  <c r="O570" i="1"/>
  <c r="P570" i="1"/>
  <c r="T570" i="1"/>
  <c r="N571" i="1"/>
  <c r="O571" i="1"/>
  <c r="P571" i="1"/>
  <c r="T571" i="1"/>
  <c r="N572" i="1"/>
  <c r="O572" i="1"/>
  <c r="P572" i="1"/>
  <c r="T572" i="1"/>
  <c r="N573" i="1"/>
  <c r="O573" i="1"/>
  <c r="P573" i="1"/>
  <c r="T573" i="1"/>
  <c r="N574" i="1"/>
  <c r="O574" i="1"/>
  <c r="P574" i="1"/>
  <c r="T574" i="1"/>
  <c r="N575" i="1"/>
  <c r="O575" i="1"/>
  <c r="P575" i="1"/>
  <c r="T575" i="1"/>
  <c r="N576" i="1"/>
  <c r="O576" i="1"/>
  <c r="P576" i="1"/>
  <c r="T576" i="1"/>
  <c r="N577" i="1"/>
  <c r="O577" i="1"/>
  <c r="P577" i="1"/>
  <c r="T577" i="1"/>
  <c r="N578" i="1"/>
  <c r="O578" i="1"/>
  <c r="P578" i="1"/>
  <c r="T578" i="1"/>
  <c r="N579" i="1"/>
  <c r="O579" i="1"/>
  <c r="P579" i="1"/>
  <c r="T579" i="1"/>
  <c r="N580" i="1"/>
  <c r="O580" i="1"/>
  <c r="P580" i="1"/>
  <c r="T580" i="1"/>
  <c r="N581" i="1"/>
  <c r="O581" i="1"/>
  <c r="P581" i="1"/>
  <c r="T581" i="1"/>
  <c r="N583" i="1"/>
  <c r="O583" i="1"/>
  <c r="P583" i="1"/>
  <c r="T583" i="1"/>
  <c r="N584" i="1"/>
  <c r="O584" i="1"/>
  <c r="P584" i="1"/>
  <c r="T584" i="1"/>
  <c r="N585" i="1"/>
  <c r="O585" i="1"/>
  <c r="P585" i="1"/>
  <c r="T585" i="1"/>
  <c r="N586" i="1"/>
  <c r="O586" i="1"/>
  <c r="P586" i="1"/>
  <c r="T586" i="1"/>
  <c r="N587" i="1"/>
  <c r="O587" i="1"/>
  <c r="P587" i="1"/>
  <c r="T587" i="1"/>
  <c r="N589" i="1"/>
  <c r="O589" i="1"/>
  <c r="P589" i="1"/>
  <c r="T589" i="1"/>
  <c r="N594" i="1"/>
  <c r="O594" i="1"/>
  <c r="P594" i="1"/>
  <c r="T594" i="1"/>
  <c r="N595" i="1"/>
  <c r="O595" i="1"/>
  <c r="P595" i="1"/>
  <c r="T595" i="1"/>
  <c r="O597" i="1"/>
  <c r="P597" i="1"/>
  <c r="T597" i="1"/>
  <c r="N598" i="1"/>
  <c r="O598" i="1"/>
  <c r="P598" i="1"/>
  <c r="T598" i="1"/>
  <c r="N601" i="1"/>
  <c r="O601" i="1"/>
  <c r="P601" i="1"/>
  <c r="T601" i="1"/>
  <c r="N603" i="1"/>
  <c r="O603" i="1"/>
  <c r="P603" i="1"/>
  <c r="T603" i="1"/>
  <c r="N605" i="1"/>
  <c r="O605" i="1"/>
  <c r="P605" i="1"/>
  <c r="T605" i="1"/>
  <c r="N608" i="1"/>
  <c r="O608" i="1"/>
  <c r="P608" i="1"/>
  <c r="T608" i="1"/>
  <c r="N610" i="1"/>
  <c r="O610" i="1"/>
  <c r="P610" i="1"/>
  <c r="T610" i="1"/>
  <c r="N614" i="1"/>
  <c r="O614" i="1"/>
  <c r="P614" i="1"/>
  <c r="T614" i="1"/>
  <c r="N615" i="1"/>
  <c r="O615" i="1"/>
  <c r="P615" i="1"/>
  <c r="T615" i="1"/>
  <c r="N617" i="1"/>
  <c r="O617" i="1"/>
  <c r="P617" i="1"/>
  <c r="T617" i="1"/>
  <c r="N618" i="1"/>
  <c r="O618" i="1"/>
  <c r="P618" i="1"/>
  <c r="T618" i="1"/>
  <c r="N619" i="1"/>
  <c r="O619" i="1"/>
  <c r="T619" i="1"/>
  <c r="N620" i="1"/>
  <c r="O620" i="1"/>
  <c r="P620" i="1"/>
  <c r="T620" i="1"/>
  <c r="N622" i="1"/>
  <c r="O622" i="1"/>
  <c r="P622" i="1"/>
  <c r="T622" i="1"/>
  <c r="N623" i="1"/>
  <c r="O623" i="1"/>
  <c r="P623" i="1"/>
  <c r="T623" i="1"/>
  <c r="N624" i="1"/>
  <c r="O624" i="1"/>
  <c r="P624" i="1"/>
  <c r="T624" i="1"/>
  <c r="N625" i="1"/>
  <c r="O625" i="1"/>
  <c r="P625" i="1"/>
  <c r="T625" i="1"/>
  <c r="N626" i="1"/>
  <c r="O626" i="1"/>
  <c r="P626" i="1"/>
  <c r="T626" i="1"/>
  <c r="O627" i="1"/>
  <c r="P627" i="1"/>
  <c r="T627" i="1"/>
  <c r="N628" i="1"/>
  <c r="O628" i="1"/>
  <c r="P628" i="1"/>
  <c r="T628" i="1"/>
  <c r="N629" i="1"/>
  <c r="O629" i="1"/>
  <c r="P629" i="1"/>
  <c r="T629" i="1"/>
  <c r="N633" i="1"/>
  <c r="O633" i="1"/>
  <c r="P633" i="1"/>
  <c r="T633" i="1"/>
  <c r="N635" i="1"/>
  <c r="O635" i="1"/>
  <c r="P635" i="1"/>
  <c r="T635" i="1"/>
  <c r="N636" i="1"/>
  <c r="O636" i="1"/>
  <c r="P636" i="1"/>
  <c r="T636" i="1"/>
  <c r="N637" i="1"/>
  <c r="O637" i="1"/>
  <c r="P637" i="1"/>
  <c r="T637" i="1"/>
  <c r="N639" i="1"/>
  <c r="O639" i="1"/>
  <c r="P639" i="1"/>
  <c r="T639" i="1"/>
  <c r="N642" i="1"/>
  <c r="O642" i="1"/>
  <c r="P642" i="1"/>
  <c r="T642" i="1"/>
  <c r="N644" i="1"/>
  <c r="O644" i="1"/>
  <c r="P644" i="1"/>
  <c r="T644" i="1"/>
  <c r="N645" i="1"/>
  <c r="O645" i="1"/>
  <c r="P645" i="1"/>
  <c r="T645" i="1"/>
  <c r="N646" i="1"/>
  <c r="O646" i="1"/>
  <c r="P646" i="1"/>
  <c r="T646" i="1"/>
  <c r="N647" i="1"/>
  <c r="O647" i="1"/>
  <c r="P647" i="1"/>
  <c r="T647" i="1"/>
  <c r="N648" i="1"/>
  <c r="O648" i="1"/>
  <c r="P648" i="1"/>
  <c r="T648" i="1"/>
  <c r="N649" i="1"/>
  <c r="O649" i="1"/>
  <c r="P649" i="1"/>
  <c r="T649" i="1"/>
  <c r="N651" i="1"/>
  <c r="O651" i="1"/>
  <c r="P651" i="1"/>
  <c r="T651" i="1"/>
  <c r="N652" i="1"/>
  <c r="O652" i="1"/>
  <c r="P652" i="1"/>
  <c r="T652" i="1"/>
  <c r="N653" i="1"/>
  <c r="O653" i="1"/>
  <c r="P653" i="1"/>
  <c r="T653" i="1"/>
  <c r="N654" i="1"/>
  <c r="O654" i="1"/>
  <c r="P654" i="1"/>
  <c r="T654" i="1"/>
  <c r="N655" i="1"/>
  <c r="O655" i="1"/>
  <c r="P655" i="1"/>
  <c r="T655" i="1"/>
  <c r="N656" i="1"/>
  <c r="O656" i="1"/>
  <c r="P656" i="1"/>
  <c r="T656" i="1"/>
  <c r="N657" i="1"/>
  <c r="O657" i="1"/>
  <c r="T657" i="1"/>
  <c r="O659" i="1"/>
  <c r="P659" i="1"/>
  <c r="T659" i="1"/>
  <c r="N661" i="1"/>
  <c r="O661" i="1"/>
  <c r="P661" i="1"/>
  <c r="T661" i="1"/>
  <c r="N664" i="1"/>
  <c r="O664" i="1"/>
  <c r="P664" i="1"/>
  <c r="T664" i="1"/>
  <c r="N665" i="1"/>
  <c r="O665" i="1"/>
  <c r="P665" i="1"/>
  <c r="T665" i="1"/>
  <c r="N666" i="1"/>
  <c r="O666" i="1"/>
  <c r="P666" i="1"/>
  <c r="T666" i="1"/>
  <c r="N667" i="1"/>
  <c r="O667" i="1"/>
  <c r="P667" i="1"/>
  <c r="T667" i="1"/>
  <c r="N668" i="1"/>
  <c r="O668" i="1"/>
  <c r="P668" i="1"/>
  <c r="T668" i="1"/>
  <c r="N669" i="1"/>
  <c r="O669" i="1"/>
  <c r="P669" i="1"/>
  <c r="T669" i="1"/>
  <c r="N672" i="1"/>
  <c r="O672" i="1"/>
  <c r="P672" i="1"/>
  <c r="T672" i="1"/>
  <c r="N673" i="1"/>
  <c r="O673" i="1"/>
  <c r="P673" i="1"/>
  <c r="T673" i="1"/>
  <c r="N674" i="1"/>
  <c r="O674" i="1"/>
  <c r="P674" i="1"/>
  <c r="T674" i="1"/>
  <c r="N676" i="1"/>
  <c r="O676" i="1"/>
  <c r="P676" i="1"/>
  <c r="T676" i="1"/>
  <c r="N680" i="1"/>
  <c r="O680" i="1"/>
  <c r="P680" i="1"/>
  <c r="T680" i="1"/>
  <c r="N683" i="1"/>
  <c r="O683" i="1"/>
  <c r="P683" i="1"/>
  <c r="T683" i="1"/>
  <c r="N685" i="1"/>
  <c r="O685" i="1"/>
  <c r="T685" i="1"/>
  <c r="N686" i="1"/>
  <c r="O686" i="1"/>
  <c r="P686" i="1"/>
  <c r="T686" i="1"/>
  <c r="N687" i="1"/>
  <c r="O687" i="1"/>
  <c r="P687" i="1"/>
  <c r="T687" i="1"/>
  <c r="N689" i="1"/>
  <c r="O689" i="1"/>
  <c r="P689" i="1"/>
  <c r="T689" i="1"/>
  <c r="N690" i="1"/>
  <c r="O690" i="1"/>
  <c r="P690" i="1"/>
  <c r="T690" i="1"/>
  <c r="N695" i="1"/>
  <c r="O695" i="1"/>
  <c r="P695" i="1"/>
  <c r="T695" i="1"/>
  <c r="N696" i="1"/>
  <c r="O696" i="1"/>
  <c r="P696" i="1"/>
  <c r="T696" i="1"/>
  <c r="N699" i="1"/>
  <c r="O699" i="1"/>
  <c r="P699" i="1"/>
  <c r="T699" i="1"/>
  <c r="N700" i="1"/>
  <c r="O700" i="1"/>
  <c r="P700" i="1"/>
  <c r="T700" i="1"/>
  <c r="N701" i="1"/>
  <c r="O701" i="1"/>
  <c r="P701" i="1"/>
  <c r="T701" i="1"/>
  <c r="N702" i="1"/>
  <c r="O702" i="1"/>
  <c r="P702" i="1"/>
  <c r="T702" i="1"/>
  <c r="N703" i="1"/>
  <c r="O703" i="1"/>
  <c r="P703" i="1"/>
  <c r="T703" i="1"/>
  <c r="N704" i="1"/>
  <c r="O704" i="1"/>
  <c r="P704" i="1"/>
  <c r="T704" i="1"/>
  <c r="N705" i="1"/>
  <c r="O705" i="1"/>
  <c r="P705" i="1"/>
  <c r="T705" i="1"/>
  <c r="N706" i="1"/>
  <c r="O706" i="1"/>
  <c r="P706" i="1"/>
  <c r="T706" i="1"/>
  <c r="N707" i="1"/>
  <c r="O707" i="1"/>
  <c r="P707" i="1"/>
  <c r="T707" i="1"/>
  <c r="N708" i="1"/>
  <c r="O708" i="1"/>
  <c r="T708" i="1"/>
  <c r="N710" i="1"/>
  <c r="O710" i="1"/>
  <c r="P710" i="1"/>
  <c r="T710" i="1"/>
  <c r="N711" i="1"/>
  <c r="O711" i="1"/>
  <c r="P711" i="1"/>
  <c r="T711" i="1"/>
  <c r="N712" i="1"/>
  <c r="O712" i="1"/>
  <c r="P712" i="1"/>
  <c r="T712" i="1"/>
  <c r="N713" i="1"/>
  <c r="O713" i="1"/>
  <c r="P713" i="1"/>
  <c r="T713" i="1"/>
  <c r="N714" i="1"/>
  <c r="O714" i="1"/>
  <c r="P714" i="1"/>
  <c r="T714" i="1"/>
  <c r="N715" i="1"/>
  <c r="O715" i="1"/>
  <c r="P715" i="1"/>
  <c r="T715" i="1"/>
  <c r="N716" i="1"/>
  <c r="O716" i="1"/>
  <c r="P716" i="1"/>
  <c r="T716" i="1"/>
  <c r="N717" i="1"/>
  <c r="O717" i="1"/>
  <c r="P717" i="1"/>
  <c r="T717" i="1"/>
  <c r="N718" i="1"/>
  <c r="O718" i="1"/>
  <c r="P718" i="1"/>
  <c r="T718" i="1"/>
  <c r="N719" i="1"/>
  <c r="O719" i="1"/>
  <c r="P719" i="1"/>
  <c r="T719" i="1"/>
  <c r="N720" i="1"/>
  <c r="O720" i="1"/>
  <c r="P720" i="1"/>
  <c r="T720" i="1"/>
  <c r="N724" i="1"/>
  <c r="O724" i="1"/>
  <c r="P724" i="1"/>
  <c r="T724" i="1"/>
  <c r="N725" i="1"/>
  <c r="O725" i="1"/>
  <c r="P725" i="1"/>
  <c r="T725" i="1"/>
  <c r="N727" i="1"/>
  <c r="O727" i="1"/>
  <c r="P727" i="1"/>
  <c r="T727" i="1"/>
  <c r="N728" i="1"/>
  <c r="O728" i="1"/>
  <c r="P728" i="1"/>
  <c r="T728" i="1"/>
  <c r="N729" i="1"/>
  <c r="T729" i="1"/>
  <c r="N730" i="1"/>
  <c r="T730" i="1"/>
  <c r="N731" i="1"/>
  <c r="T731" i="1"/>
  <c r="N732" i="1"/>
  <c r="O732" i="1"/>
  <c r="P732" i="1"/>
  <c r="T732" i="1"/>
  <c r="N733" i="1"/>
  <c r="O733" i="1"/>
  <c r="P733" i="1"/>
  <c r="T733" i="1"/>
  <c r="N736" i="1"/>
  <c r="O736" i="1"/>
  <c r="P736" i="1"/>
  <c r="T736" i="1"/>
  <c r="N737" i="1"/>
  <c r="O737" i="1"/>
  <c r="P737" i="1"/>
  <c r="T737" i="1"/>
  <c r="N738" i="1"/>
  <c r="O738" i="1"/>
  <c r="P738" i="1"/>
  <c r="T738" i="1"/>
  <c r="N739" i="1"/>
  <c r="O739" i="1"/>
  <c r="P739" i="1"/>
  <c r="T739" i="1"/>
  <c r="N740" i="1"/>
  <c r="O740" i="1"/>
  <c r="P740" i="1"/>
  <c r="T740" i="1"/>
  <c r="N742" i="1"/>
  <c r="O742" i="1"/>
  <c r="P742" i="1"/>
  <c r="T742" i="1"/>
  <c r="N744" i="1"/>
  <c r="O744" i="1"/>
  <c r="P744" i="1"/>
  <c r="T744" i="1"/>
  <c r="N745" i="1"/>
  <c r="O745" i="1"/>
  <c r="P745" i="1"/>
  <c r="T745" i="1"/>
  <c r="N746" i="1"/>
  <c r="O746" i="1"/>
  <c r="P746" i="1"/>
  <c r="T746" i="1"/>
  <c r="N747" i="1"/>
  <c r="O747" i="1"/>
  <c r="P747" i="1"/>
  <c r="T747" i="1"/>
  <c r="N748" i="1"/>
  <c r="O748" i="1"/>
  <c r="P748" i="1"/>
  <c r="T748" i="1"/>
  <c r="N749" i="1"/>
  <c r="O749" i="1"/>
  <c r="P749" i="1"/>
  <c r="T749" i="1"/>
  <c r="N750" i="1"/>
  <c r="O750" i="1"/>
  <c r="P750" i="1"/>
  <c r="T750" i="1"/>
  <c r="N751" i="1"/>
  <c r="O751" i="1"/>
  <c r="P751" i="1"/>
  <c r="T751" i="1"/>
  <c r="N752" i="1"/>
  <c r="O752" i="1"/>
  <c r="P752" i="1"/>
  <c r="T752" i="1"/>
  <c r="N753" i="1"/>
  <c r="O753" i="1"/>
  <c r="P753" i="1"/>
  <c r="T753" i="1"/>
  <c r="N754" i="1"/>
  <c r="O754" i="1"/>
  <c r="P754" i="1"/>
  <c r="T754" i="1"/>
  <c r="N755" i="1"/>
  <c r="O755" i="1"/>
  <c r="P755" i="1"/>
  <c r="T755" i="1"/>
  <c r="N758" i="1"/>
  <c r="O758" i="1"/>
  <c r="P758" i="1"/>
  <c r="T758" i="1"/>
  <c r="N764" i="1"/>
  <c r="O764" i="1"/>
  <c r="P764" i="1"/>
  <c r="T764" i="1"/>
  <c r="N765" i="1"/>
  <c r="O765" i="1"/>
  <c r="P765" i="1"/>
  <c r="T765" i="1"/>
  <c r="N767" i="1"/>
  <c r="O767" i="1"/>
  <c r="P767" i="1"/>
  <c r="T767" i="1"/>
  <c r="N768" i="1"/>
  <c r="O768" i="1"/>
  <c r="P768" i="1"/>
  <c r="T768" i="1"/>
  <c r="N771" i="1"/>
  <c r="O771" i="1"/>
  <c r="P771" i="1"/>
  <c r="T771" i="1"/>
  <c r="N772" i="1"/>
  <c r="O772" i="1"/>
  <c r="P772" i="1"/>
  <c r="T772" i="1"/>
  <c r="O773" i="1"/>
  <c r="P773" i="1"/>
  <c r="T773" i="1"/>
  <c r="N775" i="1"/>
  <c r="O775" i="1"/>
  <c r="P775" i="1"/>
  <c r="T775" i="1"/>
  <c r="N777" i="1"/>
  <c r="O777" i="1"/>
  <c r="P777" i="1"/>
  <c r="T777" i="1"/>
  <c r="N779" i="1"/>
  <c r="O779" i="1"/>
  <c r="P779" i="1"/>
  <c r="T779" i="1"/>
  <c r="N780" i="1"/>
  <c r="O780" i="1"/>
  <c r="P780" i="1"/>
  <c r="T780" i="1"/>
  <c r="N782" i="1"/>
  <c r="O782" i="1"/>
  <c r="P782" i="1"/>
  <c r="T782" i="1"/>
  <c r="N786" i="1"/>
  <c r="O786" i="1"/>
  <c r="P786" i="1"/>
  <c r="T786" i="1"/>
  <c r="N787" i="1"/>
  <c r="O787" i="1"/>
  <c r="P787" i="1"/>
  <c r="T787" i="1"/>
  <c r="N789" i="1"/>
  <c r="O789" i="1"/>
  <c r="P789" i="1"/>
  <c r="T789" i="1"/>
  <c r="N792" i="1"/>
  <c r="O792" i="1"/>
  <c r="P792" i="1"/>
  <c r="T792" i="1"/>
  <c r="N794" i="1"/>
  <c r="O794" i="1"/>
  <c r="P794" i="1"/>
  <c r="T794" i="1"/>
  <c r="N795" i="1"/>
  <c r="O795" i="1"/>
  <c r="P795" i="1"/>
  <c r="T795" i="1"/>
  <c r="N796" i="1"/>
  <c r="O796" i="1"/>
  <c r="P796" i="1"/>
  <c r="T796" i="1"/>
  <c r="N798" i="1"/>
  <c r="O798" i="1"/>
  <c r="P798" i="1"/>
  <c r="T798" i="1"/>
  <c r="N799" i="1"/>
  <c r="O799" i="1"/>
  <c r="P799" i="1"/>
  <c r="T799" i="1"/>
  <c r="N800" i="1"/>
  <c r="O800" i="1"/>
  <c r="P800" i="1"/>
  <c r="T800" i="1"/>
  <c r="N802" i="1"/>
  <c r="O802" i="1"/>
  <c r="P802" i="1"/>
  <c r="T802" i="1"/>
  <c r="N805" i="1"/>
  <c r="O805" i="1"/>
  <c r="P805" i="1"/>
  <c r="T805" i="1"/>
  <c r="N806" i="1"/>
  <c r="O806" i="1"/>
  <c r="P806" i="1"/>
  <c r="T806" i="1"/>
  <c r="N808" i="1"/>
  <c r="O808" i="1"/>
  <c r="P808" i="1"/>
  <c r="T808" i="1"/>
  <c r="N809" i="1"/>
  <c r="O809" i="1"/>
  <c r="P809" i="1"/>
  <c r="T809" i="1"/>
  <c r="N810" i="1"/>
  <c r="O810" i="1"/>
  <c r="P810" i="1"/>
  <c r="T810" i="1"/>
  <c r="N812" i="1"/>
  <c r="O812" i="1"/>
  <c r="P812" i="1"/>
  <c r="T812" i="1"/>
  <c r="N814" i="1"/>
  <c r="O814" i="1"/>
  <c r="P814" i="1"/>
  <c r="T814" i="1"/>
  <c r="N817" i="1"/>
  <c r="O817" i="1"/>
  <c r="P817" i="1"/>
  <c r="T817" i="1"/>
  <c r="N819" i="1"/>
  <c r="O819" i="1"/>
  <c r="P819" i="1"/>
  <c r="T819" i="1"/>
  <c r="N821" i="1"/>
  <c r="O821" i="1"/>
  <c r="P821" i="1"/>
  <c r="T821" i="1"/>
  <c r="O823" i="1"/>
  <c r="P823" i="1"/>
  <c r="T823" i="1"/>
  <c r="N824" i="1"/>
  <c r="O824" i="1"/>
  <c r="P824" i="1"/>
  <c r="T824" i="1"/>
  <c r="N826" i="1"/>
  <c r="O826" i="1"/>
  <c r="P826" i="1"/>
  <c r="T826" i="1"/>
  <c r="N827" i="1"/>
  <c r="O827" i="1"/>
  <c r="P827" i="1"/>
  <c r="T827" i="1"/>
  <c r="N828" i="1"/>
  <c r="O828" i="1"/>
  <c r="P828" i="1"/>
  <c r="T828" i="1"/>
  <c r="N830" i="1"/>
  <c r="O830" i="1"/>
  <c r="P830" i="1"/>
  <c r="T830" i="1"/>
  <c r="N831" i="1"/>
  <c r="O831" i="1"/>
  <c r="P831" i="1"/>
  <c r="T831" i="1"/>
  <c r="N832" i="1"/>
  <c r="O832" i="1"/>
  <c r="P832" i="1"/>
  <c r="T832" i="1"/>
  <c r="N834" i="1"/>
  <c r="O834" i="1"/>
  <c r="P834" i="1"/>
  <c r="T834" i="1"/>
  <c r="N836" i="1"/>
  <c r="O836" i="1"/>
  <c r="P836" i="1"/>
  <c r="T836" i="1"/>
  <c r="N838" i="1"/>
  <c r="O838" i="1"/>
  <c r="P838" i="1"/>
  <c r="T838" i="1"/>
  <c r="N839" i="1"/>
  <c r="O839" i="1"/>
  <c r="P839" i="1"/>
  <c r="T839" i="1"/>
  <c r="N842" i="1"/>
  <c r="O842" i="1"/>
  <c r="P842" i="1"/>
  <c r="T842" i="1"/>
  <c r="N843" i="1"/>
  <c r="O843" i="1"/>
  <c r="P843" i="1"/>
  <c r="T843" i="1"/>
  <c r="N846" i="1"/>
  <c r="O846" i="1"/>
  <c r="P846" i="1"/>
  <c r="T846" i="1"/>
  <c r="O849" i="1"/>
  <c r="P849" i="1"/>
  <c r="T849" i="1"/>
  <c r="N852" i="1"/>
  <c r="O852" i="1"/>
  <c r="P852" i="1"/>
  <c r="T852" i="1"/>
  <c r="N853" i="1"/>
  <c r="O853" i="1"/>
  <c r="P853" i="1"/>
  <c r="T853" i="1"/>
  <c r="N854" i="1"/>
  <c r="O854" i="1"/>
  <c r="P854" i="1"/>
  <c r="T854" i="1"/>
  <c r="N855" i="1"/>
  <c r="O855" i="1"/>
  <c r="P855" i="1"/>
  <c r="T855" i="1"/>
  <c r="N857" i="1"/>
  <c r="O857" i="1"/>
  <c r="P857" i="1"/>
  <c r="T857" i="1"/>
  <c r="N858" i="1"/>
  <c r="O858" i="1"/>
  <c r="P858" i="1"/>
  <c r="T858" i="1"/>
  <c r="O859" i="1"/>
  <c r="P859" i="1"/>
  <c r="T859" i="1"/>
  <c r="N863" i="1"/>
  <c r="O863" i="1"/>
  <c r="P863" i="1"/>
  <c r="T863" i="1"/>
  <c r="N865" i="1"/>
  <c r="O865" i="1"/>
  <c r="P865" i="1"/>
  <c r="T865" i="1"/>
  <c r="N866" i="1"/>
  <c r="O866" i="1"/>
  <c r="P866" i="1"/>
  <c r="T866" i="1"/>
  <c r="N867" i="1"/>
  <c r="O867" i="1"/>
  <c r="P867" i="1"/>
  <c r="T867" i="1"/>
  <c r="N871" i="1"/>
  <c r="O871" i="1"/>
  <c r="P871" i="1"/>
  <c r="T871" i="1"/>
  <c r="N873" i="1"/>
  <c r="O873" i="1"/>
  <c r="P873" i="1"/>
  <c r="T873" i="1"/>
  <c r="N876" i="1"/>
  <c r="O876" i="1"/>
  <c r="P876" i="1"/>
  <c r="T876" i="1"/>
  <c r="N879" i="1"/>
  <c r="O879" i="1"/>
  <c r="P879" i="1"/>
  <c r="T879" i="1"/>
  <c r="N881" i="1"/>
  <c r="O881" i="1"/>
  <c r="P881" i="1"/>
  <c r="T881" i="1"/>
  <c r="N882" i="1"/>
  <c r="O882" i="1"/>
  <c r="P882" i="1"/>
  <c r="T882" i="1"/>
  <c r="N883" i="1"/>
  <c r="O883" i="1"/>
  <c r="P883" i="1"/>
  <c r="T883" i="1"/>
  <c r="N885" i="1"/>
  <c r="O885" i="1"/>
  <c r="P885" i="1"/>
  <c r="T885" i="1"/>
  <c r="N886" i="1"/>
  <c r="O886" i="1"/>
  <c r="P886" i="1"/>
  <c r="T886" i="1"/>
  <c r="N888" i="1"/>
  <c r="O888" i="1"/>
  <c r="P888" i="1"/>
  <c r="T888" i="1"/>
  <c r="N890" i="1"/>
  <c r="O890" i="1"/>
  <c r="P890" i="1"/>
  <c r="T890" i="1"/>
  <c r="N891" i="1"/>
  <c r="O891" i="1"/>
  <c r="P891" i="1"/>
  <c r="T891" i="1"/>
  <c r="N892" i="1"/>
  <c r="O892" i="1"/>
  <c r="P892" i="1"/>
  <c r="T892" i="1"/>
  <c r="N893" i="1"/>
  <c r="O893" i="1"/>
  <c r="P893" i="1"/>
  <c r="T893" i="1"/>
  <c r="N894" i="1"/>
  <c r="O894" i="1"/>
  <c r="P894" i="1"/>
  <c r="T894" i="1"/>
  <c r="N895" i="1"/>
  <c r="O895" i="1"/>
  <c r="P895" i="1"/>
  <c r="T895" i="1"/>
  <c r="N896" i="1"/>
  <c r="O896" i="1"/>
  <c r="P896" i="1"/>
  <c r="T896" i="1"/>
  <c r="N898" i="1"/>
  <c r="O898" i="1"/>
  <c r="P898" i="1"/>
  <c r="T898" i="1"/>
  <c r="N900" i="1"/>
  <c r="O900" i="1"/>
  <c r="P900" i="1"/>
  <c r="T900" i="1"/>
  <c r="N901" i="1"/>
  <c r="O901" i="1"/>
  <c r="P901" i="1"/>
  <c r="T901" i="1"/>
  <c r="N902" i="1"/>
  <c r="O902" i="1"/>
  <c r="P902" i="1"/>
  <c r="T902" i="1"/>
  <c r="N903" i="1"/>
  <c r="O903" i="1"/>
  <c r="P903" i="1"/>
  <c r="T903" i="1"/>
  <c r="N904" i="1"/>
  <c r="O904" i="1"/>
  <c r="P904" i="1"/>
  <c r="T904" i="1"/>
  <c r="N905" i="1"/>
  <c r="O905" i="1"/>
  <c r="P905" i="1"/>
  <c r="T905" i="1"/>
  <c r="N906" i="1"/>
  <c r="O906" i="1"/>
  <c r="P906" i="1"/>
  <c r="T906" i="1"/>
  <c r="N910" i="1"/>
  <c r="O910" i="1"/>
  <c r="P910" i="1"/>
  <c r="T910" i="1"/>
  <c r="N911" i="1"/>
  <c r="O911" i="1"/>
  <c r="P911" i="1"/>
  <c r="T911" i="1"/>
  <c r="N913" i="1"/>
  <c r="O913" i="1"/>
  <c r="P913" i="1"/>
  <c r="T913" i="1"/>
  <c r="N914" i="1"/>
  <c r="O914" i="1"/>
  <c r="P914" i="1"/>
  <c r="T914" i="1"/>
  <c r="N915" i="1"/>
  <c r="O915" i="1"/>
  <c r="P915" i="1"/>
  <c r="T915" i="1"/>
  <c r="N916" i="1"/>
  <c r="O916" i="1"/>
  <c r="P916" i="1"/>
  <c r="T916" i="1"/>
  <c r="N917" i="1"/>
  <c r="O917" i="1"/>
  <c r="P917" i="1"/>
  <c r="T917" i="1"/>
  <c r="N919" i="1"/>
  <c r="O919" i="1"/>
  <c r="P919" i="1"/>
  <c r="T919" i="1"/>
  <c r="N920" i="1"/>
  <c r="O920" i="1"/>
  <c r="P920" i="1"/>
  <c r="T920" i="1"/>
  <c r="N921" i="1"/>
  <c r="O921" i="1"/>
  <c r="P921" i="1"/>
  <c r="T921" i="1"/>
  <c r="N925" i="1"/>
  <c r="O925" i="1"/>
  <c r="P925" i="1"/>
  <c r="T925" i="1"/>
  <c r="N926" i="1"/>
  <c r="O926" i="1"/>
  <c r="P926" i="1"/>
  <c r="T926" i="1"/>
  <c r="N927" i="1"/>
  <c r="O927" i="1"/>
  <c r="P927" i="1"/>
  <c r="T927" i="1"/>
  <c r="O928" i="1"/>
  <c r="P928" i="1"/>
  <c r="T928" i="1"/>
  <c r="N929" i="1"/>
  <c r="O929" i="1"/>
  <c r="P929" i="1"/>
  <c r="T929" i="1"/>
  <c r="N930" i="1"/>
  <c r="O930" i="1"/>
  <c r="P930" i="1"/>
  <c r="T930" i="1"/>
  <c r="N931" i="1"/>
  <c r="O931" i="1"/>
  <c r="P931" i="1"/>
  <c r="T931" i="1"/>
  <c r="O932" i="1"/>
  <c r="P932" i="1"/>
  <c r="T932" i="1"/>
  <c r="N933" i="1"/>
  <c r="O933" i="1"/>
  <c r="P933" i="1"/>
  <c r="T933" i="1"/>
  <c r="N934" i="1"/>
  <c r="O934" i="1"/>
  <c r="P934" i="1"/>
  <c r="T934" i="1"/>
  <c r="N936" i="1"/>
  <c r="O936" i="1"/>
  <c r="P936" i="1"/>
  <c r="T936" i="1"/>
  <c r="N937" i="1"/>
  <c r="O937" i="1"/>
  <c r="P937" i="1"/>
  <c r="T937" i="1"/>
  <c r="N938" i="1"/>
  <c r="O938" i="1"/>
  <c r="P938" i="1"/>
  <c r="T938" i="1"/>
  <c r="O939" i="1"/>
  <c r="P939" i="1"/>
  <c r="T939" i="1"/>
  <c r="N940" i="1"/>
  <c r="O940" i="1"/>
  <c r="P940" i="1"/>
  <c r="T940" i="1"/>
  <c r="N941" i="1"/>
  <c r="O941" i="1"/>
  <c r="P941" i="1"/>
  <c r="T941" i="1"/>
  <c r="N942" i="1"/>
  <c r="O942" i="1"/>
  <c r="P942" i="1"/>
  <c r="T942" i="1"/>
  <c r="O944" i="1"/>
  <c r="P944" i="1"/>
  <c r="T944" i="1"/>
  <c r="N945" i="1"/>
  <c r="O945" i="1"/>
  <c r="P945" i="1"/>
  <c r="T945" i="1"/>
  <c r="N946" i="1"/>
  <c r="O946" i="1"/>
  <c r="P946" i="1"/>
  <c r="T946" i="1"/>
  <c r="N947" i="1"/>
  <c r="O947" i="1"/>
  <c r="P947" i="1"/>
  <c r="T947" i="1"/>
  <c r="O948" i="1"/>
  <c r="P948" i="1"/>
  <c r="T948" i="1"/>
  <c r="N949" i="1"/>
  <c r="O949" i="1"/>
  <c r="P949" i="1"/>
  <c r="T949" i="1"/>
  <c r="N950" i="1"/>
  <c r="O950" i="1"/>
  <c r="P950" i="1"/>
  <c r="T950" i="1"/>
  <c r="N951" i="1"/>
  <c r="O951" i="1"/>
  <c r="P951" i="1"/>
  <c r="T951" i="1"/>
  <c r="O952" i="1"/>
  <c r="P952" i="1"/>
  <c r="T952" i="1"/>
  <c r="N953" i="1"/>
  <c r="O953" i="1"/>
  <c r="P953" i="1"/>
  <c r="T953" i="1"/>
  <c r="N954" i="1"/>
  <c r="O954" i="1"/>
  <c r="P954" i="1"/>
  <c r="T954" i="1"/>
  <c r="N955" i="1"/>
  <c r="O955" i="1"/>
  <c r="P955" i="1"/>
  <c r="T955" i="1"/>
  <c r="O956" i="1"/>
  <c r="P956" i="1"/>
  <c r="T956" i="1"/>
  <c r="N957" i="1"/>
  <c r="O957" i="1"/>
  <c r="P957" i="1"/>
  <c r="T957" i="1"/>
  <c r="N958" i="1"/>
  <c r="O958" i="1"/>
  <c r="P958" i="1"/>
  <c r="T958" i="1"/>
  <c r="N959" i="1"/>
  <c r="O959" i="1"/>
  <c r="P959" i="1"/>
  <c r="T959" i="1"/>
  <c r="O960" i="1"/>
  <c r="P960" i="1"/>
  <c r="T960" i="1"/>
  <c r="N962" i="1"/>
  <c r="O962" i="1"/>
  <c r="T962" i="1"/>
  <c r="N965" i="1"/>
  <c r="O965" i="1"/>
  <c r="P965" i="1"/>
  <c r="T965" i="1"/>
  <c r="N966" i="1"/>
  <c r="O966" i="1"/>
  <c r="P966" i="1"/>
  <c r="T966" i="1"/>
  <c r="N967" i="1"/>
  <c r="O967" i="1"/>
  <c r="P967" i="1"/>
  <c r="T967" i="1"/>
  <c r="N968" i="1"/>
  <c r="O968" i="1"/>
  <c r="P968" i="1"/>
  <c r="T968" i="1"/>
  <c r="N970" i="1"/>
  <c r="O970" i="1"/>
  <c r="P970" i="1"/>
  <c r="T970" i="1"/>
  <c r="N971" i="1"/>
  <c r="O971" i="1"/>
  <c r="P971" i="1"/>
  <c r="T971" i="1"/>
  <c r="N972" i="1"/>
  <c r="O972" i="1"/>
  <c r="P972" i="1"/>
  <c r="T972" i="1"/>
  <c r="N973" i="1"/>
  <c r="O973" i="1"/>
  <c r="P973" i="1"/>
  <c r="T973" i="1"/>
  <c r="N974" i="1"/>
  <c r="O974" i="1"/>
  <c r="P974" i="1"/>
  <c r="T974" i="1"/>
  <c r="N975" i="1"/>
  <c r="O975" i="1"/>
  <c r="P975" i="1"/>
  <c r="T975" i="1"/>
  <c r="N976" i="1"/>
  <c r="O976" i="1"/>
  <c r="P976" i="1"/>
  <c r="T976" i="1"/>
  <c r="N977" i="1"/>
  <c r="O977" i="1"/>
  <c r="P977" i="1"/>
  <c r="T977" i="1"/>
  <c r="N979" i="1"/>
  <c r="O979" i="1"/>
  <c r="P979" i="1"/>
  <c r="T979" i="1"/>
  <c r="N980" i="1"/>
  <c r="O980" i="1"/>
  <c r="P980" i="1"/>
  <c r="T980" i="1"/>
  <c r="N981" i="1"/>
  <c r="O981" i="1"/>
  <c r="P981" i="1"/>
  <c r="T981" i="1"/>
  <c r="N983" i="1"/>
  <c r="O983" i="1"/>
  <c r="P983" i="1"/>
  <c r="T983" i="1"/>
  <c r="N984" i="1"/>
  <c r="O984" i="1"/>
  <c r="P984" i="1"/>
  <c r="T984" i="1"/>
  <c r="N985" i="1"/>
  <c r="O985" i="1"/>
  <c r="P985" i="1"/>
  <c r="T985" i="1"/>
  <c r="N987" i="1"/>
  <c r="O987" i="1"/>
  <c r="P987" i="1"/>
  <c r="N988" i="1"/>
  <c r="O988" i="1"/>
  <c r="P988" i="1"/>
  <c r="T988" i="1"/>
  <c r="N989" i="1"/>
  <c r="O989" i="1"/>
  <c r="P989" i="1"/>
  <c r="T989" i="1"/>
  <c r="O990" i="1"/>
  <c r="P990" i="1"/>
  <c r="T990" i="1"/>
  <c r="N991" i="1"/>
  <c r="O991" i="1"/>
  <c r="P991" i="1"/>
  <c r="T991" i="1"/>
  <c r="N992" i="1"/>
  <c r="O992" i="1"/>
  <c r="P992" i="1"/>
  <c r="T992" i="1"/>
  <c r="N993" i="1"/>
  <c r="O993" i="1"/>
  <c r="P993" i="1"/>
  <c r="T993" i="1"/>
  <c r="O994" i="1"/>
  <c r="P994" i="1"/>
  <c r="T994" i="1"/>
  <c r="N995" i="1"/>
  <c r="O995" i="1"/>
  <c r="P995" i="1"/>
  <c r="T995" i="1"/>
  <c r="N996" i="1"/>
  <c r="O996" i="1"/>
  <c r="P996" i="1"/>
  <c r="T996" i="1"/>
  <c r="N997" i="1"/>
  <c r="O997" i="1"/>
  <c r="P997" i="1"/>
  <c r="T997" i="1"/>
  <c r="O998" i="1"/>
  <c r="P998" i="1"/>
  <c r="T998" i="1"/>
  <c r="N999" i="1"/>
  <c r="O999" i="1"/>
  <c r="P999" i="1"/>
  <c r="T999" i="1"/>
  <c r="N1000" i="1"/>
  <c r="O1000" i="1"/>
  <c r="P1000" i="1"/>
  <c r="T1000" i="1"/>
  <c r="N1001" i="1"/>
  <c r="O1001" i="1"/>
  <c r="P1001" i="1"/>
  <c r="T1001" i="1"/>
  <c r="O1002" i="1"/>
  <c r="P1002" i="1"/>
  <c r="T1002" i="1"/>
  <c r="N1003" i="1"/>
  <c r="O1003" i="1"/>
  <c r="P1003" i="1"/>
  <c r="T1003" i="1"/>
  <c r="N1004" i="1"/>
  <c r="O1004" i="1"/>
  <c r="P1004" i="1"/>
  <c r="T1004" i="1"/>
  <c r="N1005" i="1"/>
  <c r="O1005" i="1"/>
  <c r="P1005" i="1"/>
  <c r="T1005" i="1"/>
  <c r="O1006" i="1"/>
  <c r="P1006" i="1"/>
  <c r="T1006" i="1"/>
  <c r="N1007" i="1"/>
  <c r="O1007" i="1"/>
  <c r="P1007" i="1"/>
  <c r="T1007" i="1"/>
  <c r="N1009" i="1"/>
  <c r="O1009" i="1"/>
  <c r="P1009" i="1"/>
  <c r="T1009" i="1"/>
  <c r="N1010" i="1"/>
  <c r="O1010" i="1"/>
  <c r="P1010" i="1"/>
  <c r="T1010" i="1"/>
  <c r="O1011" i="1"/>
  <c r="P1011" i="1"/>
  <c r="T1011" i="1"/>
  <c r="N1012" i="1"/>
  <c r="O1012" i="1"/>
  <c r="P1012" i="1"/>
  <c r="T1012" i="1"/>
  <c r="N1013" i="1"/>
  <c r="O1013" i="1"/>
  <c r="P1013" i="1"/>
  <c r="T1013" i="1"/>
  <c r="N1015" i="1"/>
  <c r="O1015" i="1"/>
  <c r="P1015" i="1"/>
  <c r="T1015" i="1"/>
  <c r="N1016" i="1"/>
  <c r="O1016" i="1"/>
  <c r="P1016" i="1"/>
  <c r="T1016" i="1"/>
  <c r="N1017" i="1"/>
  <c r="O1017" i="1"/>
  <c r="P1017" i="1"/>
  <c r="T1017" i="1"/>
  <c r="N1018" i="1"/>
  <c r="O1018" i="1"/>
  <c r="P1018" i="1"/>
  <c r="T1018" i="1"/>
  <c r="N1019" i="1"/>
  <c r="O1019" i="1"/>
  <c r="P1019" i="1"/>
  <c r="T1019" i="1"/>
  <c r="N1020" i="1"/>
  <c r="O1020" i="1"/>
  <c r="P1020" i="1"/>
  <c r="T1020" i="1"/>
  <c r="N1021" i="1"/>
  <c r="O1021" i="1"/>
  <c r="P1021" i="1"/>
  <c r="T1021" i="1"/>
  <c r="N1022" i="1"/>
  <c r="O1022" i="1"/>
  <c r="P1022" i="1"/>
  <c r="T1022" i="1"/>
  <c r="N1023" i="1"/>
  <c r="O1023" i="1"/>
  <c r="P1023" i="1"/>
  <c r="T1023" i="1"/>
  <c r="N1024" i="1"/>
  <c r="O1024" i="1"/>
  <c r="P1024" i="1"/>
  <c r="T1024" i="1"/>
  <c r="N1025" i="1"/>
  <c r="O1025" i="1"/>
  <c r="P1025" i="1"/>
  <c r="T1025" i="1"/>
  <c r="N1026" i="1"/>
  <c r="O1026" i="1"/>
  <c r="P1026" i="1"/>
  <c r="T1026" i="1"/>
  <c r="N1027" i="1"/>
  <c r="O1027" i="1"/>
  <c r="P1027" i="1"/>
  <c r="T1027" i="1"/>
  <c r="N1028" i="1"/>
  <c r="O1028" i="1"/>
  <c r="P1028" i="1"/>
  <c r="T1028" i="1"/>
  <c r="N1029" i="1"/>
  <c r="O1029" i="1"/>
  <c r="P1029" i="1"/>
  <c r="T1029" i="1"/>
  <c r="N1030" i="1"/>
  <c r="O1030" i="1"/>
  <c r="P1030" i="1"/>
  <c r="T1030" i="1"/>
  <c r="N1032" i="1"/>
  <c r="O1032" i="1"/>
  <c r="P1032" i="1"/>
  <c r="T1032" i="1"/>
  <c r="O1033" i="1"/>
  <c r="P1033" i="1"/>
  <c r="T1033" i="1"/>
  <c r="N1034" i="1"/>
  <c r="O1034" i="1"/>
  <c r="P1034" i="1"/>
  <c r="T1034" i="1"/>
  <c r="N1036" i="1"/>
  <c r="O1036" i="1"/>
  <c r="P1036" i="1"/>
  <c r="T1036" i="1"/>
  <c r="N1037" i="1"/>
  <c r="O1037" i="1"/>
  <c r="P1037" i="1"/>
  <c r="T1037" i="1"/>
  <c r="N1038" i="1"/>
  <c r="O1038" i="1"/>
  <c r="P1038" i="1"/>
  <c r="T1038" i="1"/>
  <c r="N1039" i="1"/>
  <c r="O1039" i="1"/>
  <c r="P1039" i="1"/>
  <c r="T1039" i="1"/>
  <c r="O1040" i="1"/>
  <c r="P1040" i="1"/>
  <c r="T1040" i="1"/>
  <c r="N1041" i="1"/>
  <c r="O1041" i="1"/>
  <c r="P1041" i="1"/>
  <c r="T1041" i="1"/>
  <c r="N1042" i="1"/>
  <c r="O1042" i="1"/>
  <c r="P1042" i="1"/>
  <c r="T1042" i="1"/>
  <c r="N1043" i="1"/>
  <c r="O1043" i="1"/>
  <c r="P1043" i="1"/>
  <c r="T1043" i="1"/>
  <c r="O1045" i="1"/>
  <c r="P1045" i="1"/>
  <c r="T1045" i="1"/>
  <c r="N1046" i="1"/>
  <c r="O1046" i="1"/>
  <c r="P1046" i="1"/>
  <c r="T1046" i="1"/>
  <c r="N1047" i="1"/>
  <c r="O1047" i="1"/>
  <c r="P1047" i="1"/>
  <c r="T1047" i="1"/>
  <c r="N1048" i="1"/>
  <c r="O1048" i="1"/>
  <c r="P1048" i="1"/>
  <c r="T1048" i="1"/>
  <c r="O1049" i="1"/>
  <c r="P1049" i="1"/>
  <c r="T1049" i="1"/>
  <c r="N1050" i="1"/>
  <c r="O1050" i="1"/>
  <c r="P1050" i="1"/>
  <c r="T1050" i="1"/>
  <c r="N1051" i="1"/>
  <c r="O1051" i="1"/>
  <c r="T1051" i="1"/>
  <c r="N1052" i="1"/>
  <c r="O1052" i="1"/>
  <c r="P1052" i="1"/>
  <c r="T1052" i="1"/>
  <c r="O1053" i="1"/>
  <c r="P1053" i="1"/>
  <c r="T1053" i="1"/>
  <c r="N1054" i="1"/>
  <c r="O1054" i="1"/>
  <c r="P1054" i="1"/>
  <c r="T1054" i="1"/>
  <c r="N1055" i="1"/>
  <c r="O1055" i="1"/>
  <c r="P1055" i="1"/>
  <c r="T1055" i="1"/>
  <c r="N1057" i="1"/>
  <c r="O1057" i="1"/>
  <c r="P1057" i="1"/>
  <c r="T1057" i="1"/>
  <c r="N1058" i="1"/>
  <c r="O1058" i="1"/>
  <c r="P1058" i="1"/>
  <c r="T1058" i="1"/>
  <c r="O1059" i="1"/>
  <c r="P1059" i="1"/>
  <c r="T1059" i="1"/>
  <c r="N1060" i="1"/>
  <c r="O1060" i="1"/>
  <c r="P1060" i="1"/>
  <c r="T1060" i="1"/>
  <c r="N1061" i="1"/>
  <c r="O1061" i="1"/>
  <c r="P1061" i="1"/>
  <c r="T1061" i="1"/>
  <c r="N1062" i="1"/>
  <c r="O1062" i="1"/>
  <c r="P1062" i="1"/>
  <c r="T1062" i="1"/>
  <c r="N1063" i="1"/>
  <c r="O1063" i="1"/>
  <c r="P1063" i="1"/>
  <c r="T1063" i="1"/>
  <c r="O1067" i="1"/>
  <c r="P1067" i="1"/>
  <c r="T1067" i="1"/>
  <c r="N1068" i="1"/>
  <c r="O1068" i="1"/>
  <c r="P1068" i="1"/>
  <c r="T1068" i="1"/>
  <c r="N1069" i="1"/>
  <c r="O1069" i="1"/>
  <c r="P1069" i="1"/>
  <c r="T1069" i="1"/>
  <c r="N1070" i="1"/>
  <c r="O1070" i="1"/>
  <c r="P1070" i="1"/>
  <c r="T1070" i="1"/>
  <c r="O1071" i="1"/>
  <c r="P1071" i="1"/>
  <c r="T1071" i="1"/>
  <c r="N1074" i="1"/>
  <c r="O1074" i="1"/>
  <c r="P1074" i="1"/>
  <c r="T1074" i="1"/>
  <c r="N1075" i="1"/>
  <c r="O1075" i="1"/>
  <c r="P1075" i="1"/>
  <c r="T1075" i="1"/>
  <c r="N1076" i="1"/>
  <c r="O1076" i="1"/>
  <c r="P1076" i="1"/>
  <c r="T1076" i="1"/>
  <c r="O1077" i="1"/>
  <c r="P1077" i="1"/>
  <c r="T1077" i="1"/>
  <c r="N1078" i="1"/>
  <c r="O1078" i="1"/>
  <c r="P1078" i="1"/>
  <c r="T1078" i="1"/>
  <c r="N1079" i="1"/>
  <c r="O1079" i="1"/>
  <c r="P1079" i="1"/>
  <c r="T1079" i="1"/>
  <c r="N1080" i="1"/>
  <c r="O1080" i="1"/>
  <c r="P1080" i="1"/>
  <c r="T1080" i="1"/>
  <c r="O1081" i="1"/>
  <c r="P1081" i="1"/>
  <c r="T1081" i="1"/>
  <c r="N1082" i="1"/>
  <c r="O1082" i="1"/>
  <c r="P1082" i="1"/>
  <c r="T1082" i="1"/>
  <c r="N1084" i="1"/>
  <c r="O1084" i="1"/>
  <c r="P1084" i="1"/>
  <c r="T1084" i="1"/>
  <c r="N1087" i="1"/>
  <c r="O1087" i="1"/>
  <c r="P1087" i="1"/>
  <c r="T1087" i="1"/>
  <c r="N1088" i="1"/>
  <c r="O1088" i="1"/>
  <c r="P1088" i="1"/>
  <c r="T1088" i="1"/>
  <c r="O1090" i="1"/>
  <c r="P1090" i="1"/>
  <c r="T1090" i="1"/>
  <c r="N1091" i="1"/>
  <c r="O1091" i="1"/>
  <c r="P1091" i="1"/>
  <c r="T1091" i="1"/>
  <c r="N1092" i="1"/>
  <c r="O1092" i="1"/>
  <c r="P1092" i="1"/>
  <c r="T1092" i="1"/>
  <c r="N1093" i="1"/>
  <c r="O1093" i="1"/>
  <c r="P1093" i="1"/>
  <c r="T1093" i="1"/>
  <c r="O1094" i="1"/>
  <c r="P1094" i="1"/>
  <c r="T1094" i="1"/>
  <c r="N1095" i="1"/>
  <c r="O1095" i="1"/>
  <c r="P1095" i="1"/>
  <c r="T1095" i="1"/>
  <c r="N1097" i="1"/>
  <c r="O1097" i="1"/>
  <c r="P1097" i="1"/>
  <c r="T1097" i="1"/>
  <c r="N1098" i="1"/>
  <c r="O1098" i="1"/>
  <c r="P1098" i="1"/>
  <c r="T1098" i="1"/>
  <c r="N1099" i="1"/>
  <c r="O1099" i="1"/>
  <c r="P1099" i="1"/>
  <c r="T1099" i="1"/>
  <c r="O1100" i="1"/>
  <c r="P1100" i="1"/>
  <c r="T1100" i="1"/>
  <c r="N1101" i="1"/>
  <c r="O1101" i="1"/>
  <c r="P1101" i="1"/>
  <c r="T1101" i="1"/>
  <c r="N1102" i="1"/>
  <c r="O1102" i="1"/>
  <c r="P1102" i="1"/>
  <c r="T1102" i="1"/>
  <c r="N1103" i="1"/>
  <c r="O1103" i="1"/>
  <c r="P1103" i="1"/>
  <c r="T1103" i="1"/>
  <c r="N1104" i="1"/>
  <c r="O1104" i="1"/>
  <c r="P1104" i="1"/>
  <c r="T1104" i="1"/>
  <c r="O1105" i="1"/>
  <c r="P1105" i="1"/>
  <c r="T1105" i="1"/>
  <c r="N1106" i="1"/>
  <c r="O1106" i="1"/>
  <c r="P1106" i="1"/>
  <c r="T1106" i="1"/>
  <c r="N1108" i="1"/>
  <c r="O1108" i="1"/>
  <c r="P1108" i="1"/>
  <c r="T1108" i="1"/>
  <c r="N1109" i="1"/>
  <c r="O1109" i="1"/>
  <c r="P1109" i="1"/>
  <c r="T1109" i="1"/>
  <c r="O1110" i="1"/>
  <c r="P1110" i="1"/>
  <c r="T1110" i="1"/>
  <c r="N1111" i="1"/>
  <c r="O1111" i="1"/>
  <c r="P1111" i="1"/>
  <c r="T1111" i="1"/>
  <c r="N1112" i="1"/>
  <c r="O1112" i="1"/>
  <c r="P1112" i="1"/>
  <c r="T1112" i="1"/>
  <c r="N1113" i="1"/>
  <c r="O1113" i="1"/>
  <c r="P1113" i="1"/>
  <c r="T1113" i="1"/>
  <c r="O1114" i="1"/>
  <c r="P1114" i="1"/>
  <c r="T1114" i="1"/>
  <c r="N1115" i="1"/>
  <c r="O1115" i="1"/>
  <c r="P1115" i="1"/>
  <c r="T1115" i="1"/>
  <c r="N1116" i="1"/>
  <c r="O1116" i="1"/>
  <c r="P1116" i="1"/>
  <c r="T1116" i="1"/>
  <c r="N1117" i="1"/>
  <c r="O1117" i="1"/>
  <c r="P1117" i="1"/>
  <c r="T1117" i="1"/>
  <c r="O1118" i="1"/>
  <c r="P1118" i="1"/>
  <c r="T1118" i="1"/>
  <c r="N1119" i="1"/>
  <c r="O1119" i="1"/>
  <c r="P1119" i="1"/>
  <c r="T1119" i="1"/>
  <c r="N1120" i="1"/>
  <c r="O1120" i="1"/>
  <c r="P1120" i="1"/>
  <c r="T1120" i="1"/>
  <c r="N1121" i="1"/>
  <c r="O1121" i="1"/>
  <c r="P1121" i="1"/>
  <c r="N1122" i="1"/>
  <c r="O1122" i="1"/>
  <c r="P1122" i="1"/>
  <c r="T1122" i="1"/>
  <c r="O1123" i="1"/>
  <c r="P1123" i="1"/>
  <c r="T1123" i="1"/>
  <c r="N1124" i="1"/>
  <c r="O1124" i="1"/>
  <c r="P1124" i="1"/>
  <c r="T1124" i="1"/>
  <c r="N1127" i="1"/>
  <c r="O1127" i="1"/>
  <c r="P1127" i="1"/>
  <c r="T1127" i="1"/>
  <c r="N1128" i="1"/>
  <c r="O1128" i="1"/>
  <c r="P1128" i="1"/>
  <c r="T1128" i="1"/>
  <c r="N1129" i="1"/>
  <c r="O1129" i="1"/>
  <c r="P1129" i="1"/>
  <c r="T1129" i="1"/>
  <c r="O1130" i="1"/>
  <c r="P1130" i="1"/>
  <c r="T1130" i="1"/>
  <c r="N1131" i="1"/>
  <c r="O1131" i="1"/>
  <c r="P1131" i="1"/>
  <c r="T1131" i="1"/>
  <c r="N1132" i="1"/>
  <c r="O1132" i="1"/>
  <c r="P1132" i="1"/>
  <c r="T1132" i="1"/>
  <c r="N1134" i="1"/>
  <c r="O1134" i="1"/>
  <c r="P1134" i="1"/>
  <c r="T1134" i="1"/>
  <c r="N1135" i="1"/>
  <c r="O1135" i="1"/>
  <c r="P1135" i="1"/>
  <c r="T1135" i="1"/>
  <c r="O1141" i="1"/>
  <c r="P1141" i="1"/>
  <c r="T1141" i="1"/>
  <c r="N1142" i="1"/>
  <c r="O1142" i="1"/>
  <c r="P1142" i="1"/>
  <c r="T1142" i="1"/>
  <c r="N1143" i="1"/>
  <c r="O1143" i="1"/>
  <c r="P1143" i="1"/>
  <c r="T1143" i="1"/>
  <c r="N1145" i="1"/>
  <c r="O1145" i="1"/>
  <c r="P1145" i="1"/>
  <c r="T1145" i="1"/>
  <c r="O1146" i="1"/>
  <c r="P1146" i="1"/>
  <c r="T1146" i="1"/>
  <c r="N1150" i="1"/>
  <c r="O1150" i="1"/>
  <c r="P1150" i="1"/>
  <c r="T1150" i="1"/>
  <c r="N1151" i="1"/>
  <c r="O1151" i="1"/>
  <c r="P1151" i="1"/>
  <c r="T1151" i="1"/>
  <c r="N1152" i="1"/>
  <c r="O1152" i="1"/>
  <c r="P1152" i="1"/>
  <c r="T1152" i="1"/>
  <c r="N1154" i="1"/>
  <c r="O1154" i="1"/>
  <c r="P1154" i="1"/>
  <c r="T1154" i="1"/>
  <c r="O1155" i="1"/>
  <c r="P1155" i="1"/>
  <c r="T1155" i="1"/>
  <c r="N1156" i="1"/>
  <c r="O1156" i="1"/>
  <c r="P1156" i="1"/>
  <c r="T1156" i="1"/>
  <c r="N1157" i="1"/>
  <c r="O1157" i="1"/>
  <c r="P1157" i="1"/>
  <c r="T1157" i="1"/>
  <c r="N1158" i="1"/>
  <c r="O1158" i="1"/>
  <c r="P1158" i="1"/>
  <c r="T1158" i="1"/>
  <c r="N1162" i="1"/>
  <c r="O1162" i="1"/>
  <c r="P1162" i="1"/>
  <c r="T1162" i="1"/>
  <c r="N1163" i="1"/>
  <c r="O1163" i="1"/>
  <c r="P1163" i="1"/>
  <c r="T1163" i="1"/>
  <c r="O1167" i="1"/>
  <c r="P1167" i="1"/>
  <c r="T1167" i="1"/>
  <c r="N1168" i="1"/>
  <c r="O1168" i="1"/>
  <c r="P1168" i="1"/>
  <c r="T1168" i="1"/>
  <c r="N1172" i="1"/>
  <c r="O1172" i="1"/>
  <c r="P1172" i="1"/>
  <c r="T1172" i="1"/>
  <c r="N1173" i="1"/>
  <c r="O1173" i="1"/>
  <c r="P1173" i="1"/>
  <c r="T1173" i="1"/>
  <c r="O1174" i="1"/>
  <c r="P1174" i="1"/>
  <c r="T1174" i="1"/>
  <c r="N1176" i="1"/>
  <c r="O1176" i="1"/>
  <c r="P1176" i="1"/>
  <c r="T1176" i="1"/>
  <c r="N1179" i="1"/>
  <c r="O1179" i="1"/>
  <c r="P1179" i="1"/>
  <c r="T1179" i="1"/>
  <c r="N1180" i="1"/>
  <c r="O1180" i="1"/>
  <c r="P1180" i="1"/>
  <c r="T1180" i="1"/>
  <c r="N1181" i="1"/>
  <c r="O1181" i="1"/>
  <c r="P1181" i="1"/>
  <c r="T1181" i="1"/>
  <c r="O1182" i="1"/>
  <c r="P1182" i="1"/>
  <c r="T1182" i="1"/>
  <c r="N1183" i="1"/>
  <c r="O1183" i="1"/>
  <c r="P1183" i="1"/>
  <c r="T1183" i="1"/>
  <c r="N1187" i="1"/>
  <c r="O1187" i="1"/>
  <c r="P1187" i="1"/>
  <c r="T1187" i="1"/>
  <c r="N1188" i="1"/>
  <c r="O1188" i="1"/>
  <c r="P1188" i="1"/>
  <c r="T1188" i="1"/>
  <c r="N1191" i="1"/>
  <c r="O1191" i="1"/>
  <c r="P1191" i="1"/>
  <c r="T1191" i="1"/>
  <c r="N1192" i="1"/>
  <c r="O1192" i="1"/>
  <c r="P1192" i="1"/>
  <c r="T1192" i="1"/>
  <c r="O1197" i="1"/>
  <c r="P1197" i="1"/>
  <c r="T1197" i="1"/>
  <c r="N1198" i="1"/>
  <c r="O1198" i="1"/>
  <c r="P1198" i="1"/>
  <c r="T1198" i="1"/>
  <c r="N1201" i="1"/>
  <c r="O1201" i="1"/>
  <c r="P1201" i="1"/>
  <c r="T1201" i="1"/>
  <c r="N1202" i="1"/>
  <c r="O1202" i="1"/>
  <c r="P1202" i="1"/>
  <c r="T1202" i="1"/>
  <c r="O1203" i="1"/>
  <c r="P1203" i="1"/>
  <c r="T1203" i="1"/>
  <c r="N1204" i="1"/>
  <c r="O1204" i="1"/>
  <c r="P1204" i="1"/>
  <c r="T1204" i="1"/>
  <c r="N1205" i="1"/>
  <c r="O1205" i="1"/>
  <c r="P1205" i="1"/>
  <c r="T1205" i="1"/>
  <c r="N1208" i="1"/>
  <c r="O1208" i="1"/>
  <c r="P1208" i="1"/>
  <c r="T1208" i="1"/>
  <c r="O1209" i="1"/>
  <c r="P1209" i="1"/>
  <c r="T1209" i="1"/>
  <c r="N1210" i="1"/>
  <c r="O1210" i="1"/>
  <c r="P1210" i="1"/>
  <c r="T1210" i="1"/>
  <c r="N1211" i="1"/>
  <c r="O1211" i="1"/>
  <c r="P1211" i="1"/>
  <c r="T1211" i="1"/>
  <c r="N1215" i="1"/>
  <c r="O1215" i="1"/>
  <c r="P1215" i="1"/>
  <c r="T1215" i="1"/>
  <c r="N1216" i="1"/>
  <c r="O1216" i="1"/>
  <c r="P1216" i="1"/>
  <c r="T1216" i="1"/>
  <c r="O1217" i="1"/>
  <c r="P1217" i="1"/>
  <c r="T1217" i="1"/>
  <c r="N1218" i="1"/>
  <c r="O1218" i="1"/>
  <c r="P1218" i="1"/>
  <c r="T1218" i="1"/>
  <c r="N1219" i="1"/>
  <c r="O1219" i="1"/>
  <c r="P1219" i="1"/>
  <c r="T1219" i="1"/>
  <c r="N1220" i="1"/>
  <c r="O1220" i="1"/>
  <c r="P1220" i="1"/>
  <c r="T1220" i="1"/>
  <c r="O1221" i="1"/>
  <c r="P1221" i="1"/>
  <c r="T1221" i="1"/>
  <c r="N1222" i="1"/>
  <c r="O1222" i="1"/>
  <c r="P1222" i="1"/>
  <c r="T1222" i="1"/>
  <c r="N1223" i="1"/>
  <c r="O1223" i="1"/>
  <c r="P1223" i="1"/>
  <c r="T1223" i="1"/>
  <c r="N1224" i="1"/>
  <c r="O1224" i="1"/>
  <c r="P1224" i="1"/>
  <c r="T1224" i="1"/>
  <c r="O1226" i="1"/>
  <c r="P1226" i="1"/>
  <c r="T1226" i="1"/>
  <c r="N1227" i="1"/>
  <c r="O1227" i="1"/>
  <c r="P1227" i="1"/>
  <c r="T1227" i="1"/>
  <c r="N1228" i="1"/>
  <c r="O1228" i="1"/>
  <c r="P1228" i="1"/>
  <c r="N1229" i="1"/>
  <c r="O1229" i="1"/>
  <c r="P1229" i="1"/>
  <c r="T1229" i="1"/>
  <c r="O1232" i="1"/>
  <c r="P1232" i="1"/>
  <c r="N1233" i="1"/>
  <c r="O1233" i="1"/>
  <c r="P1233" i="1"/>
  <c r="T1233" i="1"/>
  <c r="N1235" i="1"/>
  <c r="O1235" i="1"/>
  <c r="P1235" i="1"/>
  <c r="T1235" i="1"/>
  <c r="N1236" i="1"/>
  <c r="O1236" i="1"/>
  <c r="P1236" i="1"/>
  <c r="T1236" i="1"/>
  <c r="N1240" i="1"/>
  <c r="O1240" i="1"/>
  <c r="P1240" i="1"/>
  <c r="T1240" i="1"/>
  <c r="N1241" i="1"/>
  <c r="O1241" i="1"/>
  <c r="P1241" i="1"/>
  <c r="T1241" i="1"/>
  <c r="N1242" i="1"/>
  <c r="O1242" i="1"/>
  <c r="P1242" i="1"/>
  <c r="T1242" i="1"/>
  <c r="O1243" i="1"/>
  <c r="P1243" i="1"/>
  <c r="T1243" i="1"/>
  <c r="N1244" i="1"/>
  <c r="O1244" i="1"/>
  <c r="P1244" i="1"/>
  <c r="T1244" i="1"/>
  <c r="N1245" i="1"/>
  <c r="O1245" i="1"/>
  <c r="P1245" i="1"/>
  <c r="T1245" i="1"/>
  <c r="N1246" i="1"/>
  <c r="O1246" i="1"/>
  <c r="P1246" i="1"/>
  <c r="T1246" i="1"/>
  <c r="O1247" i="1"/>
  <c r="P1247" i="1"/>
  <c r="T1247" i="1"/>
  <c r="N1248" i="1"/>
  <c r="O1248" i="1"/>
  <c r="P1248" i="1"/>
  <c r="T1248" i="1"/>
  <c r="N1251" i="1"/>
  <c r="O1251" i="1"/>
  <c r="P1251" i="1"/>
  <c r="T1251" i="1"/>
  <c r="N1252" i="1"/>
  <c r="O1252" i="1"/>
  <c r="P1252" i="1"/>
  <c r="T1252" i="1"/>
  <c r="O1253" i="1"/>
  <c r="P1253" i="1"/>
  <c r="T1253" i="1"/>
  <c r="N1254" i="1"/>
  <c r="O1254" i="1"/>
  <c r="P1254" i="1"/>
  <c r="T1254" i="1"/>
  <c r="N1255" i="1"/>
  <c r="O1255" i="1"/>
  <c r="P1255" i="1"/>
  <c r="T1255" i="1"/>
  <c r="N1256" i="1"/>
  <c r="O1256" i="1"/>
  <c r="P1256" i="1"/>
  <c r="T1256" i="1"/>
  <c r="O1257" i="1"/>
  <c r="P1257" i="1"/>
  <c r="T1257" i="1"/>
  <c r="N1258" i="1"/>
  <c r="O1258" i="1"/>
  <c r="P1258" i="1"/>
  <c r="T1258" i="1"/>
  <c r="N1261" i="1"/>
  <c r="O1261" i="1"/>
  <c r="P1261" i="1"/>
  <c r="T1261" i="1"/>
  <c r="N1262" i="1"/>
  <c r="O1262" i="1"/>
  <c r="P1262" i="1"/>
  <c r="T1262" i="1"/>
  <c r="O1263" i="1"/>
  <c r="P1263" i="1"/>
  <c r="T1263" i="1"/>
  <c r="N1265" i="1"/>
  <c r="O1265" i="1"/>
  <c r="P1265" i="1"/>
  <c r="T1265" i="1"/>
  <c r="N1270" i="1"/>
  <c r="O1270" i="1"/>
  <c r="P1270" i="1"/>
  <c r="T1270" i="1"/>
  <c r="N1273" i="1"/>
  <c r="O1273" i="1"/>
  <c r="P1273" i="1"/>
  <c r="T1273" i="1"/>
  <c r="N1274" i="1"/>
  <c r="O1274" i="1"/>
  <c r="P1274" i="1"/>
  <c r="T1274" i="1"/>
  <c r="O1275" i="1"/>
  <c r="P1275" i="1"/>
  <c r="T1275" i="1"/>
  <c r="N1277" i="1"/>
  <c r="O1277" i="1"/>
  <c r="P1277" i="1"/>
  <c r="T1277" i="1"/>
  <c r="N1280" i="1"/>
  <c r="O1280" i="1"/>
  <c r="P1280" i="1"/>
  <c r="T1280" i="1"/>
  <c r="N1284" i="1"/>
  <c r="O1284" i="1"/>
  <c r="P1284" i="1"/>
  <c r="T1284" i="1"/>
  <c r="O1285" i="1"/>
  <c r="P1285" i="1"/>
  <c r="T1285" i="1"/>
  <c r="N1286" i="1"/>
  <c r="O1286" i="1"/>
  <c r="P1286" i="1"/>
  <c r="T1286" i="1"/>
  <c r="N1289" i="1"/>
  <c r="O1289" i="1"/>
  <c r="P1289" i="1"/>
  <c r="T1289" i="1"/>
  <c r="N1290" i="1"/>
  <c r="O1290" i="1"/>
  <c r="P1290" i="1"/>
  <c r="T1290" i="1"/>
  <c r="N1291" i="1"/>
  <c r="O1291" i="1"/>
  <c r="P1291" i="1"/>
  <c r="T1291" i="1"/>
  <c r="O1292" i="1"/>
  <c r="P1292" i="1"/>
  <c r="T1292" i="1"/>
  <c r="N1297" i="1"/>
  <c r="O1297" i="1"/>
  <c r="P1297" i="1"/>
  <c r="T1297" i="1"/>
  <c r="N1298" i="1"/>
  <c r="O1298" i="1"/>
  <c r="P1298" i="1"/>
  <c r="T1298" i="1"/>
  <c r="N1299" i="1"/>
  <c r="O1299" i="1"/>
  <c r="P1299" i="1"/>
  <c r="T1299" i="1"/>
  <c r="N1304" i="1"/>
  <c r="O1304" i="1"/>
  <c r="P1304" i="1"/>
  <c r="T1304" i="1"/>
  <c r="N1305" i="1"/>
  <c r="O1305" i="1"/>
  <c r="P1305" i="1"/>
  <c r="T1305" i="1"/>
  <c r="N1312" i="1"/>
  <c r="O1312" i="1"/>
  <c r="P1312" i="1"/>
  <c r="T1312" i="1"/>
  <c r="N1313" i="1"/>
  <c r="O1313" i="1"/>
  <c r="P1313" i="1"/>
  <c r="T1313" i="1"/>
  <c r="O1315" i="1"/>
  <c r="P1315" i="1"/>
  <c r="T1315" i="1"/>
  <c r="N1317" i="1"/>
  <c r="O1317" i="1"/>
  <c r="P1317" i="1"/>
  <c r="T1317" i="1"/>
  <c r="N1319" i="1"/>
  <c r="O1319" i="1"/>
  <c r="P1319" i="1"/>
  <c r="T1319" i="1"/>
  <c r="N1320" i="1"/>
  <c r="O1320" i="1"/>
  <c r="P1320" i="1"/>
  <c r="T1320" i="1"/>
  <c r="N1321" i="1"/>
  <c r="O1321" i="1"/>
  <c r="P1321" i="1"/>
  <c r="T1321" i="1"/>
  <c r="N1325" i="1"/>
  <c r="O1325" i="1"/>
  <c r="P1325" i="1"/>
  <c r="T1325" i="1"/>
  <c r="N1326" i="1"/>
  <c r="O1326" i="1"/>
  <c r="P1326" i="1"/>
  <c r="T1326" i="1"/>
  <c r="N1330" i="1"/>
  <c r="T1330" i="1"/>
  <c r="N1333" i="1"/>
  <c r="O1333" i="1"/>
  <c r="P1333" i="1"/>
  <c r="T1333" i="1"/>
  <c r="N1336" i="1"/>
  <c r="O1336" i="1"/>
  <c r="P1336" i="1"/>
  <c r="T1336" i="1"/>
  <c r="N1337" i="1"/>
  <c r="O1337" i="1"/>
  <c r="P1337" i="1"/>
  <c r="T1337" i="1"/>
  <c r="N1338" i="1"/>
  <c r="O1338" i="1"/>
  <c r="P1338" i="1"/>
  <c r="T1338" i="1"/>
  <c r="N1341" i="1"/>
  <c r="O1341" i="1"/>
  <c r="P1341" i="1"/>
  <c r="T1341" i="1"/>
  <c r="N1342" i="1"/>
  <c r="O1342" i="1"/>
  <c r="P1342" i="1"/>
  <c r="T1342" i="1"/>
  <c r="N1344" i="1"/>
  <c r="O1344" i="1"/>
  <c r="P1344" i="1"/>
  <c r="T1344" i="1"/>
  <c r="N1347" i="1"/>
  <c r="O1347" i="1"/>
  <c r="P1347" i="1"/>
  <c r="T1347" i="1"/>
  <c r="N1348" i="1"/>
  <c r="O1348" i="1"/>
  <c r="P1348" i="1"/>
  <c r="T1348" i="1"/>
  <c r="N1349" i="1"/>
  <c r="O1349" i="1"/>
  <c r="P1349" i="1"/>
  <c r="T1349" i="1"/>
  <c r="N1351" i="1"/>
  <c r="O1351" i="1"/>
  <c r="P1351" i="1"/>
  <c r="T1351" i="1"/>
  <c r="N1353" i="1"/>
  <c r="O1353" i="1"/>
  <c r="P1353" i="1"/>
  <c r="T1353" i="1"/>
  <c r="N1354" i="1"/>
  <c r="O1354" i="1"/>
  <c r="T1354" i="1"/>
  <c r="N1356" i="1"/>
  <c r="O1356" i="1"/>
  <c r="P1356" i="1"/>
  <c r="T1356" i="1"/>
  <c r="N1360" i="1"/>
  <c r="O1360" i="1"/>
  <c r="P1360" i="1"/>
  <c r="N1362" i="1"/>
  <c r="O1362" i="1"/>
  <c r="P1362" i="1"/>
  <c r="T1362" i="1"/>
  <c r="N1365" i="1"/>
  <c r="O1365" i="1"/>
  <c r="P1365" i="1"/>
  <c r="T1365" i="1"/>
  <c r="N1368" i="1"/>
  <c r="O1368" i="1"/>
  <c r="P1368" i="1"/>
  <c r="N1371" i="1"/>
  <c r="O1371" i="1"/>
  <c r="P1371" i="1"/>
  <c r="T1371" i="1"/>
  <c r="N1372" i="1"/>
  <c r="O1372" i="1"/>
  <c r="P1372" i="1"/>
  <c r="T1372" i="1"/>
  <c r="N1375" i="1"/>
  <c r="O1375" i="1"/>
  <c r="P1375" i="1"/>
  <c r="T1375" i="1"/>
  <c r="N1379" i="1"/>
  <c r="O1379" i="1"/>
  <c r="P1379" i="1"/>
  <c r="T1379" i="1"/>
  <c r="N1380" i="1"/>
  <c r="O1380" i="1"/>
  <c r="P1380" i="1"/>
  <c r="T1380" i="1"/>
  <c r="N1384" i="1"/>
  <c r="O1384" i="1"/>
  <c r="P1384" i="1"/>
  <c r="T1384" i="1"/>
  <c r="N1386" i="1"/>
  <c r="O1386" i="1"/>
  <c r="P1386" i="1"/>
  <c r="T1386" i="1"/>
  <c r="N1388" i="1"/>
  <c r="O1388" i="1"/>
  <c r="P1388" i="1"/>
  <c r="T1388" i="1"/>
  <c r="N1389" i="1"/>
  <c r="O1389" i="1"/>
  <c r="P1389" i="1"/>
  <c r="T1389" i="1"/>
  <c r="N1391" i="1"/>
  <c r="O1391" i="1"/>
  <c r="P1391" i="1"/>
  <c r="T1391" i="1"/>
  <c r="N1393" i="1"/>
  <c r="O1393" i="1"/>
  <c r="P1393" i="1"/>
  <c r="T1393" i="1"/>
  <c r="N1394" i="1"/>
  <c r="O1394" i="1"/>
  <c r="P1394" i="1"/>
  <c r="T1394" i="1"/>
  <c r="N1395" i="1"/>
  <c r="O1395" i="1"/>
  <c r="P1395" i="1"/>
  <c r="T1395" i="1"/>
  <c r="N1396" i="1"/>
  <c r="O1396" i="1"/>
  <c r="P1396" i="1"/>
  <c r="T1396" i="1"/>
  <c r="N1400" i="1"/>
  <c r="O1400" i="1"/>
  <c r="P1400" i="1"/>
  <c r="T1400" i="1"/>
  <c r="N1401" i="1"/>
  <c r="O1401" i="1"/>
  <c r="P1401" i="1"/>
  <c r="T1401" i="1"/>
  <c r="N1403" i="1"/>
  <c r="O1403" i="1"/>
  <c r="P1403" i="1"/>
  <c r="T1403" i="1"/>
  <c r="N1404" i="1"/>
  <c r="O1404" i="1"/>
  <c r="P1404" i="1"/>
  <c r="T1404" i="1"/>
  <c r="N1406" i="1"/>
  <c r="O1406" i="1"/>
  <c r="P1406" i="1"/>
  <c r="T1406" i="1"/>
  <c r="N1407" i="1"/>
  <c r="O1407" i="1"/>
  <c r="P1407" i="1"/>
  <c r="T1407" i="1"/>
  <c r="N1409" i="1"/>
  <c r="O1409" i="1"/>
  <c r="P1409" i="1"/>
  <c r="T1409" i="1"/>
  <c r="N1410" i="1"/>
  <c r="O1410" i="1"/>
  <c r="P1410" i="1"/>
  <c r="T1410" i="1"/>
  <c r="N1412" i="1"/>
  <c r="O1412" i="1"/>
  <c r="P1412" i="1"/>
  <c r="T1412" i="1"/>
  <c r="N1414" i="1"/>
  <c r="O1414" i="1"/>
  <c r="P1414" i="1"/>
  <c r="T1414" i="1"/>
  <c r="N1417" i="1"/>
  <c r="O1417" i="1"/>
  <c r="P1417" i="1"/>
  <c r="T1417" i="1"/>
  <c r="N1419" i="1"/>
  <c r="O1419" i="1"/>
  <c r="P1419" i="1"/>
  <c r="T1419" i="1"/>
  <c r="N1420" i="1"/>
  <c r="O1420" i="1"/>
  <c r="P1420" i="1"/>
  <c r="T1420" i="1"/>
  <c r="N1422" i="1"/>
  <c r="O1422" i="1"/>
  <c r="P1422" i="1"/>
  <c r="T1422" i="1"/>
  <c r="N1423" i="1"/>
  <c r="O1423" i="1"/>
  <c r="P1423" i="1"/>
  <c r="T1423" i="1"/>
  <c r="N1425" i="1"/>
  <c r="O1425" i="1"/>
  <c r="P1425" i="1"/>
  <c r="N1427" i="1"/>
  <c r="O1427" i="1"/>
  <c r="P1427" i="1"/>
  <c r="T1427" i="1"/>
  <c r="N1428" i="1"/>
  <c r="O1428" i="1"/>
  <c r="P1428" i="1"/>
  <c r="T1428" i="1"/>
  <c r="N1429" i="1"/>
  <c r="O1429" i="1"/>
  <c r="P1429" i="1"/>
  <c r="T1429" i="1"/>
  <c r="N1430" i="1"/>
  <c r="O1430" i="1"/>
  <c r="P1430" i="1"/>
  <c r="T1430" i="1"/>
  <c r="N1435" i="1"/>
  <c r="O1435" i="1"/>
  <c r="P1435" i="1"/>
  <c r="T1435" i="1"/>
  <c r="O1436" i="1"/>
  <c r="P1436" i="1"/>
  <c r="T1436" i="1"/>
  <c r="N1437" i="1"/>
  <c r="O1437" i="1"/>
  <c r="P1437" i="1"/>
  <c r="T1437" i="1"/>
  <c r="N1438" i="1"/>
  <c r="O1438" i="1"/>
  <c r="P1438" i="1"/>
  <c r="T1438" i="1"/>
  <c r="N1439" i="1"/>
  <c r="O1439" i="1"/>
  <c r="P1439" i="1"/>
  <c r="T1439" i="1"/>
  <c r="O1440" i="1"/>
  <c r="P1440" i="1"/>
  <c r="T1440" i="1"/>
  <c r="N1442" i="1"/>
  <c r="O1442" i="1"/>
  <c r="P1442" i="1"/>
  <c r="T1442" i="1"/>
  <c r="N1443" i="1"/>
  <c r="O1443" i="1"/>
  <c r="P1443" i="1"/>
  <c r="T1443" i="1"/>
  <c r="N1444" i="1"/>
  <c r="O1444" i="1"/>
  <c r="P1444" i="1"/>
  <c r="T1444" i="1"/>
  <c r="O1447" i="1"/>
  <c r="P1447" i="1"/>
  <c r="T1447" i="1"/>
  <c r="N1448" i="1"/>
  <c r="O1448" i="1"/>
  <c r="P1448" i="1"/>
  <c r="T1448" i="1"/>
  <c r="N1450" i="1"/>
  <c r="O1450" i="1"/>
  <c r="P1450" i="1"/>
  <c r="T1450" i="1"/>
  <c r="N1451" i="1"/>
  <c r="O1451" i="1"/>
  <c r="T1451" i="1"/>
  <c r="O1452" i="1"/>
  <c r="P1452" i="1"/>
  <c r="T1452" i="1"/>
  <c r="N1453" i="1"/>
  <c r="O1453" i="1"/>
  <c r="P1453" i="1"/>
  <c r="T1453" i="1"/>
  <c r="N1454" i="1"/>
  <c r="O1454" i="1"/>
  <c r="P1454" i="1"/>
  <c r="T1454" i="1"/>
  <c r="N1455" i="1"/>
  <c r="O1455" i="1"/>
  <c r="P1455" i="1"/>
  <c r="T1455" i="1"/>
  <c r="N1459" i="1"/>
  <c r="O1459" i="1"/>
  <c r="P1459" i="1"/>
  <c r="T1459" i="1"/>
  <c r="N1460" i="1"/>
  <c r="O1460" i="1"/>
  <c r="P1460" i="1"/>
  <c r="T1460" i="1"/>
  <c r="N1462" i="1"/>
  <c r="O1462" i="1"/>
  <c r="P1462" i="1"/>
  <c r="T1462" i="1"/>
  <c r="N1463" i="1"/>
  <c r="O1463" i="1"/>
  <c r="P1463" i="1"/>
  <c r="T1463" i="1"/>
  <c r="N1464" i="1"/>
  <c r="O1464" i="1"/>
  <c r="P1464" i="1"/>
  <c r="T1464" i="1"/>
  <c r="N1466" i="1"/>
  <c r="O1466" i="1"/>
  <c r="P1466" i="1"/>
  <c r="T1466" i="1"/>
  <c r="N1467" i="1"/>
  <c r="O1467" i="1"/>
  <c r="P1467" i="1"/>
  <c r="T1467" i="1"/>
  <c r="N1468" i="1"/>
  <c r="O1468" i="1"/>
  <c r="P1468" i="1"/>
  <c r="T1468" i="1"/>
  <c r="N1469" i="1"/>
  <c r="O1469" i="1"/>
  <c r="P1469" i="1"/>
  <c r="T1469" i="1"/>
  <c r="N1473" i="1"/>
  <c r="O1473" i="1"/>
  <c r="P1473" i="1"/>
  <c r="T1473" i="1"/>
  <c r="N1475" i="1"/>
  <c r="O1475" i="1"/>
  <c r="P1475" i="1"/>
  <c r="T1475" i="1"/>
  <c r="O1477" i="1"/>
  <c r="P1477" i="1"/>
  <c r="T1477" i="1"/>
  <c r="N1479" i="1"/>
  <c r="O1479" i="1"/>
  <c r="P1479" i="1"/>
  <c r="T1479" i="1"/>
  <c r="N1481" i="1"/>
  <c r="O1481" i="1"/>
  <c r="P1481" i="1"/>
  <c r="T1481" i="1"/>
  <c r="N1482" i="1"/>
  <c r="O1482" i="1"/>
  <c r="P1482" i="1"/>
  <c r="T1482" i="1"/>
  <c r="N1483" i="1"/>
  <c r="O1483" i="1"/>
  <c r="P1483" i="1"/>
  <c r="T1483" i="1"/>
  <c r="N1485" i="1"/>
  <c r="O1485" i="1"/>
  <c r="P1485" i="1"/>
  <c r="T1485" i="1"/>
  <c r="N1487" i="1"/>
  <c r="O1487" i="1"/>
  <c r="P1487" i="1"/>
  <c r="T1487" i="1"/>
  <c r="N1489" i="1"/>
  <c r="O1489" i="1"/>
  <c r="P1489" i="1"/>
  <c r="T1489" i="1"/>
  <c r="N1491" i="1"/>
  <c r="O1491" i="1"/>
  <c r="P1491" i="1"/>
  <c r="T1491" i="1"/>
  <c r="N1493" i="1"/>
  <c r="O1493" i="1"/>
  <c r="P1493" i="1"/>
  <c r="T1493" i="1"/>
  <c r="N1495" i="1"/>
  <c r="O1495" i="1"/>
  <c r="P1495" i="1"/>
  <c r="T1495" i="1"/>
  <c r="N1497" i="1"/>
  <c r="O1497" i="1"/>
  <c r="P1497" i="1"/>
  <c r="T1497" i="1"/>
  <c r="N1500" i="1"/>
  <c r="O1500" i="1"/>
  <c r="P1500" i="1"/>
  <c r="T1500" i="1"/>
  <c r="N1501" i="1"/>
  <c r="O1501" i="1"/>
  <c r="P1501" i="1"/>
  <c r="T1501" i="1"/>
  <c r="N1505" i="1"/>
  <c r="O1505" i="1"/>
  <c r="P1505" i="1"/>
  <c r="T1505" i="1"/>
  <c r="N1507" i="1"/>
  <c r="O1507" i="1"/>
  <c r="P1507" i="1"/>
  <c r="T1507" i="1"/>
  <c r="N1510" i="1"/>
  <c r="O1510" i="1"/>
  <c r="P1510" i="1"/>
  <c r="T1510" i="1"/>
  <c r="N1511" i="1"/>
  <c r="O1511" i="1"/>
  <c r="P1511" i="1"/>
  <c r="T1511" i="1"/>
  <c r="N1512" i="1"/>
  <c r="O1512" i="1"/>
  <c r="P1512" i="1"/>
  <c r="T1512" i="1"/>
  <c r="N1513" i="1"/>
  <c r="O1513" i="1"/>
  <c r="P1513" i="1"/>
  <c r="T1513" i="1"/>
  <c r="N1515" i="1"/>
  <c r="O1515" i="1"/>
  <c r="P1515" i="1"/>
  <c r="T1515" i="1"/>
  <c r="N1516" i="1"/>
  <c r="O1516" i="1"/>
  <c r="P1516" i="1"/>
  <c r="T1516" i="1"/>
  <c r="N1519" i="1"/>
  <c r="O1519" i="1"/>
  <c r="P1519" i="1"/>
  <c r="T1519" i="1"/>
  <c r="N1522" i="1"/>
  <c r="O1522" i="1"/>
  <c r="P1522" i="1"/>
  <c r="T1522" i="1"/>
  <c r="N1524" i="1"/>
  <c r="O1524" i="1"/>
  <c r="P1524" i="1"/>
  <c r="T1524" i="1"/>
  <c r="N1526" i="1"/>
  <c r="O1526" i="1"/>
  <c r="P1526" i="1"/>
  <c r="T1526" i="1"/>
  <c r="N1527" i="1"/>
  <c r="O1527" i="1"/>
  <c r="P1527" i="1"/>
  <c r="T1527" i="1"/>
  <c r="N1528" i="1"/>
  <c r="O1528" i="1"/>
  <c r="P1528" i="1"/>
  <c r="T1528" i="1"/>
  <c r="O1530" i="1"/>
  <c r="P1530" i="1"/>
  <c r="T1530" i="1"/>
  <c r="N1531" i="1"/>
  <c r="O1531" i="1"/>
  <c r="P1531" i="1"/>
  <c r="T1531" i="1"/>
  <c r="N1533" i="1"/>
  <c r="O1533" i="1"/>
  <c r="P1533" i="1"/>
  <c r="T1533" i="1"/>
  <c r="N1535" i="1"/>
  <c r="O1535" i="1"/>
  <c r="P1535" i="1"/>
  <c r="T1535" i="1"/>
  <c r="N1537" i="1"/>
  <c r="O1537" i="1"/>
  <c r="P1537" i="1"/>
  <c r="T1537" i="1"/>
  <c r="N1538" i="1"/>
  <c r="O1538" i="1"/>
  <c r="P1538" i="1"/>
  <c r="T1538" i="1"/>
  <c r="N1541" i="1"/>
  <c r="O1541" i="1"/>
  <c r="P1541" i="1"/>
  <c r="T1541" i="1"/>
  <c r="N1543" i="1"/>
  <c r="O1543" i="1"/>
  <c r="P1543" i="1"/>
  <c r="T1543" i="1"/>
  <c r="N1546" i="1"/>
  <c r="O1546" i="1"/>
  <c r="P1546" i="1"/>
  <c r="T1546" i="1"/>
  <c r="N1548" i="1"/>
  <c r="O1548" i="1"/>
  <c r="P1548" i="1"/>
  <c r="T1548" i="1"/>
  <c r="N1553" i="1"/>
  <c r="O1553" i="1"/>
  <c r="P1553" i="1"/>
  <c r="T1553" i="1"/>
  <c r="N1556" i="1"/>
  <c r="O1556" i="1"/>
  <c r="P1556" i="1"/>
  <c r="T1556" i="1"/>
  <c r="N1557" i="1"/>
  <c r="O1557" i="1"/>
  <c r="P1557" i="1"/>
  <c r="T1557" i="1"/>
  <c r="N1558" i="1"/>
  <c r="O1558" i="1"/>
  <c r="P1558" i="1"/>
  <c r="T1558" i="1"/>
  <c r="N1561" i="1"/>
  <c r="O1561" i="1"/>
  <c r="P1561" i="1"/>
  <c r="T1561" i="1"/>
  <c r="N1563" i="1"/>
  <c r="O1563" i="1"/>
  <c r="P1563" i="1"/>
  <c r="T1563" i="1"/>
  <c r="N1564" i="1"/>
  <c r="O1564" i="1"/>
  <c r="P1564" i="1"/>
  <c r="T1564" i="1"/>
  <c r="N1565" i="1"/>
  <c r="O1565" i="1"/>
  <c r="P1565" i="1"/>
  <c r="T1565" i="1"/>
  <c r="N1566" i="1"/>
  <c r="O1566" i="1"/>
  <c r="P1566" i="1"/>
  <c r="T1566" i="1"/>
  <c r="N1568" i="1"/>
  <c r="O1568" i="1"/>
  <c r="P1568" i="1"/>
  <c r="T1568" i="1"/>
  <c r="N1572" i="1"/>
  <c r="O1572" i="1"/>
  <c r="P1572" i="1"/>
  <c r="T1572" i="1"/>
  <c r="N1574" i="1"/>
  <c r="O1574" i="1"/>
  <c r="P1574" i="1"/>
  <c r="T1574" i="1"/>
  <c r="N1577" i="1"/>
  <c r="O1577" i="1"/>
  <c r="P1577" i="1"/>
  <c r="T1577" i="1"/>
  <c r="N1578" i="1"/>
  <c r="O1578" i="1"/>
  <c r="P1578" i="1"/>
  <c r="T1578" i="1"/>
  <c r="N1579" i="1"/>
  <c r="O1579" i="1"/>
  <c r="P1579" i="1"/>
  <c r="T1579" i="1"/>
  <c r="N1580" i="1"/>
  <c r="O1580" i="1"/>
  <c r="P1580" i="1"/>
  <c r="T1580" i="1"/>
  <c r="N1582" i="1"/>
  <c r="O1582" i="1"/>
  <c r="P1582" i="1"/>
  <c r="T1582" i="1"/>
  <c r="N1584" i="1"/>
  <c r="O1584" i="1"/>
  <c r="P1584" i="1"/>
  <c r="T1584" i="1"/>
  <c r="N1587" i="1"/>
  <c r="O1587" i="1"/>
  <c r="P1587" i="1"/>
  <c r="T1587" i="1"/>
  <c r="N1589" i="1"/>
  <c r="O1589" i="1"/>
  <c r="P1589" i="1"/>
  <c r="T1589" i="1"/>
  <c r="N1590" i="1"/>
  <c r="O1590" i="1"/>
  <c r="P1590" i="1"/>
  <c r="T1590" i="1"/>
  <c r="N1591" i="1"/>
  <c r="O1591" i="1"/>
  <c r="P1591" i="1"/>
  <c r="T1591" i="1"/>
  <c r="N1592" i="1"/>
  <c r="O1592" i="1"/>
  <c r="P1592" i="1"/>
  <c r="T1592" i="1"/>
  <c r="N1593" i="1"/>
  <c r="O1593" i="1"/>
  <c r="P1593" i="1"/>
  <c r="T1593" i="1"/>
  <c r="N1595" i="1"/>
  <c r="O1595" i="1"/>
  <c r="P1595" i="1"/>
  <c r="T1595" i="1"/>
  <c r="N1597" i="1"/>
  <c r="O1597" i="1"/>
  <c r="P1597" i="1"/>
  <c r="T1597" i="1"/>
  <c r="N1599" i="1"/>
  <c r="O1599" i="1"/>
  <c r="P1599" i="1"/>
  <c r="T1599" i="1"/>
  <c r="N1600" i="1"/>
  <c r="O1600" i="1"/>
  <c r="P1600" i="1"/>
  <c r="T1600" i="1"/>
  <c r="N1602" i="1"/>
  <c r="O1602" i="1"/>
  <c r="P1602" i="1"/>
  <c r="T1602" i="1"/>
  <c r="N1604" i="1"/>
  <c r="O1604" i="1"/>
  <c r="P1604" i="1"/>
  <c r="T1604" i="1"/>
  <c r="N1605" i="1"/>
  <c r="O1605" i="1"/>
  <c r="P1605" i="1"/>
  <c r="T1605" i="1"/>
  <c r="N1606" i="1"/>
  <c r="O1606" i="1"/>
  <c r="P1606" i="1"/>
  <c r="T1606" i="1"/>
  <c r="N1608" i="1"/>
  <c r="O1608" i="1"/>
  <c r="P1608" i="1"/>
  <c r="T1608" i="1"/>
  <c r="N1610" i="1"/>
  <c r="O1610" i="1"/>
  <c r="P1610" i="1"/>
  <c r="T1610" i="1"/>
  <c r="N1612" i="1"/>
  <c r="O1612" i="1"/>
  <c r="P1612" i="1"/>
  <c r="T1612" i="1"/>
  <c r="N1616" i="1"/>
  <c r="O1616" i="1"/>
  <c r="P1616" i="1"/>
  <c r="T1616" i="1"/>
  <c r="N1617" i="1"/>
  <c r="O1617" i="1"/>
  <c r="P1617" i="1"/>
  <c r="T1617" i="1"/>
  <c r="N1620" i="1"/>
  <c r="O1620" i="1"/>
  <c r="P1620" i="1"/>
  <c r="T1620" i="1"/>
  <c r="N1621" i="1"/>
  <c r="O1621" i="1"/>
  <c r="P1621" i="1"/>
  <c r="T1621" i="1"/>
  <c r="N1622" i="1"/>
  <c r="O1622" i="1"/>
  <c r="P1622" i="1"/>
  <c r="T1622" i="1"/>
  <c r="N1625" i="1"/>
  <c r="O1625" i="1"/>
  <c r="P1625" i="1"/>
  <c r="T1625" i="1"/>
  <c r="N1626" i="1"/>
  <c r="O1626" i="1"/>
  <c r="P1626" i="1"/>
  <c r="T1626" i="1"/>
  <c r="N1627" i="1"/>
  <c r="O1627" i="1"/>
  <c r="P1627" i="1"/>
  <c r="T1627" i="1"/>
  <c r="N1630" i="1"/>
  <c r="O1630" i="1"/>
  <c r="P1630" i="1"/>
  <c r="T1630" i="1"/>
  <c r="N1631" i="1"/>
  <c r="O1631" i="1"/>
  <c r="P1631" i="1"/>
  <c r="T1631" i="1"/>
  <c r="N1632" i="1"/>
  <c r="O1632" i="1"/>
  <c r="P1632" i="1"/>
  <c r="T1632" i="1"/>
  <c r="N1633" i="1"/>
  <c r="O1633" i="1"/>
  <c r="P1633" i="1"/>
  <c r="T1633" i="1"/>
  <c r="N1635" i="1"/>
  <c r="O1635" i="1"/>
  <c r="P1635" i="1"/>
  <c r="T1635" i="1"/>
  <c r="N1636" i="1"/>
  <c r="O1636" i="1"/>
  <c r="P1636" i="1"/>
  <c r="T1636" i="1"/>
  <c r="N1637" i="1"/>
  <c r="O1637" i="1"/>
  <c r="P1637" i="1"/>
  <c r="T1637" i="1"/>
  <c r="N1639" i="1"/>
  <c r="O1639" i="1"/>
  <c r="P1639" i="1"/>
  <c r="T1639" i="1"/>
  <c r="N1642" i="1"/>
  <c r="O1642" i="1"/>
  <c r="P1642" i="1"/>
  <c r="T1642" i="1"/>
  <c r="N1644" i="1"/>
  <c r="O1644" i="1"/>
  <c r="P1644" i="1"/>
  <c r="T1644" i="1"/>
  <c r="N1646" i="1"/>
  <c r="O1646" i="1"/>
  <c r="P1646" i="1"/>
  <c r="T1646" i="1"/>
  <c r="N1648" i="1"/>
  <c r="O1648" i="1"/>
  <c r="P1648" i="1"/>
  <c r="T1648" i="1"/>
  <c r="N1649" i="1"/>
  <c r="O1649" i="1"/>
  <c r="P1649" i="1"/>
  <c r="T1649" i="1"/>
  <c r="N1650" i="1"/>
  <c r="O1650" i="1"/>
  <c r="P1650" i="1"/>
  <c r="T1650" i="1"/>
  <c r="N1651" i="1"/>
  <c r="O1651" i="1"/>
  <c r="P1651" i="1"/>
  <c r="T1651" i="1"/>
  <c r="N1653" i="1"/>
  <c r="O1653" i="1"/>
  <c r="P1653" i="1"/>
  <c r="T1653" i="1"/>
  <c r="N1656" i="1"/>
  <c r="O1656" i="1"/>
  <c r="P1656" i="1"/>
  <c r="T1656" i="1"/>
  <c r="N1657" i="1"/>
  <c r="O1657" i="1"/>
  <c r="P1657" i="1"/>
  <c r="T1657" i="1"/>
  <c r="N1659" i="1"/>
  <c r="O1659" i="1"/>
  <c r="P1659" i="1"/>
  <c r="T1659" i="1"/>
  <c r="N1660" i="1"/>
  <c r="O1660" i="1"/>
  <c r="P1660" i="1"/>
  <c r="T1660" i="1"/>
  <c r="N1661" i="1"/>
  <c r="O1661" i="1"/>
  <c r="P1661" i="1"/>
  <c r="T1661" i="1"/>
  <c r="N1666" i="1"/>
  <c r="O1666" i="1"/>
  <c r="P1666" i="1"/>
  <c r="T1666" i="1"/>
  <c r="N1667" i="1"/>
  <c r="O1667" i="1"/>
  <c r="P1667" i="1"/>
  <c r="T1667" i="1"/>
  <c r="N1668" i="1"/>
  <c r="O1668" i="1"/>
  <c r="P1668" i="1"/>
  <c r="T1668" i="1"/>
  <c r="N1669" i="1"/>
  <c r="O1669" i="1"/>
  <c r="P1669" i="1"/>
  <c r="T1669" i="1"/>
  <c r="N1672" i="1"/>
  <c r="O1672" i="1"/>
  <c r="P1672" i="1"/>
  <c r="T1672" i="1"/>
  <c r="N1673" i="1"/>
  <c r="O1673" i="1"/>
  <c r="P1673" i="1"/>
  <c r="T1673" i="1"/>
  <c r="N1674" i="1"/>
  <c r="O1674" i="1"/>
  <c r="P1674" i="1"/>
  <c r="T1674" i="1"/>
  <c r="N1675" i="1"/>
  <c r="O1675" i="1"/>
  <c r="P1675" i="1"/>
  <c r="T1675" i="1"/>
  <c r="N1678" i="1"/>
  <c r="O1678" i="1"/>
  <c r="P1678" i="1"/>
  <c r="T1678" i="1"/>
  <c r="N1679" i="1"/>
  <c r="O1679" i="1"/>
  <c r="P1679" i="1"/>
  <c r="T1679" i="1"/>
  <c r="N1680" i="1"/>
  <c r="O1680" i="1"/>
  <c r="P1680" i="1"/>
  <c r="N1681" i="1"/>
  <c r="O1681" i="1"/>
  <c r="P1681" i="1"/>
  <c r="T1681" i="1"/>
  <c r="N1682" i="1"/>
  <c r="O1682" i="1"/>
  <c r="P1682" i="1"/>
  <c r="T1682" i="1"/>
  <c r="N1683" i="1"/>
  <c r="O1683" i="1"/>
  <c r="P1683" i="1"/>
  <c r="N1685" i="1"/>
  <c r="O1685" i="1"/>
  <c r="P1685" i="1"/>
  <c r="T1685" i="1"/>
  <c r="N1686" i="1"/>
  <c r="O1686" i="1"/>
  <c r="P1686" i="1"/>
  <c r="T1686" i="1"/>
  <c r="N1689" i="1"/>
  <c r="O1689" i="1"/>
  <c r="P1689" i="1"/>
  <c r="T1689" i="1"/>
  <c r="N1690" i="1"/>
  <c r="O1690" i="1"/>
  <c r="P1690" i="1"/>
  <c r="T1690" i="1"/>
  <c r="N1691" i="1"/>
  <c r="O1691" i="1"/>
  <c r="P1691" i="1"/>
  <c r="T1691" i="1"/>
  <c r="N1692" i="1"/>
  <c r="O1692" i="1"/>
  <c r="P1692" i="1"/>
  <c r="T1692" i="1"/>
  <c r="N1693" i="1"/>
  <c r="O1693" i="1"/>
  <c r="P1693" i="1"/>
  <c r="T1693" i="1"/>
  <c r="N1694" i="1"/>
  <c r="O1694" i="1"/>
  <c r="P1694" i="1"/>
  <c r="T1694" i="1"/>
  <c r="N1695" i="1"/>
  <c r="O1695" i="1"/>
  <c r="P1695" i="1"/>
  <c r="T1695" i="1"/>
  <c r="N1696" i="1"/>
  <c r="O1696" i="1"/>
  <c r="P1696" i="1"/>
  <c r="T1696" i="1"/>
  <c r="N1697" i="1"/>
  <c r="O1697" i="1"/>
  <c r="P1697" i="1"/>
  <c r="T1697" i="1"/>
  <c r="N1699" i="1"/>
  <c r="O1699" i="1"/>
  <c r="P1699" i="1"/>
  <c r="T1699" i="1"/>
  <c r="N1700" i="1"/>
  <c r="O1700" i="1"/>
  <c r="P1700" i="1"/>
  <c r="N1701" i="1"/>
  <c r="O1701" i="1"/>
  <c r="P1701" i="1"/>
  <c r="T1701" i="1"/>
  <c r="N1702" i="1"/>
  <c r="O1702" i="1"/>
  <c r="P1702" i="1"/>
  <c r="T1702" i="1"/>
  <c r="N1703" i="1"/>
  <c r="O1703" i="1"/>
  <c r="P1703" i="1"/>
  <c r="T1703" i="1"/>
  <c r="N1704" i="1"/>
  <c r="O1704" i="1"/>
  <c r="P1704" i="1"/>
  <c r="T1704" i="1"/>
  <c r="N1705" i="1"/>
  <c r="O1705" i="1"/>
  <c r="P1705" i="1"/>
  <c r="T1705" i="1"/>
  <c r="N1707" i="1"/>
  <c r="O1707" i="1"/>
  <c r="P1707" i="1"/>
  <c r="T1707" i="1"/>
  <c r="N1708" i="1"/>
  <c r="O1708" i="1"/>
  <c r="P1708" i="1"/>
  <c r="T1708" i="1"/>
  <c r="N1709" i="1"/>
  <c r="O1709" i="1"/>
  <c r="P1709" i="1"/>
  <c r="T1709" i="1"/>
  <c r="N1713" i="1"/>
  <c r="O1713" i="1"/>
  <c r="P1713" i="1"/>
  <c r="T1713" i="1"/>
  <c r="N1714" i="1"/>
  <c r="O1714" i="1"/>
  <c r="P1714" i="1"/>
  <c r="T1714" i="1"/>
  <c r="N1715" i="1"/>
  <c r="O1715" i="1"/>
  <c r="P1715" i="1"/>
  <c r="T1715" i="1"/>
  <c r="N1716" i="1"/>
  <c r="O1716" i="1"/>
  <c r="P1716" i="1"/>
  <c r="T1716" i="1"/>
  <c r="N1717" i="1"/>
  <c r="O1717" i="1"/>
  <c r="P1717" i="1"/>
  <c r="T1717" i="1"/>
  <c r="N1718" i="1"/>
  <c r="O1718" i="1"/>
  <c r="P1718" i="1"/>
  <c r="T1718" i="1"/>
  <c r="N1719" i="1"/>
  <c r="O1719" i="1"/>
  <c r="P1719" i="1"/>
  <c r="T1719" i="1"/>
  <c r="N1720" i="1"/>
  <c r="O1720" i="1"/>
  <c r="P1720" i="1"/>
  <c r="T1720" i="1"/>
  <c r="N1722" i="1"/>
  <c r="O1722" i="1"/>
  <c r="P1722" i="1"/>
  <c r="T1722" i="1"/>
  <c r="N1723" i="1"/>
  <c r="O1723" i="1"/>
  <c r="P1723" i="1"/>
  <c r="T1723" i="1"/>
  <c r="N1724" i="1"/>
  <c r="O1724" i="1"/>
  <c r="P1724" i="1"/>
  <c r="T1724" i="1"/>
  <c r="N1725" i="1"/>
  <c r="O1725" i="1"/>
  <c r="P1725" i="1"/>
  <c r="T1725" i="1"/>
  <c r="N1726" i="1"/>
  <c r="O1726" i="1"/>
  <c r="P1726" i="1"/>
  <c r="T1726" i="1"/>
  <c r="N1728" i="1"/>
  <c r="O1728" i="1"/>
  <c r="P1728" i="1"/>
  <c r="N1729" i="1"/>
  <c r="O1729" i="1"/>
  <c r="P1729" i="1"/>
  <c r="T1729" i="1"/>
  <c r="N1730" i="1"/>
  <c r="O1730" i="1"/>
  <c r="P1730" i="1"/>
  <c r="T1730" i="1"/>
  <c r="N1731" i="1"/>
  <c r="O1731" i="1"/>
  <c r="P1731" i="1"/>
  <c r="T1731" i="1"/>
  <c r="N1732" i="1"/>
  <c r="O1732" i="1"/>
  <c r="P1732" i="1"/>
  <c r="T1732" i="1"/>
  <c r="N1734" i="1"/>
  <c r="O1734" i="1"/>
  <c r="P1734" i="1"/>
  <c r="T1734" i="1"/>
  <c r="N1735" i="1"/>
  <c r="O1735" i="1"/>
  <c r="P1735" i="1"/>
  <c r="T1735" i="1"/>
  <c r="N1736" i="1"/>
  <c r="O1736" i="1"/>
  <c r="P1736" i="1"/>
  <c r="T1736" i="1"/>
  <c r="N1738" i="1"/>
  <c r="O1738" i="1"/>
  <c r="P1738" i="1"/>
  <c r="T1738" i="1"/>
  <c r="N1739" i="1"/>
  <c r="O1739" i="1"/>
  <c r="P1739" i="1"/>
  <c r="T1739" i="1"/>
  <c r="N1740" i="1"/>
  <c r="O1740" i="1"/>
  <c r="P1740" i="1"/>
  <c r="T1740" i="1"/>
  <c r="N1741" i="1"/>
  <c r="O1741" i="1"/>
  <c r="P1741" i="1"/>
  <c r="T1741" i="1"/>
  <c r="N1742" i="1"/>
  <c r="O1742" i="1"/>
  <c r="P1742" i="1"/>
  <c r="T1742" i="1"/>
  <c r="N1743" i="1"/>
  <c r="O1743" i="1"/>
  <c r="P1743" i="1"/>
  <c r="T1743" i="1"/>
  <c r="N1744" i="1"/>
  <c r="O1744" i="1"/>
  <c r="P1744" i="1"/>
  <c r="T1744" i="1"/>
  <c r="N1745" i="1"/>
  <c r="O1745" i="1"/>
  <c r="P1745" i="1"/>
  <c r="T1745" i="1"/>
  <c r="N1747" i="1"/>
  <c r="O1747" i="1"/>
  <c r="P1747" i="1"/>
  <c r="T1747" i="1"/>
  <c r="N1752" i="1"/>
  <c r="O1752" i="1"/>
  <c r="P1752" i="1"/>
  <c r="T1752" i="1"/>
  <c r="N1753" i="1"/>
  <c r="O1753" i="1"/>
  <c r="P1753" i="1"/>
  <c r="T1753" i="1"/>
  <c r="N1754" i="1"/>
  <c r="O1754" i="1"/>
  <c r="P1754" i="1"/>
  <c r="T1754" i="1"/>
  <c r="N1755" i="1"/>
  <c r="O1755" i="1"/>
  <c r="P1755" i="1"/>
  <c r="T1755" i="1"/>
  <c r="N1756" i="1"/>
  <c r="O1756" i="1"/>
  <c r="P1756" i="1"/>
  <c r="T1756" i="1"/>
  <c r="N1757" i="1"/>
  <c r="O1757" i="1"/>
  <c r="P1757" i="1"/>
  <c r="T1757" i="1"/>
  <c r="N1758" i="1"/>
  <c r="O1758" i="1"/>
  <c r="P1758" i="1"/>
  <c r="T1758" i="1"/>
  <c r="N1759" i="1"/>
  <c r="O1759" i="1"/>
  <c r="P1759" i="1"/>
  <c r="T1759" i="1"/>
  <c r="N1760" i="1"/>
  <c r="O1760" i="1"/>
  <c r="P1760" i="1"/>
  <c r="T1760" i="1"/>
  <c r="N1761" i="1"/>
  <c r="O1761" i="1"/>
  <c r="P1761" i="1"/>
  <c r="T1761" i="1"/>
  <c r="N1764" i="1"/>
  <c r="O1764" i="1"/>
  <c r="P1764" i="1"/>
  <c r="T1764" i="1"/>
  <c r="N1765" i="1"/>
  <c r="O1765" i="1"/>
  <c r="P1765" i="1"/>
  <c r="T1765" i="1"/>
  <c r="N1766" i="1"/>
  <c r="O1766" i="1"/>
  <c r="P1766" i="1"/>
  <c r="T1766" i="1"/>
  <c r="N1767" i="1"/>
  <c r="O1767" i="1"/>
  <c r="P1767" i="1"/>
  <c r="T1767" i="1"/>
  <c r="N1768" i="1"/>
  <c r="O1768" i="1"/>
  <c r="P1768" i="1"/>
  <c r="T1768" i="1"/>
  <c r="N1769" i="1"/>
  <c r="O1769" i="1"/>
  <c r="P1769" i="1"/>
  <c r="T1769" i="1"/>
  <c r="N1770" i="1"/>
  <c r="O1770" i="1"/>
  <c r="P1770" i="1"/>
  <c r="T1770" i="1"/>
  <c r="N1771" i="1"/>
  <c r="O1771" i="1"/>
  <c r="P1771" i="1"/>
  <c r="T1771" i="1"/>
  <c r="N1772" i="1"/>
  <c r="O1772" i="1"/>
  <c r="P1772" i="1"/>
  <c r="T1772" i="1"/>
  <c r="N1773" i="1"/>
  <c r="O1773" i="1"/>
  <c r="P1773" i="1"/>
  <c r="T1773" i="1"/>
  <c r="N1775" i="1"/>
  <c r="O1775" i="1"/>
  <c r="P1775" i="1"/>
  <c r="T1775" i="1"/>
  <c r="N1776" i="1"/>
  <c r="O1776" i="1"/>
  <c r="P1776" i="1"/>
  <c r="T1776" i="1"/>
  <c r="N1777" i="1"/>
  <c r="O1777" i="1"/>
  <c r="P1777" i="1"/>
  <c r="T1777" i="1"/>
  <c r="N1778" i="1"/>
  <c r="O1778" i="1"/>
  <c r="P1778" i="1"/>
  <c r="T1778" i="1"/>
  <c r="N1779" i="1"/>
  <c r="O1779" i="1"/>
  <c r="P1779" i="1"/>
  <c r="T1779" i="1"/>
  <c r="N1780" i="1"/>
  <c r="O1780" i="1"/>
  <c r="P1780" i="1"/>
  <c r="T1780" i="1"/>
  <c r="N1781" i="1"/>
  <c r="O1781" i="1"/>
  <c r="P1781" i="1"/>
  <c r="T1781" i="1"/>
  <c r="N1782" i="1"/>
  <c r="O1782" i="1"/>
  <c r="P1782" i="1"/>
  <c r="T1782" i="1"/>
  <c r="N1783" i="1"/>
  <c r="O1783" i="1"/>
  <c r="P1783" i="1"/>
  <c r="T1783" i="1"/>
  <c r="N1784" i="1"/>
  <c r="O1784" i="1"/>
  <c r="P1784" i="1"/>
  <c r="T1784" i="1"/>
  <c r="N1786" i="1"/>
  <c r="O1786" i="1"/>
  <c r="P1786" i="1"/>
  <c r="T1786" i="1"/>
  <c r="N1787" i="1"/>
  <c r="O1787" i="1"/>
  <c r="P1787" i="1"/>
  <c r="T1787" i="1"/>
  <c r="N1788" i="1"/>
  <c r="O1788" i="1"/>
  <c r="P1788" i="1"/>
  <c r="T1788" i="1"/>
  <c r="N1789" i="1"/>
  <c r="O1789" i="1"/>
  <c r="P1789" i="1"/>
  <c r="T1789" i="1"/>
  <c r="N1792" i="1"/>
  <c r="O1792" i="1"/>
  <c r="P1792" i="1"/>
  <c r="T1792" i="1"/>
  <c r="N1793" i="1"/>
  <c r="O1793" i="1"/>
  <c r="P1793" i="1"/>
  <c r="T1793" i="1"/>
  <c r="N1794" i="1"/>
  <c r="O1794" i="1"/>
  <c r="P1794" i="1"/>
  <c r="T1794" i="1"/>
  <c r="N1795" i="1"/>
  <c r="O1795" i="1"/>
  <c r="P1795" i="1"/>
  <c r="T1795" i="1"/>
  <c r="N1796" i="1"/>
  <c r="O1796" i="1"/>
  <c r="P1796" i="1"/>
  <c r="T1796" i="1"/>
  <c r="N1797" i="1"/>
  <c r="O1797" i="1"/>
  <c r="P1797" i="1"/>
  <c r="T1797" i="1"/>
  <c r="N1798" i="1"/>
  <c r="O1798" i="1"/>
  <c r="P1798" i="1"/>
  <c r="T1798" i="1"/>
  <c r="N1799" i="1"/>
  <c r="O1799" i="1"/>
  <c r="P1799" i="1"/>
  <c r="T1799" i="1"/>
  <c r="N1800" i="1"/>
  <c r="O1800" i="1"/>
  <c r="P1800" i="1"/>
  <c r="T1800" i="1"/>
  <c r="N1801" i="1"/>
  <c r="O1801" i="1"/>
  <c r="P1801" i="1"/>
  <c r="T1801" i="1"/>
  <c r="N1802" i="1"/>
  <c r="O1802" i="1"/>
  <c r="P1802" i="1"/>
  <c r="T1802" i="1"/>
  <c r="N1803" i="1"/>
  <c r="O1803" i="1"/>
  <c r="P1803" i="1"/>
  <c r="T1803" i="1"/>
  <c r="N1804" i="1"/>
  <c r="O1804" i="1"/>
  <c r="P1804" i="1"/>
  <c r="T1804" i="1"/>
  <c r="N1805" i="1"/>
  <c r="O1805" i="1"/>
  <c r="P1805" i="1"/>
  <c r="T1805" i="1"/>
  <c r="N1806" i="1"/>
  <c r="O1806" i="1"/>
  <c r="P1806" i="1"/>
  <c r="T1806" i="1"/>
  <c r="N1807" i="1"/>
  <c r="O1807" i="1"/>
  <c r="P1807" i="1"/>
  <c r="T1807" i="1"/>
  <c r="N1808" i="1"/>
  <c r="O1808" i="1"/>
  <c r="P1808" i="1"/>
  <c r="T1808" i="1"/>
  <c r="N1809" i="1"/>
  <c r="O1809" i="1"/>
  <c r="P1809" i="1"/>
  <c r="T1809" i="1"/>
  <c r="N1810" i="1"/>
  <c r="O1810" i="1"/>
  <c r="P1810" i="1"/>
  <c r="T1810" i="1"/>
  <c r="N1811" i="1"/>
  <c r="O1811" i="1"/>
  <c r="P1811" i="1"/>
  <c r="T1811" i="1"/>
  <c r="N1812" i="1"/>
  <c r="O1812" i="1"/>
  <c r="P1812" i="1"/>
  <c r="T1812" i="1"/>
  <c r="N1814" i="1"/>
  <c r="O1814" i="1"/>
  <c r="P1814" i="1"/>
  <c r="T1814" i="1"/>
  <c r="N1815" i="1"/>
  <c r="O1815" i="1"/>
  <c r="P1815" i="1"/>
  <c r="T1815" i="1"/>
  <c r="N1816" i="1"/>
  <c r="O1816" i="1"/>
  <c r="P1816" i="1"/>
  <c r="T1816" i="1"/>
  <c r="N1817" i="1"/>
  <c r="O1817" i="1"/>
  <c r="P1817" i="1"/>
  <c r="T1817" i="1"/>
  <c r="N1818" i="1"/>
  <c r="O1818" i="1"/>
  <c r="P1818" i="1"/>
  <c r="T1818" i="1"/>
  <c r="N1820" i="1"/>
  <c r="O1820" i="1"/>
  <c r="P1820" i="1"/>
  <c r="T1820" i="1"/>
  <c r="N1821" i="1"/>
  <c r="O1821" i="1"/>
  <c r="P1821" i="1"/>
  <c r="T1821" i="1"/>
  <c r="N1822" i="1"/>
  <c r="O1822" i="1"/>
  <c r="P1822" i="1"/>
  <c r="T1822" i="1"/>
  <c r="N1823" i="1"/>
  <c r="O1823" i="1"/>
  <c r="P1823" i="1"/>
  <c r="T1823" i="1"/>
  <c r="N1824" i="1"/>
  <c r="O1824" i="1"/>
  <c r="P1824" i="1"/>
  <c r="T1824" i="1"/>
  <c r="N1825" i="1"/>
  <c r="O1825" i="1"/>
  <c r="P1825" i="1"/>
  <c r="T1825" i="1"/>
  <c r="N1827" i="1"/>
  <c r="O1827" i="1"/>
  <c r="P1827" i="1"/>
  <c r="T1827" i="1"/>
  <c r="N1828" i="1"/>
  <c r="O1828" i="1"/>
  <c r="P1828" i="1"/>
  <c r="T1828" i="1"/>
  <c r="N1829" i="1"/>
  <c r="O1829" i="1"/>
  <c r="P1829" i="1"/>
  <c r="T1829" i="1"/>
  <c r="N1830" i="1"/>
  <c r="O1830" i="1"/>
  <c r="P1830" i="1"/>
  <c r="T1830" i="1"/>
  <c r="N1831" i="1"/>
  <c r="O1831" i="1"/>
  <c r="P1831" i="1"/>
  <c r="T1831" i="1"/>
  <c r="N1832" i="1"/>
  <c r="O1832" i="1"/>
  <c r="P1832" i="1"/>
  <c r="T1832" i="1"/>
  <c r="N1833" i="1"/>
  <c r="O1833" i="1"/>
  <c r="P1833" i="1"/>
  <c r="T1833" i="1"/>
  <c r="N1835" i="1"/>
  <c r="O1835" i="1"/>
  <c r="P1835" i="1"/>
  <c r="T1835" i="1"/>
  <c r="N1836" i="1"/>
  <c r="O1836" i="1"/>
  <c r="P1836" i="1"/>
  <c r="T1836" i="1"/>
  <c r="N1837" i="1"/>
  <c r="O1837" i="1"/>
  <c r="P1837" i="1"/>
  <c r="T1837" i="1"/>
  <c r="N1838" i="1"/>
  <c r="O1838" i="1"/>
  <c r="P1838" i="1"/>
  <c r="T1838" i="1"/>
  <c r="N1839" i="1"/>
  <c r="O1839" i="1"/>
  <c r="P1839" i="1"/>
  <c r="T1839" i="1"/>
  <c r="N1840" i="1"/>
  <c r="O1840" i="1"/>
  <c r="P1840" i="1"/>
  <c r="T1840" i="1"/>
  <c r="N1841" i="1"/>
  <c r="O1841" i="1"/>
  <c r="P1841" i="1"/>
  <c r="T1841" i="1"/>
  <c r="N1842" i="1"/>
  <c r="O1842" i="1"/>
  <c r="P1842" i="1"/>
  <c r="T1842" i="1"/>
  <c r="N1843" i="1"/>
  <c r="O1843" i="1"/>
  <c r="P1843" i="1"/>
  <c r="T1843" i="1"/>
  <c r="N1844" i="1"/>
  <c r="O1844" i="1"/>
  <c r="P1844" i="1"/>
  <c r="T1844" i="1"/>
  <c r="N1845" i="1"/>
  <c r="O1845" i="1"/>
  <c r="P1845" i="1"/>
  <c r="T1845" i="1"/>
  <c r="N1846" i="1"/>
  <c r="O1846" i="1"/>
  <c r="P1846" i="1"/>
  <c r="T1846" i="1"/>
  <c r="N1848" i="1"/>
  <c r="O1848" i="1"/>
  <c r="P1848" i="1"/>
  <c r="T1848" i="1"/>
  <c r="N1849" i="1"/>
  <c r="O1849" i="1"/>
  <c r="P1849" i="1"/>
  <c r="T1849" i="1"/>
  <c r="N1850" i="1"/>
  <c r="O1850" i="1"/>
  <c r="P1850" i="1"/>
  <c r="T1850" i="1"/>
  <c r="N1851" i="1"/>
  <c r="O1851" i="1"/>
  <c r="P1851" i="1"/>
  <c r="T1851" i="1"/>
  <c r="N1852" i="1"/>
  <c r="O1852" i="1"/>
  <c r="P1852" i="1"/>
  <c r="T1852" i="1"/>
  <c r="N1853" i="1"/>
  <c r="O1853" i="1"/>
  <c r="P1853" i="1"/>
  <c r="T1853" i="1"/>
  <c r="N1854" i="1"/>
  <c r="O1854" i="1"/>
  <c r="P1854" i="1"/>
  <c r="T1854" i="1"/>
  <c r="N1855" i="1"/>
  <c r="O1855" i="1"/>
  <c r="P1855" i="1"/>
  <c r="T1855" i="1"/>
  <c r="N1856" i="1"/>
  <c r="O1856" i="1"/>
  <c r="P1856" i="1"/>
  <c r="T1856" i="1"/>
  <c r="N1857" i="1"/>
  <c r="O1857" i="1"/>
  <c r="P1857" i="1"/>
  <c r="T1857" i="1"/>
  <c r="N1858" i="1"/>
  <c r="O1858" i="1"/>
  <c r="P1858" i="1"/>
  <c r="N1860" i="1"/>
  <c r="O1860" i="1"/>
  <c r="P1860" i="1"/>
  <c r="T1860" i="1"/>
  <c r="N1861" i="1"/>
  <c r="O1861" i="1"/>
  <c r="P1861" i="1"/>
  <c r="T1861" i="1"/>
  <c r="N1862" i="1"/>
  <c r="O1862" i="1"/>
  <c r="P1862" i="1"/>
  <c r="T1862" i="1"/>
  <c r="N1863" i="1"/>
  <c r="O1863" i="1"/>
  <c r="P1863" i="1"/>
  <c r="T1863" i="1"/>
  <c r="N1864" i="1"/>
  <c r="O1864" i="1"/>
  <c r="P1864" i="1"/>
  <c r="T1864" i="1"/>
  <c r="N1865" i="1"/>
  <c r="O1865" i="1"/>
  <c r="P1865" i="1"/>
  <c r="T1865" i="1"/>
  <c r="N1866" i="1"/>
  <c r="O1866" i="1"/>
  <c r="P1866" i="1"/>
  <c r="T1866" i="1"/>
  <c r="N1867" i="1"/>
  <c r="O1867" i="1"/>
  <c r="P1867" i="1"/>
  <c r="T1867" i="1"/>
  <c r="N1868" i="1"/>
  <c r="O1868" i="1"/>
  <c r="P1868" i="1"/>
  <c r="T1868" i="1"/>
  <c r="N1869" i="1"/>
  <c r="O1869" i="1"/>
  <c r="P1869" i="1"/>
  <c r="T1869" i="1"/>
  <c r="N1870" i="1"/>
  <c r="O1870" i="1"/>
  <c r="P1870" i="1"/>
  <c r="T1870" i="1"/>
  <c r="N1871" i="1"/>
  <c r="O1871" i="1"/>
  <c r="P1871" i="1"/>
  <c r="T1871" i="1"/>
  <c r="N1874" i="1"/>
  <c r="O1874" i="1"/>
  <c r="P1874" i="1"/>
  <c r="T1874" i="1"/>
  <c r="N1875" i="1"/>
  <c r="O1875" i="1"/>
  <c r="P1875" i="1"/>
  <c r="T1875" i="1"/>
  <c r="N1876" i="1"/>
  <c r="O1876" i="1"/>
  <c r="P1876" i="1"/>
  <c r="T1876" i="1"/>
  <c r="N1877" i="1"/>
  <c r="O1877" i="1"/>
  <c r="P1877" i="1"/>
  <c r="T1877" i="1"/>
  <c r="N1878" i="1"/>
  <c r="O1878" i="1"/>
  <c r="P1878" i="1"/>
  <c r="T1878" i="1"/>
  <c r="N1879" i="1"/>
  <c r="O1879" i="1"/>
  <c r="P1879" i="1"/>
  <c r="T1879" i="1"/>
  <c r="N1880" i="1"/>
  <c r="O1880" i="1"/>
  <c r="P1880" i="1"/>
  <c r="T1880" i="1"/>
  <c r="N1881" i="1"/>
  <c r="O1881" i="1"/>
  <c r="P1881" i="1"/>
  <c r="T1881" i="1"/>
  <c r="N1882" i="1"/>
  <c r="O1882" i="1"/>
  <c r="P1882" i="1"/>
  <c r="T1882" i="1"/>
  <c r="N1885" i="1"/>
  <c r="O1885" i="1"/>
  <c r="P1885" i="1"/>
  <c r="T1885" i="1"/>
  <c r="N1886" i="1"/>
  <c r="O1886" i="1"/>
  <c r="P1886" i="1"/>
  <c r="T1886" i="1"/>
  <c r="N1887" i="1"/>
  <c r="O1887" i="1"/>
  <c r="P1887" i="1"/>
  <c r="T1887" i="1"/>
  <c r="N1888" i="1"/>
  <c r="O1888" i="1"/>
  <c r="P1888" i="1"/>
  <c r="T1888" i="1"/>
  <c r="N1889" i="1"/>
  <c r="O1889" i="1"/>
  <c r="P1889" i="1"/>
  <c r="T1889" i="1"/>
  <c r="N1890" i="1"/>
  <c r="O1890" i="1"/>
  <c r="P1890" i="1"/>
  <c r="T1890" i="1"/>
  <c r="N1891" i="1"/>
  <c r="O1891" i="1"/>
  <c r="P1891" i="1"/>
  <c r="T1891" i="1"/>
  <c r="N1892" i="1"/>
  <c r="O1892" i="1"/>
  <c r="P1892" i="1"/>
  <c r="T1892" i="1"/>
  <c r="N1893" i="1"/>
  <c r="O1893" i="1"/>
  <c r="P1893" i="1"/>
  <c r="T1893" i="1"/>
  <c r="N1894" i="1"/>
  <c r="O1894" i="1"/>
  <c r="P1894" i="1"/>
  <c r="T1894" i="1"/>
  <c r="N1895" i="1"/>
  <c r="O1895" i="1"/>
  <c r="P1895" i="1"/>
  <c r="T1895" i="1"/>
  <c r="N1896" i="1"/>
  <c r="O1896" i="1"/>
  <c r="P1896" i="1"/>
  <c r="T1896" i="1"/>
  <c r="N1897" i="1"/>
  <c r="O1897" i="1"/>
  <c r="P1897" i="1"/>
  <c r="T1897" i="1"/>
  <c r="N1898" i="1"/>
  <c r="O1898" i="1"/>
  <c r="P1898" i="1"/>
  <c r="T1898" i="1"/>
  <c r="N1900" i="1"/>
  <c r="O1900" i="1"/>
  <c r="P1900" i="1"/>
  <c r="T1900" i="1"/>
  <c r="N1901" i="1"/>
  <c r="O1901" i="1"/>
  <c r="P1901" i="1"/>
  <c r="T1901" i="1"/>
  <c r="N1902" i="1"/>
  <c r="O1902" i="1"/>
  <c r="P1902" i="1"/>
  <c r="N1903" i="1"/>
  <c r="O1903" i="1"/>
  <c r="P1903" i="1"/>
  <c r="T1903" i="1"/>
  <c r="N1904" i="1"/>
  <c r="O1904" i="1"/>
  <c r="P1904" i="1"/>
  <c r="T1904" i="1"/>
  <c r="N1905" i="1"/>
  <c r="O1905" i="1"/>
  <c r="P1905" i="1"/>
  <c r="T1905" i="1"/>
  <c r="N1906" i="1"/>
  <c r="O1906" i="1"/>
  <c r="P1906" i="1"/>
  <c r="T1906" i="1"/>
  <c r="N1907" i="1"/>
  <c r="O1907" i="1"/>
  <c r="P1907" i="1"/>
  <c r="T1907" i="1"/>
  <c r="N1908" i="1"/>
  <c r="O1908" i="1"/>
  <c r="P1908" i="1"/>
  <c r="T1908" i="1"/>
  <c r="N1909" i="1"/>
  <c r="O1909" i="1"/>
  <c r="P1909" i="1"/>
  <c r="T1909" i="1"/>
  <c r="N1910" i="1"/>
  <c r="O1910" i="1"/>
  <c r="P1910" i="1"/>
  <c r="T1910" i="1"/>
  <c r="N1911" i="1"/>
  <c r="O1911" i="1"/>
  <c r="P1911" i="1"/>
  <c r="T1911" i="1"/>
  <c r="N1913" i="1"/>
  <c r="O1913" i="1"/>
  <c r="P1913" i="1"/>
  <c r="T1913" i="1"/>
  <c r="N1914" i="1"/>
  <c r="O1914" i="1"/>
  <c r="P1914" i="1"/>
  <c r="T1914" i="1"/>
  <c r="N1915" i="1"/>
  <c r="O1915" i="1"/>
  <c r="P1915" i="1"/>
  <c r="T1915" i="1"/>
  <c r="N1916" i="1"/>
  <c r="O1916" i="1"/>
  <c r="P1916" i="1"/>
  <c r="T1916" i="1"/>
  <c r="N1917" i="1"/>
  <c r="O1917" i="1"/>
  <c r="P1917" i="1"/>
  <c r="T1917" i="1"/>
  <c r="N1918" i="1"/>
  <c r="O1918" i="1"/>
  <c r="P1918" i="1"/>
  <c r="T1918" i="1"/>
  <c r="N1919" i="1"/>
  <c r="O1919" i="1"/>
  <c r="P1919" i="1"/>
  <c r="T1919" i="1"/>
  <c r="N1920" i="1"/>
  <c r="O1920" i="1"/>
  <c r="P1920" i="1"/>
  <c r="T1920" i="1"/>
  <c r="N1922" i="1"/>
  <c r="O1922" i="1"/>
  <c r="P1922" i="1"/>
  <c r="T1922" i="1"/>
  <c r="N1923" i="1"/>
  <c r="O1923" i="1"/>
  <c r="P1923" i="1"/>
  <c r="T1923" i="1"/>
  <c r="N1925" i="1"/>
  <c r="O1925" i="1"/>
  <c r="P1925" i="1"/>
  <c r="T1925" i="1"/>
  <c r="N1926" i="1"/>
  <c r="O1926" i="1"/>
  <c r="P1926" i="1"/>
  <c r="T1926" i="1"/>
  <c r="N1929" i="1"/>
  <c r="O1929" i="1"/>
  <c r="P1929" i="1"/>
  <c r="T1929" i="1"/>
  <c r="N1931" i="1"/>
  <c r="O1931" i="1"/>
  <c r="P1931" i="1"/>
  <c r="T1931" i="1"/>
  <c r="N1932" i="1"/>
  <c r="O1932" i="1"/>
  <c r="P1932" i="1"/>
  <c r="T1932" i="1"/>
  <c r="N1933" i="1"/>
  <c r="O1933" i="1"/>
  <c r="P1933" i="1"/>
  <c r="T1933" i="1"/>
  <c r="N1934" i="1"/>
  <c r="O1934" i="1"/>
  <c r="P1934" i="1"/>
  <c r="T1934" i="1"/>
  <c r="N1935" i="1"/>
  <c r="O1935" i="1"/>
  <c r="P1935" i="1"/>
  <c r="T1935" i="1"/>
  <c r="N1936" i="1"/>
  <c r="O1936" i="1"/>
  <c r="P1936" i="1"/>
  <c r="T1936" i="1"/>
  <c r="N1938" i="1"/>
  <c r="O1938" i="1"/>
  <c r="P1938" i="1"/>
  <c r="T1938" i="1"/>
  <c r="N1939" i="1"/>
  <c r="O1939" i="1"/>
  <c r="P1939" i="1"/>
  <c r="T1939" i="1"/>
  <c r="N1940" i="1"/>
  <c r="O1940" i="1"/>
  <c r="P1940" i="1"/>
  <c r="T1940" i="1"/>
  <c r="N1941" i="1"/>
  <c r="O1941" i="1"/>
  <c r="P1941" i="1"/>
  <c r="T1941" i="1"/>
  <c r="N1942" i="1"/>
  <c r="O1942" i="1"/>
  <c r="P1942" i="1"/>
  <c r="T1942" i="1"/>
  <c r="N1943" i="1"/>
  <c r="O1943" i="1"/>
  <c r="P1943" i="1"/>
  <c r="T1943" i="1"/>
  <c r="N1944" i="1"/>
  <c r="O1944" i="1"/>
  <c r="P1944" i="1"/>
  <c r="T1944" i="1"/>
  <c r="N1945" i="1"/>
  <c r="O1945" i="1"/>
  <c r="P1945" i="1"/>
  <c r="T1945" i="1"/>
  <c r="N1946" i="1"/>
  <c r="O1946" i="1"/>
  <c r="P1946" i="1"/>
  <c r="T1946" i="1"/>
  <c r="N1947" i="1"/>
  <c r="O1947" i="1"/>
  <c r="P1947" i="1"/>
  <c r="T1947" i="1"/>
  <c r="N1948" i="1"/>
  <c r="O1948" i="1"/>
  <c r="P1948" i="1"/>
  <c r="T1948" i="1"/>
  <c r="N1953" i="1"/>
  <c r="O1953" i="1"/>
  <c r="P1953" i="1"/>
  <c r="T1953" i="1"/>
  <c r="N1954" i="1"/>
  <c r="O1954" i="1"/>
  <c r="P1954" i="1"/>
  <c r="T1954" i="1"/>
  <c r="N1955" i="1"/>
  <c r="O1955" i="1"/>
  <c r="P1955" i="1"/>
  <c r="T1955" i="1"/>
  <c r="N1956" i="1"/>
  <c r="O1956" i="1"/>
  <c r="P1956" i="1"/>
  <c r="T1956" i="1"/>
  <c r="N1957" i="1"/>
  <c r="O1957" i="1"/>
  <c r="P1957" i="1"/>
  <c r="T1957" i="1"/>
  <c r="N1958" i="1"/>
  <c r="O1958" i="1"/>
  <c r="P1958" i="1"/>
  <c r="T1958" i="1"/>
  <c r="N1959" i="1"/>
  <c r="O1959" i="1"/>
  <c r="P1959" i="1"/>
  <c r="T1959" i="1"/>
  <c r="N1962" i="1"/>
  <c r="O1962" i="1"/>
  <c r="P1962" i="1"/>
  <c r="T1962" i="1"/>
  <c r="N1963" i="1"/>
  <c r="O1963" i="1"/>
  <c r="P1963" i="1"/>
  <c r="T1963" i="1"/>
  <c r="N1964" i="1"/>
  <c r="O1964" i="1"/>
  <c r="P1964" i="1"/>
  <c r="T1964" i="1"/>
  <c r="N1965" i="1"/>
  <c r="O1965" i="1"/>
  <c r="P1965" i="1"/>
  <c r="T1965" i="1"/>
  <c r="N1966" i="1"/>
  <c r="O1966" i="1"/>
  <c r="P1966" i="1"/>
  <c r="T1966" i="1"/>
  <c r="N1967" i="1"/>
  <c r="O1967" i="1"/>
  <c r="P1967" i="1"/>
  <c r="T1967" i="1"/>
  <c r="N1968" i="1"/>
  <c r="O1968" i="1"/>
  <c r="P1968" i="1"/>
  <c r="T1968" i="1"/>
  <c r="N1969" i="1"/>
  <c r="O1969" i="1"/>
  <c r="P1969" i="1"/>
  <c r="T1969" i="1"/>
  <c r="N1970" i="1"/>
  <c r="O1970" i="1"/>
  <c r="P1970" i="1"/>
  <c r="T1970" i="1"/>
  <c r="N1971" i="1"/>
  <c r="O1971" i="1"/>
  <c r="P1971" i="1"/>
  <c r="T1971" i="1"/>
  <c r="N1972" i="1"/>
  <c r="O1972" i="1"/>
  <c r="P1972" i="1"/>
  <c r="T1972" i="1"/>
  <c r="N1973" i="1"/>
  <c r="O1973" i="1"/>
  <c r="P1973" i="1"/>
  <c r="T1973" i="1"/>
  <c r="N1974" i="1"/>
  <c r="O1974" i="1"/>
  <c r="P1974" i="1"/>
  <c r="T1974" i="1"/>
  <c r="N1977" i="1"/>
  <c r="O1977" i="1"/>
  <c r="P1977" i="1"/>
  <c r="T1977" i="1"/>
  <c r="N1978" i="1"/>
  <c r="O1978" i="1"/>
  <c r="P1978" i="1"/>
  <c r="T1978" i="1"/>
  <c r="N1979" i="1"/>
  <c r="O1979" i="1"/>
  <c r="P1979" i="1"/>
  <c r="T1979" i="1"/>
  <c r="N1980" i="1"/>
  <c r="O1980" i="1"/>
  <c r="P1980" i="1"/>
  <c r="N1981" i="1"/>
  <c r="O1981" i="1"/>
  <c r="P1981" i="1"/>
  <c r="N1982" i="1"/>
  <c r="O1982" i="1"/>
  <c r="P1982" i="1"/>
  <c r="T1982" i="1"/>
  <c r="N1983" i="1"/>
  <c r="O1983" i="1"/>
  <c r="P1983" i="1"/>
  <c r="T1983" i="1"/>
  <c r="N1986" i="1"/>
  <c r="O1986" i="1"/>
  <c r="P1986" i="1"/>
  <c r="T1986" i="1"/>
  <c r="N1987" i="1"/>
  <c r="O1987" i="1"/>
  <c r="P1987" i="1"/>
  <c r="T1987" i="1"/>
  <c r="N1988" i="1"/>
  <c r="O1988" i="1"/>
  <c r="P1988" i="1"/>
  <c r="T1988" i="1"/>
  <c r="N1989" i="1"/>
  <c r="O1989" i="1"/>
  <c r="P1989" i="1"/>
  <c r="T1989" i="1"/>
  <c r="N1991" i="1"/>
  <c r="O1991" i="1"/>
  <c r="P1991" i="1"/>
  <c r="T1991" i="1"/>
  <c r="N1992" i="1"/>
  <c r="O1992" i="1"/>
  <c r="P1992" i="1"/>
  <c r="T1992" i="1"/>
  <c r="N1993" i="1"/>
  <c r="O1993" i="1"/>
  <c r="P1993" i="1"/>
  <c r="T1993" i="1"/>
  <c r="N1994" i="1"/>
  <c r="O1994" i="1"/>
  <c r="P1994" i="1"/>
  <c r="T1994" i="1"/>
  <c r="N1996" i="1"/>
  <c r="O1996" i="1"/>
  <c r="P1996" i="1"/>
  <c r="T1996" i="1"/>
  <c r="N1998" i="1"/>
  <c r="O1998" i="1"/>
  <c r="P1998" i="1"/>
  <c r="T1998" i="1"/>
  <c r="N1999" i="1"/>
  <c r="O1999" i="1"/>
  <c r="P1999" i="1"/>
  <c r="T1999" i="1"/>
  <c r="N2003" i="1"/>
  <c r="O2003" i="1"/>
  <c r="P2003" i="1"/>
  <c r="T2003" i="1"/>
  <c r="N2004" i="1"/>
  <c r="O2004" i="1"/>
  <c r="P2004" i="1"/>
  <c r="T2004" i="1"/>
  <c r="N2005" i="1"/>
  <c r="O2005" i="1"/>
  <c r="P2005" i="1"/>
  <c r="T2005" i="1"/>
  <c r="N2006" i="1"/>
  <c r="O2006" i="1"/>
  <c r="P2006" i="1"/>
  <c r="T2006" i="1"/>
  <c r="N2007" i="1"/>
  <c r="O2007" i="1"/>
  <c r="P2007" i="1"/>
  <c r="T2007" i="1"/>
  <c r="N2009" i="1"/>
  <c r="O2009" i="1"/>
  <c r="P2009" i="1"/>
  <c r="T2009" i="1"/>
  <c r="N2010" i="1"/>
  <c r="O2010" i="1"/>
  <c r="P2010" i="1"/>
  <c r="T2010" i="1"/>
  <c r="N2013" i="1"/>
  <c r="O2013" i="1"/>
  <c r="P2013" i="1"/>
  <c r="T2013" i="1"/>
  <c r="N2014" i="1"/>
  <c r="O2014" i="1"/>
  <c r="P2014" i="1"/>
  <c r="T2014" i="1"/>
  <c r="N2015" i="1"/>
  <c r="O2015" i="1"/>
  <c r="P2015" i="1"/>
  <c r="T2015" i="1"/>
  <c r="N2016" i="1"/>
  <c r="O2016" i="1"/>
  <c r="P2016" i="1"/>
  <c r="T2016" i="1"/>
  <c r="N2019" i="1"/>
  <c r="O2019" i="1"/>
  <c r="P2019" i="1"/>
  <c r="T2019" i="1"/>
  <c r="N2020" i="1"/>
  <c r="O2020" i="1"/>
  <c r="P2020" i="1"/>
  <c r="T2020" i="1"/>
  <c r="N2021" i="1"/>
  <c r="O2021" i="1"/>
  <c r="P2021" i="1"/>
  <c r="T2021" i="1"/>
  <c r="N2022" i="1"/>
  <c r="O2022" i="1"/>
  <c r="P2022" i="1"/>
  <c r="T2022" i="1"/>
  <c r="N2023" i="1"/>
  <c r="O2023" i="1"/>
  <c r="P2023" i="1"/>
  <c r="T2023" i="1"/>
  <c r="N2025" i="1"/>
  <c r="O2025" i="1"/>
  <c r="P2025" i="1"/>
  <c r="T2025" i="1"/>
  <c r="N2026" i="1"/>
  <c r="O2026" i="1"/>
  <c r="P2026" i="1"/>
  <c r="T2026" i="1"/>
  <c r="N2027" i="1"/>
  <c r="O2027" i="1"/>
  <c r="P2027" i="1"/>
  <c r="T2027" i="1"/>
  <c r="N2028" i="1"/>
  <c r="O2028" i="1"/>
  <c r="P2028" i="1"/>
  <c r="T2028" i="1"/>
  <c r="N2029" i="1"/>
  <c r="O2029" i="1"/>
  <c r="P2029" i="1"/>
  <c r="T2029" i="1"/>
  <c r="N2031" i="1"/>
  <c r="O2031" i="1"/>
  <c r="P2031" i="1"/>
  <c r="T2031" i="1"/>
  <c r="N2032" i="1"/>
  <c r="O2032" i="1"/>
  <c r="P2032" i="1"/>
  <c r="T2032" i="1"/>
  <c r="N2033" i="1"/>
  <c r="O2033" i="1"/>
  <c r="P2033" i="1"/>
  <c r="T2033" i="1"/>
  <c r="N2034" i="1"/>
  <c r="O2034" i="1"/>
  <c r="P2034" i="1"/>
  <c r="T2034" i="1"/>
  <c r="N2035" i="1"/>
  <c r="O2035" i="1"/>
  <c r="P2035" i="1"/>
  <c r="T2035" i="1"/>
  <c r="N2036" i="1"/>
  <c r="O2036" i="1"/>
  <c r="P2036" i="1"/>
  <c r="T2036" i="1"/>
  <c r="N2037" i="1"/>
  <c r="O2037" i="1"/>
  <c r="P2037" i="1"/>
  <c r="T2037" i="1"/>
  <c r="N2038" i="1"/>
  <c r="O2038" i="1"/>
  <c r="P2038" i="1"/>
  <c r="T2038" i="1"/>
  <c r="N2039" i="1"/>
  <c r="O2039" i="1"/>
  <c r="P2039" i="1"/>
  <c r="T2039" i="1"/>
  <c r="N2040" i="1"/>
  <c r="O2040" i="1"/>
  <c r="P2040" i="1"/>
  <c r="T2040" i="1"/>
  <c r="N2041" i="1"/>
  <c r="O2041" i="1"/>
  <c r="P2041" i="1"/>
  <c r="T2041" i="1"/>
  <c r="N2042" i="1"/>
  <c r="O2042" i="1"/>
  <c r="P2042" i="1"/>
  <c r="T2042" i="1"/>
  <c r="N2044" i="1"/>
  <c r="O2044" i="1"/>
  <c r="P2044" i="1"/>
  <c r="T2044" i="1"/>
  <c r="N2045" i="1"/>
  <c r="O2045" i="1"/>
  <c r="P2045" i="1"/>
  <c r="T2045" i="1"/>
  <c r="N2046" i="1"/>
  <c r="O2046" i="1"/>
  <c r="P2046" i="1"/>
  <c r="T2046" i="1"/>
  <c r="N2047" i="1"/>
  <c r="O2047" i="1"/>
  <c r="P2047" i="1"/>
  <c r="T2047" i="1"/>
  <c r="N2048" i="1"/>
  <c r="O2048" i="1"/>
  <c r="P2048" i="1"/>
  <c r="T2048" i="1"/>
  <c r="N2049" i="1"/>
  <c r="O2049" i="1"/>
  <c r="P2049" i="1"/>
  <c r="T2049" i="1"/>
  <c r="O2051" i="1"/>
  <c r="P2051" i="1"/>
  <c r="T2051" i="1"/>
  <c r="N2052" i="1"/>
  <c r="O2052" i="1"/>
  <c r="P2052" i="1"/>
  <c r="T2052" i="1"/>
  <c r="N2053" i="1"/>
  <c r="O2053" i="1"/>
  <c r="P2053" i="1"/>
  <c r="T2053" i="1"/>
  <c r="N2056" i="1"/>
  <c r="O2056" i="1"/>
  <c r="P2056" i="1"/>
  <c r="T2056" i="1"/>
  <c r="N2057" i="1"/>
  <c r="O2057" i="1"/>
  <c r="P2057" i="1"/>
  <c r="T2057" i="1"/>
  <c r="N2059" i="1"/>
  <c r="O2059" i="1"/>
  <c r="P2059" i="1"/>
  <c r="T2059" i="1"/>
  <c r="N2060" i="1"/>
  <c r="O2060" i="1"/>
  <c r="P2060" i="1"/>
  <c r="T2060" i="1"/>
  <c r="N2061" i="1"/>
  <c r="O2061" i="1"/>
  <c r="P2061" i="1"/>
  <c r="T2061" i="1"/>
  <c r="N2062" i="1"/>
  <c r="O2062" i="1"/>
  <c r="P2062" i="1"/>
  <c r="T2062" i="1"/>
  <c r="N2064" i="1"/>
  <c r="O2064" i="1"/>
  <c r="P2064" i="1"/>
  <c r="T2064" i="1"/>
  <c r="N2065" i="1"/>
  <c r="O2065" i="1"/>
  <c r="P2065" i="1"/>
  <c r="T2065" i="1"/>
  <c r="N2066" i="1"/>
  <c r="O2066" i="1"/>
  <c r="P2066" i="1"/>
  <c r="T2066" i="1"/>
  <c r="N2067" i="1"/>
  <c r="O2067" i="1"/>
  <c r="P2067" i="1"/>
  <c r="T2067" i="1"/>
  <c r="N2068" i="1"/>
  <c r="O2068" i="1"/>
  <c r="P2068" i="1"/>
  <c r="T2068" i="1"/>
  <c r="N2071" i="1"/>
  <c r="O2071" i="1"/>
  <c r="P2071" i="1"/>
  <c r="T2071" i="1"/>
  <c r="N2072" i="1"/>
  <c r="O2072" i="1"/>
  <c r="P2072" i="1"/>
  <c r="T2072" i="1"/>
  <c r="N2073" i="1"/>
  <c r="O2073" i="1"/>
  <c r="P2073" i="1"/>
  <c r="T2073" i="1"/>
  <c r="N2074" i="1"/>
  <c r="O2074" i="1"/>
  <c r="P2074" i="1"/>
  <c r="T2074" i="1"/>
  <c r="N2075" i="1"/>
  <c r="O2075" i="1"/>
  <c r="P2075" i="1"/>
  <c r="T2075" i="1"/>
  <c r="N2077" i="1"/>
  <c r="O2077" i="1"/>
  <c r="P2077" i="1"/>
  <c r="T2077" i="1"/>
  <c r="N2078" i="1"/>
  <c r="O2078" i="1"/>
  <c r="P2078" i="1"/>
  <c r="T2078" i="1"/>
  <c r="N2079" i="1"/>
  <c r="O2079" i="1"/>
  <c r="P2079" i="1"/>
  <c r="T2079" i="1"/>
  <c r="N2080" i="1"/>
  <c r="O2080" i="1"/>
  <c r="P2080" i="1"/>
  <c r="T2080" i="1"/>
  <c r="N2081" i="1"/>
  <c r="O2081" i="1"/>
  <c r="P2081" i="1"/>
  <c r="T2081" i="1"/>
  <c r="N2083" i="1"/>
  <c r="O2083" i="1"/>
  <c r="P2083" i="1"/>
  <c r="T2083" i="1"/>
  <c r="N2084" i="1"/>
  <c r="O2084" i="1"/>
  <c r="P2084" i="1"/>
  <c r="T2084" i="1"/>
  <c r="N2085" i="1"/>
  <c r="O2085" i="1"/>
  <c r="P2085" i="1"/>
  <c r="T2085" i="1"/>
  <c r="N2086" i="1"/>
  <c r="O2086" i="1"/>
  <c r="P2086" i="1"/>
  <c r="T2086" i="1"/>
  <c r="N2087" i="1"/>
  <c r="O2087" i="1"/>
  <c r="P2087" i="1"/>
  <c r="T2087" i="1"/>
  <c r="N2090" i="1"/>
  <c r="O2090" i="1"/>
  <c r="P2090" i="1"/>
  <c r="T2090" i="1"/>
  <c r="N2091" i="1"/>
  <c r="O2091" i="1"/>
  <c r="P2091" i="1"/>
  <c r="T2091" i="1"/>
  <c r="N2092" i="1"/>
  <c r="O2092" i="1"/>
  <c r="P2092" i="1"/>
  <c r="T2092" i="1"/>
  <c r="N2093" i="1"/>
  <c r="O2093" i="1"/>
  <c r="P2093" i="1"/>
  <c r="T2093" i="1"/>
  <c r="N2094" i="1"/>
  <c r="O2094" i="1"/>
  <c r="P2094" i="1"/>
  <c r="T2094" i="1"/>
  <c r="N2095" i="1"/>
  <c r="O2095" i="1"/>
  <c r="P2095" i="1"/>
  <c r="T2095" i="1"/>
  <c r="N2096" i="1"/>
  <c r="O2096" i="1"/>
  <c r="P2096" i="1"/>
  <c r="T2096" i="1"/>
  <c r="N2098" i="1"/>
  <c r="O2098" i="1"/>
  <c r="P2098" i="1"/>
  <c r="T2098" i="1"/>
  <c r="N2099" i="1"/>
  <c r="O2099" i="1"/>
  <c r="P2099" i="1"/>
  <c r="T2099" i="1"/>
  <c r="N2100" i="1"/>
  <c r="O2100" i="1"/>
  <c r="P2100" i="1"/>
  <c r="T2100" i="1"/>
  <c r="N2101" i="1"/>
  <c r="O2101" i="1"/>
  <c r="P2101" i="1"/>
  <c r="T2101" i="1"/>
  <c r="N2104" i="1"/>
  <c r="O2104" i="1"/>
  <c r="P2104" i="1"/>
  <c r="T2104" i="1"/>
  <c r="N2105" i="1"/>
  <c r="O2105" i="1"/>
  <c r="P2105" i="1"/>
  <c r="N2106" i="1"/>
  <c r="O2106" i="1"/>
  <c r="P2106" i="1"/>
  <c r="T2106" i="1"/>
  <c r="N2107" i="1"/>
  <c r="O2107" i="1"/>
  <c r="P2107" i="1"/>
  <c r="T2107" i="1"/>
  <c r="N2108" i="1"/>
  <c r="O2108" i="1"/>
  <c r="P2108" i="1"/>
  <c r="N2109" i="1"/>
  <c r="O2109" i="1"/>
  <c r="P2109" i="1"/>
  <c r="T2109" i="1"/>
  <c r="N2110" i="1"/>
  <c r="O2110" i="1"/>
  <c r="P2110" i="1"/>
  <c r="N2113" i="1"/>
  <c r="O2113" i="1"/>
  <c r="P2113" i="1"/>
  <c r="T2113" i="1"/>
  <c r="N2114" i="1"/>
  <c r="O2114" i="1"/>
  <c r="P2114" i="1"/>
  <c r="T2114" i="1"/>
  <c r="N2116" i="1"/>
  <c r="O2116" i="1"/>
  <c r="P2116" i="1"/>
  <c r="T2116" i="1"/>
  <c r="N2117" i="1"/>
  <c r="O2117" i="1"/>
  <c r="P2117" i="1"/>
  <c r="T2117" i="1"/>
  <c r="N2118" i="1"/>
  <c r="O2118" i="1"/>
  <c r="P2118" i="1"/>
  <c r="T2118" i="1"/>
  <c r="N2119" i="1"/>
  <c r="O2119" i="1"/>
  <c r="P2119" i="1"/>
  <c r="T2119" i="1"/>
  <c r="N2123" i="1"/>
  <c r="O2123" i="1"/>
  <c r="P2123" i="1"/>
  <c r="T2123" i="1"/>
  <c r="N2124" i="1"/>
  <c r="O2124" i="1"/>
  <c r="P2124" i="1"/>
  <c r="T2124" i="1"/>
  <c r="N2125" i="1"/>
  <c r="O2125" i="1"/>
  <c r="P2125" i="1"/>
  <c r="T2125" i="1"/>
  <c r="N2128" i="1"/>
  <c r="O2128" i="1"/>
  <c r="P2128" i="1"/>
  <c r="T2128" i="1"/>
  <c r="N2129" i="1"/>
  <c r="O2129" i="1"/>
  <c r="P2129" i="1"/>
  <c r="T2129" i="1"/>
  <c r="N2130" i="1"/>
  <c r="O2130" i="1"/>
  <c r="P2130" i="1"/>
  <c r="T2130" i="1"/>
  <c r="N2131" i="1"/>
  <c r="O2131" i="1"/>
  <c r="P2131" i="1"/>
  <c r="T2131" i="1"/>
  <c r="N2133" i="1"/>
  <c r="O2133" i="1"/>
  <c r="P2133" i="1"/>
  <c r="T2133" i="1"/>
  <c r="N2134" i="1"/>
  <c r="O2134" i="1"/>
  <c r="P2134" i="1"/>
  <c r="T2134" i="1"/>
  <c r="N2135" i="1"/>
  <c r="O2135" i="1"/>
  <c r="P2135" i="1"/>
  <c r="T2135" i="1"/>
  <c r="O2136" i="1"/>
  <c r="P2136" i="1"/>
  <c r="T2136" i="1"/>
  <c r="N2138" i="1"/>
  <c r="O2138" i="1"/>
  <c r="P2138" i="1"/>
  <c r="T2138" i="1"/>
  <c r="N2139" i="1"/>
  <c r="O2139" i="1"/>
  <c r="P2139" i="1"/>
  <c r="T2139" i="1"/>
  <c r="N2140" i="1"/>
  <c r="O2140" i="1"/>
  <c r="P2140" i="1"/>
  <c r="T2140" i="1"/>
  <c r="N2141" i="1"/>
  <c r="O2141" i="1"/>
  <c r="P2141" i="1"/>
  <c r="T2141" i="1"/>
  <c r="N2142" i="1"/>
  <c r="O2142" i="1"/>
  <c r="P2142" i="1"/>
  <c r="T2142" i="1"/>
  <c r="N2143" i="1"/>
  <c r="O2143" i="1"/>
  <c r="P2143" i="1"/>
  <c r="T2143" i="1"/>
  <c r="N2144" i="1"/>
  <c r="O2144" i="1"/>
  <c r="P2144" i="1"/>
  <c r="T2144" i="1"/>
  <c r="N2145" i="1"/>
  <c r="O2145" i="1"/>
  <c r="P2145" i="1"/>
  <c r="T2145" i="1"/>
  <c r="N2147" i="1"/>
  <c r="O2147" i="1"/>
  <c r="P2147" i="1"/>
  <c r="T2147" i="1"/>
  <c r="N2148" i="1"/>
  <c r="O2148" i="1"/>
  <c r="P2148" i="1"/>
  <c r="T2148" i="1"/>
  <c r="N2149" i="1"/>
  <c r="O2149" i="1"/>
  <c r="P2149" i="1"/>
  <c r="T2149" i="1"/>
  <c r="N2151" i="1"/>
  <c r="O2151" i="1"/>
  <c r="P2151" i="1"/>
  <c r="T2151" i="1"/>
  <c r="N2152" i="1"/>
  <c r="O2152" i="1"/>
  <c r="P2152" i="1"/>
  <c r="T2152" i="1"/>
  <c r="N2155" i="1"/>
  <c r="O2155" i="1"/>
  <c r="P2155" i="1"/>
  <c r="T2155" i="1"/>
  <c r="N2156" i="1"/>
  <c r="O2156" i="1"/>
  <c r="P2156" i="1"/>
  <c r="T2156" i="1"/>
  <c r="N2159" i="1"/>
  <c r="O2159" i="1"/>
  <c r="P2159" i="1"/>
  <c r="T2159" i="1"/>
  <c r="N2160" i="1"/>
  <c r="O2160" i="1"/>
  <c r="P2160" i="1"/>
  <c r="T2160" i="1"/>
  <c r="N2161" i="1"/>
  <c r="O2161" i="1"/>
  <c r="P2161" i="1"/>
  <c r="T2161" i="1"/>
  <c r="N2162" i="1"/>
  <c r="O2162" i="1"/>
  <c r="P2162" i="1"/>
  <c r="T2162" i="1"/>
  <c r="N2163" i="1"/>
  <c r="O2163" i="1"/>
  <c r="P2163" i="1"/>
  <c r="T2163" i="1"/>
  <c r="N2164" i="1"/>
  <c r="O2164" i="1"/>
  <c r="P2164" i="1"/>
  <c r="T2164" i="1"/>
  <c r="N2165" i="1"/>
  <c r="O2165" i="1"/>
  <c r="P2165" i="1"/>
  <c r="T2165" i="1"/>
  <c r="N2167" i="1"/>
  <c r="O2167" i="1"/>
  <c r="P2167" i="1"/>
  <c r="T2167" i="1"/>
  <c r="N2168" i="1"/>
  <c r="O2168" i="1"/>
  <c r="P2168" i="1"/>
  <c r="T2168" i="1"/>
  <c r="N2169" i="1"/>
  <c r="O2169" i="1"/>
  <c r="P2169" i="1"/>
  <c r="T2169" i="1"/>
  <c r="N2170" i="1"/>
  <c r="O2170" i="1"/>
  <c r="P2170" i="1"/>
  <c r="T2170" i="1"/>
  <c r="N2172" i="1"/>
  <c r="O2172" i="1"/>
  <c r="P2172" i="1"/>
  <c r="T2172" i="1"/>
  <c r="N2173" i="1"/>
  <c r="O2173" i="1"/>
  <c r="P2173" i="1"/>
  <c r="T2173" i="1"/>
  <c r="N2174" i="1"/>
  <c r="O2174" i="1"/>
  <c r="P2174" i="1"/>
  <c r="T2174" i="1"/>
  <c r="N2175" i="1"/>
  <c r="O2175" i="1"/>
  <c r="P2175" i="1"/>
  <c r="T2175" i="1"/>
  <c r="N2178" i="1"/>
  <c r="O2178" i="1"/>
  <c r="P2178" i="1"/>
  <c r="T2178" i="1"/>
  <c r="N2179" i="1"/>
  <c r="O2179" i="1"/>
  <c r="P2179" i="1"/>
  <c r="T2179" i="1"/>
  <c r="N2180" i="1"/>
  <c r="O2180" i="1"/>
  <c r="P2180" i="1"/>
  <c r="T2180" i="1"/>
  <c r="N2181" i="1"/>
  <c r="O2181" i="1"/>
  <c r="P2181" i="1"/>
  <c r="T2181" i="1"/>
  <c r="N2184" i="1"/>
  <c r="O2184" i="1"/>
  <c r="P2184" i="1"/>
  <c r="T2184" i="1"/>
  <c r="N2185" i="1"/>
  <c r="O2185" i="1"/>
  <c r="P2185" i="1"/>
  <c r="T2185" i="1"/>
  <c r="N2186" i="1"/>
  <c r="O2186" i="1"/>
  <c r="P2186" i="1"/>
  <c r="T2186" i="1"/>
  <c r="N2187" i="1"/>
  <c r="O2187" i="1"/>
  <c r="P2187" i="1"/>
  <c r="T2187" i="1"/>
  <c r="N2188" i="1"/>
  <c r="O2188" i="1"/>
  <c r="P2188" i="1"/>
  <c r="T2188" i="1"/>
  <c r="N2189" i="1"/>
  <c r="O2189" i="1"/>
  <c r="P2189" i="1"/>
  <c r="T2189" i="1"/>
  <c r="N2190" i="1"/>
  <c r="O2190" i="1"/>
  <c r="P2190" i="1"/>
  <c r="T2190" i="1"/>
  <c r="N2191" i="1"/>
  <c r="O2191" i="1"/>
  <c r="P2191" i="1"/>
  <c r="T2191" i="1"/>
  <c r="N2192" i="1"/>
  <c r="O2192" i="1"/>
  <c r="P2192" i="1"/>
  <c r="T2192" i="1"/>
  <c r="N2193" i="1"/>
  <c r="O2193" i="1"/>
  <c r="P2193" i="1"/>
  <c r="T2193" i="1"/>
  <c r="N2195" i="1"/>
  <c r="O2195" i="1"/>
  <c r="P2195" i="1"/>
  <c r="T2195" i="1"/>
  <c r="N2196" i="1"/>
  <c r="O2196" i="1"/>
  <c r="P2196" i="1"/>
  <c r="T2196" i="1"/>
  <c r="N2197" i="1"/>
  <c r="O2197" i="1"/>
  <c r="P2197" i="1"/>
  <c r="T2197" i="1"/>
  <c r="N2199" i="1"/>
  <c r="O2199" i="1"/>
  <c r="P2199" i="1"/>
  <c r="T2199" i="1"/>
  <c r="N2200" i="1"/>
  <c r="O2200" i="1"/>
  <c r="P2200" i="1"/>
  <c r="T2200" i="1"/>
  <c r="N2201" i="1"/>
  <c r="O2201" i="1"/>
  <c r="P2201" i="1"/>
  <c r="T2201" i="1"/>
  <c r="N2202" i="1"/>
  <c r="O2202" i="1"/>
  <c r="P2202" i="1"/>
  <c r="T2202" i="1"/>
  <c r="N2203" i="1"/>
  <c r="O2203" i="1"/>
  <c r="P2203" i="1"/>
  <c r="T2203" i="1"/>
  <c r="N2204" i="1"/>
  <c r="O2204" i="1"/>
  <c r="P2204" i="1"/>
  <c r="T2204" i="1"/>
  <c r="N2205" i="1"/>
  <c r="O2205" i="1"/>
  <c r="P2205" i="1"/>
  <c r="T2205" i="1"/>
  <c r="N2206" i="1"/>
  <c r="O2206" i="1"/>
  <c r="P2206" i="1"/>
  <c r="T2206" i="1"/>
  <c r="N2207" i="1"/>
  <c r="O2207" i="1"/>
  <c r="P2207" i="1"/>
  <c r="T2207" i="1"/>
  <c r="N2208" i="1"/>
  <c r="O2208" i="1"/>
  <c r="P2208" i="1"/>
  <c r="T2208" i="1"/>
  <c r="N2209" i="1"/>
  <c r="O2209" i="1"/>
  <c r="P2209" i="1"/>
  <c r="T2209" i="1"/>
  <c r="N2210" i="1"/>
  <c r="O2210" i="1"/>
  <c r="P2210" i="1"/>
  <c r="T2210" i="1"/>
  <c r="N2212" i="1"/>
  <c r="O2212" i="1"/>
  <c r="P2212" i="1"/>
  <c r="T2212" i="1"/>
  <c r="N2213" i="1"/>
  <c r="O2213" i="1"/>
  <c r="P2213" i="1"/>
  <c r="T2213" i="1"/>
  <c r="N2214" i="1"/>
  <c r="O2214" i="1"/>
  <c r="P2214" i="1"/>
  <c r="T2214" i="1"/>
  <c r="N2215" i="1"/>
  <c r="O2215" i="1"/>
  <c r="P2215" i="1"/>
  <c r="T2215" i="1"/>
  <c r="N2216" i="1"/>
  <c r="O2216" i="1"/>
  <c r="P2216" i="1"/>
  <c r="T2216" i="1"/>
  <c r="N2217" i="1"/>
  <c r="O2217" i="1"/>
  <c r="P2217" i="1"/>
  <c r="T2217" i="1"/>
  <c r="N2218" i="1"/>
  <c r="O2218" i="1"/>
  <c r="P2218" i="1"/>
  <c r="T2218" i="1"/>
  <c r="N2220" i="1"/>
  <c r="O2220" i="1"/>
  <c r="P2220" i="1"/>
  <c r="T2220" i="1"/>
  <c r="N2221" i="1"/>
  <c r="O2221" i="1"/>
  <c r="P2221" i="1"/>
  <c r="T2221" i="1"/>
  <c r="N2222" i="1"/>
  <c r="O2222" i="1"/>
  <c r="P2222" i="1"/>
  <c r="T2222" i="1"/>
  <c r="N2223" i="1"/>
  <c r="O2223" i="1"/>
  <c r="P2223" i="1"/>
  <c r="T2223" i="1"/>
  <c r="N2224" i="1"/>
  <c r="O2224" i="1"/>
  <c r="P2224" i="1"/>
  <c r="T2224" i="1"/>
  <c r="N2225" i="1"/>
  <c r="O2225" i="1"/>
  <c r="P2225" i="1"/>
  <c r="T2225" i="1"/>
  <c r="N2227" i="1"/>
  <c r="O2227" i="1"/>
  <c r="P2227" i="1"/>
  <c r="T2227" i="1"/>
  <c r="N2229" i="1"/>
  <c r="O2229" i="1"/>
  <c r="P2229" i="1"/>
  <c r="T2229" i="1"/>
  <c r="N2230" i="1"/>
  <c r="O2230" i="1"/>
  <c r="P2230" i="1"/>
  <c r="T2230" i="1"/>
  <c r="N2231" i="1"/>
  <c r="O2231" i="1"/>
  <c r="P2231" i="1"/>
  <c r="T2231" i="1"/>
  <c r="N2232" i="1"/>
  <c r="O2232" i="1"/>
  <c r="P2232" i="1"/>
  <c r="T2232" i="1"/>
  <c r="N2234" i="1"/>
  <c r="O2234" i="1"/>
  <c r="P2234" i="1"/>
  <c r="T2234" i="1"/>
  <c r="N2236" i="1"/>
  <c r="O2236" i="1"/>
  <c r="P2236" i="1"/>
  <c r="T2236" i="1"/>
  <c r="N2238" i="1"/>
  <c r="O2238" i="1"/>
  <c r="P2238" i="1"/>
  <c r="T2238" i="1"/>
  <c r="N2239" i="1"/>
  <c r="O2239" i="1"/>
  <c r="P2239" i="1"/>
  <c r="T2239" i="1"/>
  <c r="N2240" i="1"/>
  <c r="O2240" i="1"/>
  <c r="P2240" i="1"/>
  <c r="T2240" i="1"/>
  <c r="N2241" i="1"/>
  <c r="O2241" i="1"/>
  <c r="P2241" i="1"/>
  <c r="T2241" i="1"/>
  <c r="N2242" i="1"/>
  <c r="O2242" i="1"/>
  <c r="P2242" i="1"/>
  <c r="T2242" i="1"/>
  <c r="N2243" i="1"/>
  <c r="O2243" i="1"/>
  <c r="P2243" i="1"/>
  <c r="T2243" i="1"/>
  <c r="N2244" i="1"/>
  <c r="O2244" i="1"/>
  <c r="P2244" i="1"/>
  <c r="T2244" i="1"/>
  <c r="N2245" i="1"/>
  <c r="O2245" i="1"/>
  <c r="P2245" i="1"/>
  <c r="T2245" i="1"/>
  <c r="N2247" i="1"/>
  <c r="O2247" i="1"/>
  <c r="P2247" i="1"/>
  <c r="T2247" i="1"/>
  <c r="N2248" i="1"/>
  <c r="O2248" i="1"/>
  <c r="P2248" i="1"/>
  <c r="T2248" i="1"/>
  <c r="N2249" i="1"/>
  <c r="O2249" i="1"/>
  <c r="P2249" i="1"/>
  <c r="T2249" i="1"/>
  <c r="N2250" i="1"/>
  <c r="O2250" i="1"/>
  <c r="P2250" i="1"/>
  <c r="T2250" i="1"/>
  <c r="N2252" i="1"/>
  <c r="O2252" i="1"/>
  <c r="P2252" i="1"/>
  <c r="T2252" i="1"/>
  <c r="N2253" i="1"/>
  <c r="O2253" i="1"/>
  <c r="P2253" i="1"/>
  <c r="T2253" i="1"/>
  <c r="N2254" i="1"/>
  <c r="O2254" i="1"/>
  <c r="P2254" i="1"/>
  <c r="T2254" i="1"/>
  <c r="N2255" i="1"/>
  <c r="O2255" i="1"/>
  <c r="P2255" i="1"/>
  <c r="T2255" i="1"/>
  <c r="N2259" i="1"/>
  <c r="O2259" i="1"/>
  <c r="P2259" i="1"/>
  <c r="T2259" i="1"/>
  <c r="N2260" i="1"/>
  <c r="O2260" i="1"/>
  <c r="P2260" i="1"/>
  <c r="T2260" i="1"/>
  <c r="N2261" i="1"/>
  <c r="O2261" i="1"/>
  <c r="P2261" i="1"/>
  <c r="T2261" i="1"/>
  <c r="N2262" i="1"/>
  <c r="O2262" i="1"/>
  <c r="P2262" i="1"/>
  <c r="T2262" i="1"/>
  <c r="N2263" i="1"/>
  <c r="O2263" i="1"/>
  <c r="P2263" i="1"/>
  <c r="T2263" i="1"/>
  <c r="N2264" i="1"/>
  <c r="O2264" i="1"/>
  <c r="P2264" i="1"/>
  <c r="T2264" i="1"/>
  <c r="N2265" i="1"/>
  <c r="O2265" i="1"/>
  <c r="P2265" i="1"/>
  <c r="T2265" i="1"/>
  <c r="N2266" i="1"/>
  <c r="O2266" i="1"/>
  <c r="P2266" i="1"/>
  <c r="T2266" i="1"/>
  <c r="N2267" i="1"/>
  <c r="O2267" i="1"/>
  <c r="P2267" i="1"/>
  <c r="T2267" i="1"/>
  <c r="N2268" i="1"/>
  <c r="O2268" i="1"/>
  <c r="P2268" i="1"/>
  <c r="T2268" i="1"/>
  <c r="N2269" i="1"/>
  <c r="O2269" i="1"/>
  <c r="P2269" i="1"/>
  <c r="T2269" i="1"/>
  <c r="N2272" i="1"/>
  <c r="O2272" i="1"/>
  <c r="P2272" i="1"/>
  <c r="T2272" i="1"/>
  <c r="N2273" i="1"/>
  <c r="O2273" i="1"/>
  <c r="P2273" i="1"/>
  <c r="T2273" i="1"/>
  <c r="N2274" i="1"/>
  <c r="O2274" i="1"/>
  <c r="P2274" i="1"/>
  <c r="T2274" i="1"/>
  <c r="N2275" i="1"/>
  <c r="O2275" i="1"/>
  <c r="P2275" i="1"/>
  <c r="T2275" i="1"/>
  <c r="N2276" i="1"/>
  <c r="O2276" i="1"/>
  <c r="P2276" i="1"/>
  <c r="T2276" i="1"/>
  <c r="N2277" i="1"/>
  <c r="O2277" i="1"/>
  <c r="P2277" i="1"/>
  <c r="T2277" i="1"/>
  <c r="N2278" i="1"/>
  <c r="O2278" i="1"/>
  <c r="P2278" i="1"/>
  <c r="T2278" i="1"/>
  <c r="N2279" i="1"/>
  <c r="O2279" i="1"/>
  <c r="P2279" i="1"/>
  <c r="T2279" i="1"/>
  <c r="N2280" i="1"/>
  <c r="O2280" i="1"/>
  <c r="P2280" i="1"/>
  <c r="T2280" i="1"/>
  <c r="N2281" i="1"/>
  <c r="O2281" i="1"/>
  <c r="P2281" i="1"/>
  <c r="T2281" i="1"/>
  <c r="N2282" i="1"/>
  <c r="O2282" i="1"/>
  <c r="P2282" i="1"/>
  <c r="T2282" i="1"/>
  <c r="N2283" i="1"/>
  <c r="O2283" i="1"/>
  <c r="P2283" i="1"/>
  <c r="T2283" i="1"/>
  <c r="N2284" i="1"/>
  <c r="O2284" i="1"/>
  <c r="P2284" i="1"/>
  <c r="T2284" i="1"/>
  <c r="N2285" i="1"/>
  <c r="O2285" i="1"/>
  <c r="P2285" i="1"/>
  <c r="T2285" i="1"/>
  <c r="N2286" i="1"/>
  <c r="O2286" i="1"/>
  <c r="P2286" i="1"/>
  <c r="T2286" i="1"/>
  <c r="N2287" i="1"/>
  <c r="O2287" i="1"/>
  <c r="P2287" i="1"/>
  <c r="T2287" i="1"/>
  <c r="N2288" i="1"/>
  <c r="O2288" i="1"/>
  <c r="P2288" i="1"/>
  <c r="T2288" i="1"/>
  <c r="N2289" i="1"/>
  <c r="O2289" i="1"/>
  <c r="P2289" i="1"/>
  <c r="T2289" i="1"/>
  <c r="N2291" i="1"/>
  <c r="O2291" i="1"/>
  <c r="P2291" i="1"/>
  <c r="T2291" i="1"/>
  <c r="N2292" i="1"/>
  <c r="O2292" i="1"/>
  <c r="P2292" i="1"/>
  <c r="T2292" i="1"/>
  <c r="N2293" i="1"/>
  <c r="O2293" i="1"/>
  <c r="P2293" i="1"/>
  <c r="T2293" i="1"/>
  <c r="N2294" i="1"/>
  <c r="O2294" i="1"/>
  <c r="P2294" i="1"/>
  <c r="T2294" i="1"/>
  <c r="N2295" i="1"/>
  <c r="O2295" i="1"/>
  <c r="P2295" i="1"/>
  <c r="T2295" i="1"/>
  <c r="N2296" i="1"/>
  <c r="O2296" i="1"/>
  <c r="P2296" i="1"/>
  <c r="T2296" i="1"/>
  <c r="N2297" i="1"/>
  <c r="O2297" i="1"/>
  <c r="P2297" i="1"/>
  <c r="T2297" i="1"/>
  <c r="N2298" i="1"/>
  <c r="O2298" i="1"/>
  <c r="P2298" i="1"/>
  <c r="T2298" i="1"/>
  <c r="N2299" i="1"/>
  <c r="O2299" i="1"/>
  <c r="P2299" i="1"/>
  <c r="T2299" i="1"/>
  <c r="N2300" i="1"/>
  <c r="O2300" i="1"/>
  <c r="P2300" i="1"/>
  <c r="T2300" i="1"/>
  <c r="N2301" i="1"/>
  <c r="O2301" i="1"/>
  <c r="P2301" i="1"/>
  <c r="T2301" i="1"/>
  <c r="N2302" i="1"/>
  <c r="O2302" i="1"/>
  <c r="P2302" i="1"/>
  <c r="T2302" i="1"/>
  <c r="N2304" i="1"/>
  <c r="O2304" i="1"/>
  <c r="P2304" i="1"/>
  <c r="T2304" i="1"/>
  <c r="N2305" i="1"/>
  <c r="O2305" i="1"/>
  <c r="P2305" i="1"/>
  <c r="T2305" i="1"/>
  <c r="N2306" i="1"/>
  <c r="O2306" i="1"/>
  <c r="P2306" i="1"/>
  <c r="T2306" i="1"/>
  <c r="N2308" i="1"/>
  <c r="O2308" i="1"/>
  <c r="P2308" i="1"/>
  <c r="T2308" i="1"/>
  <c r="N2309" i="1"/>
  <c r="O2309" i="1"/>
  <c r="P2309" i="1"/>
  <c r="T2309" i="1"/>
  <c r="N2310" i="1"/>
  <c r="O2310" i="1"/>
  <c r="P2310" i="1"/>
  <c r="T2310" i="1"/>
  <c r="N2311" i="1"/>
  <c r="O2311" i="1"/>
  <c r="P2311" i="1"/>
  <c r="T2311" i="1"/>
  <c r="N2313" i="1"/>
  <c r="O2313" i="1"/>
  <c r="P2313" i="1"/>
  <c r="T2313" i="1"/>
  <c r="N2315" i="1"/>
  <c r="O2315" i="1"/>
  <c r="P2315" i="1"/>
  <c r="T2315" i="1"/>
  <c r="N2316" i="1"/>
  <c r="O2316" i="1"/>
  <c r="P2316" i="1"/>
  <c r="T2316" i="1"/>
  <c r="N2317" i="1"/>
  <c r="O2317" i="1"/>
  <c r="P2317" i="1"/>
  <c r="T2317" i="1"/>
  <c r="N2318" i="1"/>
  <c r="O2318" i="1"/>
  <c r="P2318" i="1"/>
  <c r="T2318" i="1"/>
  <c r="N2319" i="1"/>
  <c r="O2319" i="1"/>
  <c r="P2319" i="1"/>
  <c r="T2319" i="1"/>
  <c r="N2320" i="1"/>
  <c r="O2320" i="1"/>
  <c r="P2320" i="1"/>
  <c r="T2320" i="1"/>
  <c r="N2322" i="1"/>
  <c r="O2322" i="1"/>
  <c r="P2322" i="1"/>
  <c r="T2322" i="1"/>
  <c r="N2323" i="1"/>
  <c r="O2323" i="1"/>
  <c r="P2323" i="1"/>
  <c r="T2323" i="1"/>
  <c r="N2325" i="1"/>
  <c r="O2325" i="1"/>
  <c r="P2325" i="1"/>
  <c r="T2325" i="1"/>
  <c r="N2326" i="1"/>
  <c r="O2326" i="1"/>
  <c r="P2326" i="1"/>
  <c r="T2326" i="1"/>
  <c r="N2327" i="1"/>
  <c r="O2327" i="1"/>
  <c r="P2327" i="1"/>
  <c r="T2327" i="1"/>
  <c r="N2329" i="1"/>
  <c r="O2329" i="1"/>
  <c r="P2329" i="1"/>
  <c r="T2329" i="1"/>
  <c r="N2330" i="1"/>
  <c r="O2330" i="1"/>
  <c r="P2330" i="1"/>
  <c r="T2330" i="1"/>
  <c r="N2331" i="1"/>
  <c r="O2331" i="1"/>
  <c r="P2331" i="1"/>
  <c r="T2331" i="1"/>
  <c r="N2332" i="1"/>
  <c r="O2332" i="1"/>
  <c r="P2332" i="1"/>
  <c r="T2332" i="1"/>
  <c r="N2333" i="1"/>
  <c r="O2333" i="1"/>
  <c r="P2333" i="1"/>
  <c r="T2333" i="1"/>
  <c r="N2335" i="1"/>
  <c r="O2335" i="1"/>
  <c r="P2335" i="1"/>
  <c r="T2335" i="1"/>
  <c r="N2336" i="1"/>
  <c r="O2336" i="1"/>
  <c r="P2336" i="1"/>
  <c r="T2336" i="1"/>
  <c r="N2339" i="1"/>
  <c r="O2339" i="1"/>
  <c r="P2339" i="1"/>
  <c r="T2339" i="1"/>
  <c r="N2341" i="1"/>
  <c r="O2341" i="1"/>
  <c r="P2341" i="1"/>
  <c r="T2341" i="1"/>
  <c r="N2342" i="1"/>
  <c r="O2342" i="1"/>
  <c r="P2342" i="1"/>
  <c r="T2342" i="1"/>
  <c r="N2343" i="1"/>
  <c r="O2343" i="1"/>
  <c r="P2343" i="1"/>
  <c r="T2343" i="1"/>
  <c r="N2344" i="1"/>
  <c r="O2344" i="1"/>
  <c r="P2344" i="1"/>
  <c r="T2344" i="1"/>
  <c r="O2345" i="1"/>
  <c r="P2345" i="1"/>
  <c r="T2345" i="1"/>
  <c r="N2346" i="1"/>
  <c r="O2346" i="1"/>
  <c r="P2346" i="1"/>
  <c r="T2346" i="1"/>
  <c r="N2348" i="1"/>
  <c r="O2348" i="1"/>
  <c r="P2348" i="1"/>
  <c r="T2348" i="1"/>
  <c r="N2349" i="1"/>
  <c r="O2349" i="1"/>
  <c r="P2349" i="1"/>
  <c r="T2349" i="1"/>
  <c r="N2350" i="1"/>
  <c r="O2350" i="1"/>
  <c r="P2350" i="1"/>
  <c r="T2350" i="1"/>
  <c r="N2353" i="1"/>
  <c r="O2353" i="1"/>
  <c r="P2353" i="1"/>
  <c r="T2353" i="1"/>
  <c r="N2354" i="1"/>
  <c r="O2354" i="1"/>
  <c r="P2354" i="1"/>
  <c r="T2354" i="1"/>
  <c r="N2355" i="1"/>
  <c r="O2355" i="1"/>
  <c r="P2355" i="1"/>
  <c r="T2355" i="1"/>
  <c r="N2356" i="1"/>
  <c r="O2356" i="1"/>
  <c r="P2356" i="1"/>
  <c r="T2356" i="1"/>
  <c r="N2358" i="1"/>
  <c r="O2358" i="1"/>
  <c r="P2358" i="1"/>
  <c r="T2358" i="1"/>
  <c r="N2359" i="1"/>
  <c r="O2359" i="1"/>
  <c r="P2359" i="1"/>
  <c r="T2359" i="1"/>
  <c r="N2360" i="1"/>
  <c r="O2360" i="1"/>
  <c r="P2360" i="1"/>
  <c r="T2360" i="1"/>
  <c r="N2362" i="1"/>
  <c r="O2362" i="1"/>
  <c r="P2362" i="1"/>
  <c r="T2362" i="1"/>
  <c r="N2366" i="1"/>
  <c r="O2366" i="1"/>
  <c r="P2366" i="1"/>
  <c r="T2366" i="1"/>
  <c r="N2367" i="1"/>
  <c r="O2367" i="1"/>
  <c r="P2367" i="1"/>
  <c r="T2367" i="1"/>
  <c r="N2368" i="1"/>
  <c r="O2368" i="1"/>
  <c r="P2368" i="1"/>
  <c r="T2368" i="1"/>
  <c r="N2369" i="1"/>
  <c r="O2369" i="1"/>
  <c r="P2369" i="1"/>
  <c r="T2369" i="1"/>
  <c r="N2372" i="1"/>
  <c r="O2372" i="1"/>
  <c r="P2372" i="1"/>
  <c r="T2372" i="1"/>
  <c r="N2373" i="1"/>
  <c r="O2373" i="1"/>
  <c r="P2373" i="1"/>
  <c r="T2373" i="1"/>
  <c r="N2374" i="1"/>
  <c r="O2374" i="1"/>
  <c r="P2374" i="1"/>
  <c r="T2374" i="1"/>
  <c r="N2376" i="1"/>
  <c r="O2376" i="1"/>
  <c r="P2376" i="1"/>
  <c r="T2376" i="1"/>
  <c r="N2378" i="1"/>
  <c r="O2378" i="1"/>
  <c r="P2378" i="1"/>
  <c r="T2378" i="1"/>
  <c r="N2380" i="1"/>
  <c r="O2380" i="1"/>
  <c r="P2380" i="1"/>
  <c r="N2381" i="1"/>
  <c r="O2381" i="1"/>
  <c r="P2381" i="1"/>
  <c r="N2383" i="1"/>
  <c r="O2383" i="1"/>
  <c r="P2383" i="1"/>
  <c r="T2383" i="1"/>
  <c r="N2384" i="1"/>
  <c r="O2384" i="1"/>
  <c r="P2384" i="1"/>
  <c r="T2384" i="1"/>
  <c r="N2385" i="1"/>
  <c r="O2385" i="1"/>
  <c r="P2385" i="1"/>
  <c r="T2385" i="1"/>
  <c r="N2387" i="1"/>
  <c r="O2387" i="1"/>
  <c r="P2387" i="1"/>
  <c r="T2387" i="1"/>
  <c r="N2390" i="1"/>
  <c r="O2390" i="1"/>
  <c r="P2390" i="1"/>
  <c r="T2390" i="1"/>
  <c r="N2391" i="1"/>
  <c r="O2391" i="1"/>
  <c r="P2391" i="1"/>
  <c r="T2391" i="1"/>
  <c r="N2392" i="1"/>
  <c r="O2392" i="1"/>
  <c r="P2392" i="1"/>
  <c r="T2392" i="1"/>
  <c r="N2393" i="1"/>
  <c r="O2393" i="1"/>
  <c r="P2393" i="1"/>
  <c r="T2393" i="1"/>
  <c r="N2396" i="1"/>
  <c r="O2396" i="1"/>
  <c r="P2396" i="1"/>
  <c r="T2396" i="1"/>
  <c r="N2397" i="1"/>
  <c r="O2397" i="1"/>
  <c r="P2397" i="1"/>
  <c r="T2397" i="1"/>
  <c r="N2400" i="1"/>
  <c r="O2400" i="1"/>
  <c r="P2400" i="1"/>
  <c r="T2400" i="1"/>
  <c r="N2401" i="1"/>
  <c r="O2401" i="1"/>
  <c r="P2401" i="1"/>
  <c r="T2401" i="1"/>
  <c r="N2403" i="1"/>
  <c r="O2403" i="1"/>
  <c r="P2403" i="1"/>
  <c r="T2403" i="1"/>
  <c r="N2404" i="1"/>
  <c r="O2404" i="1"/>
  <c r="P2404" i="1"/>
  <c r="T2404" i="1"/>
  <c r="N2405" i="1"/>
  <c r="O2405" i="1"/>
  <c r="P2405" i="1"/>
  <c r="T2405" i="1"/>
  <c r="N2406" i="1"/>
  <c r="O2406" i="1"/>
  <c r="P2406" i="1"/>
  <c r="T2406" i="1"/>
  <c r="N2407" i="1"/>
  <c r="O2407" i="1"/>
  <c r="P2407" i="1"/>
  <c r="T2407" i="1"/>
  <c r="N2410" i="1"/>
  <c r="O2410" i="1"/>
  <c r="P2410" i="1"/>
  <c r="T2410" i="1"/>
  <c r="N2411" i="1"/>
  <c r="O2411" i="1"/>
  <c r="P2411" i="1"/>
  <c r="T2411" i="1"/>
  <c r="N2412" i="1"/>
  <c r="O2412" i="1"/>
  <c r="P2412" i="1"/>
  <c r="T2412" i="1"/>
  <c r="N2413" i="1"/>
  <c r="O2413" i="1"/>
  <c r="P2413" i="1"/>
  <c r="T2413" i="1"/>
  <c r="N2414" i="1"/>
  <c r="O2414" i="1"/>
  <c r="P2414" i="1"/>
  <c r="T2414" i="1"/>
  <c r="N2415" i="1"/>
  <c r="O2415" i="1"/>
  <c r="P2415" i="1"/>
  <c r="T2415" i="1"/>
  <c r="N2416" i="1"/>
  <c r="O2416" i="1"/>
  <c r="P2416" i="1"/>
  <c r="T2416" i="1"/>
  <c r="N2417" i="1"/>
  <c r="O2417" i="1"/>
  <c r="P2417" i="1"/>
  <c r="T2417" i="1"/>
  <c r="N2418" i="1"/>
  <c r="O2418" i="1"/>
  <c r="P2418" i="1"/>
  <c r="T2418" i="1"/>
  <c r="N2419" i="1"/>
  <c r="O2419" i="1"/>
  <c r="P2419" i="1"/>
  <c r="T2419" i="1"/>
  <c r="N2420" i="1"/>
  <c r="O2420" i="1"/>
  <c r="P2420" i="1"/>
  <c r="T2420" i="1"/>
  <c r="N2422" i="1"/>
  <c r="O2422" i="1"/>
  <c r="P2422" i="1"/>
  <c r="T2422" i="1"/>
  <c r="N2423" i="1"/>
  <c r="O2423" i="1"/>
  <c r="P2423" i="1"/>
  <c r="T2423" i="1"/>
  <c r="N2424" i="1"/>
  <c r="O2424" i="1"/>
  <c r="P2424" i="1"/>
  <c r="T2424" i="1"/>
  <c r="N2425" i="1"/>
  <c r="O2425" i="1"/>
  <c r="P2425" i="1"/>
  <c r="T2425" i="1"/>
  <c r="N2426" i="1"/>
  <c r="O2426" i="1"/>
  <c r="P2426" i="1"/>
  <c r="T2426" i="1"/>
  <c r="N2427" i="1"/>
  <c r="O2427" i="1"/>
  <c r="P2427" i="1"/>
  <c r="T2427" i="1"/>
  <c r="N2428" i="1"/>
  <c r="O2428" i="1"/>
  <c r="P2428" i="1"/>
  <c r="T2428" i="1"/>
  <c r="N2429" i="1"/>
  <c r="O2429" i="1"/>
  <c r="P2429" i="1"/>
  <c r="T2429" i="1"/>
  <c r="N2430" i="1"/>
  <c r="O2430" i="1"/>
  <c r="P2430" i="1"/>
  <c r="T2430" i="1"/>
  <c r="N2431" i="1"/>
  <c r="O2431" i="1"/>
  <c r="P2431" i="1"/>
  <c r="T2431" i="1"/>
  <c r="N2432" i="1"/>
  <c r="O2432" i="1"/>
  <c r="P2432" i="1"/>
  <c r="T2432" i="1"/>
  <c r="N2433" i="1"/>
  <c r="O2433" i="1"/>
  <c r="P2433" i="1"/>
  <c r="T2433" i="1"/>
  <c r="N2434" i="1"/>
  <c r="O2434" i="1"/>
  <c r="P2434" i="1"/>
  <c r="T2434" i="1"/>
  <c r="N2435" i="1"/>
  <c r="O2435" i="1"/>
  <c r="P2435" i="1"/>
  <c r="T2435" i="1"/>
  <c r="N2436" i="1"/>
  <c r="O2436" i="1"/>
  <c r="P2436" i="1"/>
  <c r="T2436" i="1"/>
  <c r="N2437" i="1"/>
  <c r="O2437" i="1"/>
  <c r="P2437" i="1"/>
  <c r="T2437" i="1"/>
  <c r="N2438" i="1"/>
  <c r="O2438" i="1"/>
  <c r="P2438" i="1"/>
  <c r="T2438" i="1"/>
  <c r="N2440" i="1"/>
  <c r="O2440" i="1"/>
  <c r="P2440" i="1"/>
  <c r="T2440" i="1"/>
  <c r="N2441" i="1"/>
  <c r="O2441" i="1"/>
  <c r="P2441" i="1"/>
  <c r="T2441" i="1"/>
  <c r="N2442" i="1"/>
  <c r="O2442" i="1"/>
  <c r="P2442" i="1"/>
  <c r="T2442" i="1"/>
  <c r="N2446" i="1"/>
  <c r="O2446" i="1"/>
  <c r="P2446" i="1"/>
  <c r="T2446" i="1"/>
  <c r="N2447" i="1"/>
  <c r="O2447" i="1"/>
  <c r="P2447" i="1"/>
  <c r="T2447" i="1"/>
  <c r="N2449" i="1"/>
  <c r="O2449" i="1"/>
  <c r="P2449" i="1"/>
  <c r="T2449" i="1"/>
  <c r="N2450" i="1"/>
  <c r="O2450" i="1"/>
  <c r="P2450" i="1"/>
  <c r="T2450" i="1"/>
  <c r="N2451" i="1"/>
  <c r="O2451" i="1"/>
  <c r="P2451" i="1"/>
  <c r="T2451" i="1"/>
  <c r="N2452" i="1"/>
  <c r="O2452" i="1"/>
  <c r="P2452" i="1"/>
  <c r="T2452" i="1"/>
  <c r="N2453" i="1"/>
  <c r="O2453" i="1"/>
  <c r="P2453" i="1"/>
  <c r="T2453" i="1"/>
  <c r="N2454" i="1"/>
  <c r="O2454" i="1"/>
  <c r="P2454" i="1"/>
  <c r="T2454" i="1"/>
  <c r="N2455" i="1"/>
  <c r="O2455" i="1"/>
  <c r="P2455" i="1"/>
  <c r="T2455" i="1"/>
  <c r="N2456" i="1"/>
  <c r="O2456" i="1"/>
  <c r="P2456" i="1"/>
  <c r="T2456" i="1"/>
  <c r="N2457" i="1"/>
  <c r="O2457" i="1"/>
  <c r="P2457" i="1"/>
  <c r="T2457" i="1"/>
  <c r="N2458" i="1"/>
  <c r="O2458" i="1"/>
  <c r="P2458" i="1"/>
  <c r="T2458" i="1"/>
  <c r="N2459" i="1"/>
  <c r="O2459" i="1"/>
  <c r="P2459" i="1"/>
  <c r="T2459" i="1"/>
  <c r="N2460" i="1"/>
  <c r="O2460" i="1"/>
  <c r="P2460" i="1"/>
  <c r="T2460" i="1"/>
  <c r="N2461" i="1"/>
  <c r="O2461" i="1"/>
  <c r="P2461" i="1"/>
  <c r="T2461" i="1"/>
  <c r="N2462" i="1"/>
  <c r="O2462" i="1"/>
  <c r="P2462" i="1"/>
  <c r="T2462" i="1"/>
  <c r="N2463" i="1"/>
  <c r="O2463" i="1"/>
  <c r="P2463" i="1"/>
  <c r="T2463" i="1"/>
  <c r="N2465" i="1"/>
  <c r="O2465" i="1"/>
  <c r="P2465" i="1"/>
  <c r="T2465" i="1"/>
  <c r="N2466" i="1"/>
  <c r="O2466" i="1"/>
  <c r="P2466" i="1"/>
  <c r="T2466" i="1"/>
  <c r="N2467" i="1"/>
  <c r="O2467" i="1"/>
  <c r="P2467" i="1"/>
  <c r="T2467" i="1"/>
  <c r="N2468" i="1"/>
  <c r="O2468" i="1"/>
  <c r="P2468" i="1"/>
  <c r="T2468" i="1"/>
  <c r="N2469" i="1"/>
  <c r="O2469" i="1"/>
  <c r="P2469" i="1"/>
  <c r="T2469" i="1"/>
  <c r="N2470" i="1"/>
  <c r="O2470" i="1"/>
  <c r="P2470" i="1"/>
  <c r="T2470" i="1"/>
  <c r="N2471" i="1"/>
  <c r="O2471" i="1"/>
  <c r="P2471" i="1"/>
  <c r="T2471" i="1"/>
  <c r="N2472" i="1"/>
  <c r="O2472" i="1"/>
  <c r="P2472" i="1"/>
  <c r="T2472" i="1"/>
  <c r="N2473" i="1"/>
  <c r="O2473" i="1"/>
  <c r="P2473" i="1"/>
  <c r="T2473" i="1"/>
  <c r="N2474" i="1"/>
  <c r="O2474" i="1"/>
  <c r="P2474" i="1"/>
  <c r="T2474" i="1"/>
  <c r="N2477" i="1"/>
  <c r="O2477" i="1"/>
  <c r="P2477" i="1"/>
  <c r="T2477" i="1"/>
  <c r="N2478" i="1"/>
  <c r="O2478" i="1"/>
  <c r="P2478" i="1"/>
  <c r="T2478" i="1"/>
  <c r="N2479" i="1"/>
  <c r="O2479" i="1"/>
  <c r="P2479" i="1"/>
  <c r="T2479" i="1"/>
  <c r="N2480" i="1"/>
  <c r="O2480" i="1"/>
  <c r="P2480" i="1"/>
  <c r="T2480" i="1"/>
  <c r="O2482" i="1"/>
  <c r="P2482" i="1"/>
  <c r="T2482" i="1"/>
  <c r="N2483" i="1"/>
  <c r="O2483" i="1"/>
  <c r="P2483" i="1"/>
  <c r="T2483" i="1"/>
  <c r="N2485" i="1"/>
  <c r="O2485" i="1"/>
  <c r="P2485" i="1"/>
  <c r="T2485" i="1"/>
  <c r="N2486" i="1"/>
  <c r="O2486" i="1"/>
  <c r="P2486" i="1"/>
  <c r="T2486" i="1"/>
  <c r="N2487" i="1"/>
  <c r="O2487" i="1"/>
  <c r="P2487" i="1"/>
  <c r="T2487" i="1"/>
  <c r="O2488" i="1"/>
  <c r="P2488" i="1"/>
  <c r="T2488" i="1"/>
  <c r="N2489" i="1"/>
  <c r="O2489" i="1"/>
  <c r="P2489" i="1"/>
  <c r="T2489" i="1"/>
  <c r="N2490" i="1"/>
  <c r="O2490" i="1"/>
  <c r="P2490" i="1"/>
  <c r="T2490" i="1"/>
  <c r="N2491" i="1"/>
  <c r="O2491" i="1"/>
  <c r="P2491" i="1"/>
  <c r="T2491" i="1"/>
  <c r="O2492" i="1"/>
  <c r="P2492" i="1"/>
  <c r="T2492" i="1"/>
  <c r="N2493" i="1"/>
  <c r="O2493" i="1"/>
  <c r="P2493" i="1"/>
  <c r="T2493" i="1"/>
  <c r="N2494" i="1"/>
  <c r="O2494" i="1"/>
  <c r="P2494" i="1"/>
  <c r="T2494" i="1"/>
  <c r="N2495" i="1"/>
  <c r="O2495" i="1"/>
  <c r="P2495" i="1"/>
  <c r="T2495" i="1"/>
  <c r="N2497" i="1"/>
  <c r="O2497" i="1"/>
  <c r="P2497" i="1"/>
  <c r="T2497" i="1"/>
  <c r="N2498" i="1"/>
  <c r="O2498" i="1"/>
  <c r="P2498" i="1"/>
  <c r="T2498" i="1"/>
  <c r="O2499" i="1"/>
  <c r="P2499" i="1"/>
  <c r="T2499" i="1"/>
  <c r="N2500" i="1"/>
  <c r="O2500" i="1"/>
  <c r="P2500" i="1"/>
  <c r="T2500" i="1"/>
  <c r="N2501" i="1"/>
  <c r="O2501" i="1"/>
  <c r="P2501" i="1"/>
  <c r="T2501" i="1"/>
  <c r="N2502" i="1"/>
  <c r="O2502" i="1"/>
  <c r="P2502" i="1"/>
  <c r="T2502" i="1"/>
  <c r="N2503" i="1"/>
  <c r="O2503" i="1"/>
  <c r="P2503" i="1"/>
  <c r="T2503" i="1"/>
  <c r="N2504" i="1"/>
  <c r="O2504" i="1"/>
  <c r="P2504" i="1"/>
  <c r="T2504" i="1"/>
  <c r="N2507" i="1"/>
  <c r="O2507" i="1"/>
  <c r="P2507" i="1"/>
  <c r="T2507" i="1"/>
  <c r="N2509" i="1"/>
  <c r="O2509" i="1"/>
  <c r="P2509" i="1"/>
  <c r="T2509" i="1"/>
  <c r="N2511" i="1"/>
  <c r="O2511" i="1"/>
  <c r="P2511" i="1"/>
  <c r="T2511" i="1"/>
  <c r="N2512" i="1"/>
  <c r="O2512" i="1"/>
  <c r="P2512" i="1"/>
  <c r="T2512" i="1"/>
  <c r="N2514" i="1"/>
  <c r="O2514" i="1"/>
  <c r="P2514" i="1"/>
  <c r="T2514" i="1"/>
  <c r="O2516" i="1"/>
  <c r="P2516" i="1"/>
  <c r="T2516" i="1"/>
  <c r="N2517" i="1"/>
  <c r="O2517" i="1"/>
  <c r="P2517" i="1"/>
  <c r="T2517" i="1"/>
  <c r="N2519" i="1"/>
  <c r="O2519" i="1"/>
  <c r="P2519" i="1"/>
  <c r="T2519" i="1"/>
  <c r="N2520" i="1"/>
  <c r="O2520" i="1"/>
  <c r="P2520" i="1"/>
  <c r="T2520" i="1"/>
  <c r="N2522" i="1"/>
  <c r="O2522" i="1"/>
  <c r="P2522" i="1"/>
  <c r="T2522" i="1"/>
  <c r="N2523" i="1"/>
  <c r="O2523" i="1"/>
  <c r="P2523" i="1"/>
  <c r="T2523" i="1"/>
  <c r="N2525" i="1"/>
  <c r="O2525" i="1"/>
  <c r="P2525" i="1"/>
  <c r="T2525" i="1"/>
  <c r="N2527" i="1"/>
  <c r="O2527" i="1"/>
  <c r="P2527" i="1"/>
  <c r="T2527" i="1"/>
  <c r="N2529" i="1"/>
  <c r="O2529" i="1"/>
  <c r="P2529" i="1"/>
  <c r="T2529" i="1"/>
  <c r="N2531" i="1"/>
  <c r="O2531" i="1"/>
  <c r="P2531" i="1"/>
  <c r="T2531" i="1"/>
  <c r="N2532" i="1"/>
  <c r="O2532" i="1"/>
  <c r="P2532" i="1"/>
  <c r="T2532" i="1"/>
  <c r="N2534" i="1"/>
  <c r="O2534" i="1"/>
  <c r="P2534" i="1"/>
  <c r="T2534" i="1"/>
  <c r="O2536" i="1"/>
  <c r="P2536" i="1"/>
  <c r="T2536" i="1"/>
  <c r="N2538" i="1"/>
  <c r="O2538" i="1"/>
  <c r="P2538" i="1"/>
  <c r="T2538" i="1"/>
  <c r="N2539" i="1"/>
  <c r="O2539" i="1"/>
  <c r="P2539" i="1"/>
  <c r="T2539" i="1"/>
  <c r="N2540" i="1"/>
  <c r="O2540" i="1"/>
  <c r="P2540" i="1"/>
  <c r="T2540" i="1"/>
  <c r="N2543" i="1"/>
  <c r="O2543" i="1"/>
  <c r="P2543" i="1"/>
  <c r="T2543" i="1"/>
  <c r="N2544" i="1"/>
  <c r="O2544" i="1"/>
  <c r="P2544" i="1"/>
  <c r="T2544" i="1"/>
  <c r="N2546" i="1"/>
  <c r="O2546" i="1"/>
  <c r="P2546" i="1"/>
  <c r="T2546" i="1"/>
  <c r="N2548" i="1"/>
  <c r="O2548" i="1"/>
  <c r="P2548" i="1"/>
  <c r="T2548" i="1"/>
  <c r="N2550" i="1"/>
  <c r="O2550" i="1"/>
  <c r="P2550" i="1"/>
  <c r="T2550" i="1"/>
  <c r="N2551" i="1"/>
  <c r="O2551" i="1"/>
  <c r="P2551" i="1"/>
  <c r="T2551" i="1"/>
  <c r="N2554" i="1"/>
  <c r="O2554" i="1"/>
  <c r="P2554" i="1"/>
  <c r="T2554" i="1"/>
  <c r="O2555" i="1"/>
  <c r="P2555" i="1"/>
  <c r="T2555" i="1"/>
  <c r="N2556" i="1"/>
  <c r="O2556" i="1"/>
  <c r="P2556" i="1"/>
  <c r="T2556" i="1"/>
  <c r="N2557" i="1"/>
  <c r="O2557" i="1"/>
  <c r="P2557" i="1"/>
  <c r="T2557" i="1"/>
  <c r="N2558" i="1"/>
  <c r="O2558" i="1"/>
  <c r="P2558" i="1"/>
  <c r="T2558" i="1"/>
  <c r="O2559" i="1"/>
  <c r="P2559" i="1"/>
  <c r="T2559" i="1"/>
  <c r="N2561" i="1"/>
  <c r="O2561" i="1"/>
  <c r="P2561" i="1"/>
  <c r="T2561" i="1"/>
  <c r="N2562" i="1"/>
  <c r="O2562" i="1"/>
  <c r="P2562" i="1"/>
  <c r="T2562" i="1"/>
  <c r="N2564" i="1"/>
  <c r="O2564" i="1"/>
  <c r="P2564" i="1"/>
  <c r="T2564" i="1"/>
  <c r="N2567" i="1"/>
  <c r="O2567" i="1"/>
  <c r="P2567" i="1"/>
  <c r="T2567" i="1"/>
  <c r="N2568" i="1"/>
  <c r="O2568" i="1"/>
  <c r="P2568" i="1"/>
  <c r="T2568" i="1"/>
  <c r="N2569" i="1"/>
  <c r="O2569" i="1"/>
  <c r="P2569" i="1"/>
  <c r="T2569" i="1"/>
  <c r="N2570" i="1"/>
  <c r="O2570" i="1"/>
  <c r="P2570" i="1"/>
  <c r="T2570" i="1"/>
  <c r="N2571" i="1"/>
  <c r="O2571" i="1"/>
  <c r="P2571" i="1"/>
  <c r="T2571" i="1"/>
  <c r="N2572" i="1"/>
  <c r="O2572" i="1"/>
  <c r="P2572" i="1"/>
  <c r="T2572" i="1"/>
  <c r="O2573" i="1"/>
  <c r="P2573" i="1"/>
  <c r="T2573" i="1"/>
  <c r="N2574" i="1"/>
  <c r="O2574" i="1"/>
  <c r="P2574" i="1"/>
  <c r="T2574" i="1"/>
  <c r="N2576" i="1"/>
  <c r="O2576" i="1"/>
  <c r="P2576" i="1"/>
  <c r="T2576" i="1"/>
  <c r="N2577" i="1"/>
  <c r="O2577" i="1"/>
  <c r="P2577" i="1"/>
  <c r="T2577" i="1"/>
  <c r="N2578" i="1"/>
  <c r="O2578" i="1"/>
  <c r="P2578" i="1"/>
  <c r="T2578" i="1"/>
  <c r="N2580" i="1"/>
  <c r="O2580" i="1"/>
  <c r="P2580" i="1"/>
  <c r="T2580" i="1"/>
  <c r="N2582" i="1"/>
  <c r="O2582" i="1"/>
  <c r="P2582" i="1"/>
  <c r="T2582" i="1"/>
  <c r="N2583" i="1"/>
  <c r="O2583" i="1"/>
  <c r="P2583" i="1"/>
  <c r="T2583" i="1"/>
  <c r="N2584" i="1"/>
  <c r="O2584" i="1"/>
  <c r="P2584" i="1"/>
  <c r="T2584" i="1"/>
  <c r="N2585" i="1"/>
  <c r="O2585" i="1"/>
  <c r="P2585" i="1"/>
  <c r="T2585" i="1"/>
  <c r="N2586" i="1"/>
  <c r="O2586" i="1"/>
  <c r="P2586" i="1"/>
  <c r="T2586" i="1"/>
  <c r="O2587" i="1"/>
  <c r="P2587" i="1"/>
  <c r="T2587" i="1"/>
  <c r="N2589" i="1"/>
  <c r="O2589" i="1"/>
  <c r="P2589" i="1"/>
  <c r="T2589" i="1"/>
  <c r="N2590" i="1"/>
  <c r="O2590" i="1"/>
  <c r="P2590" i="1"/>
  <c r="T2590" i="1"/>
  <c r="N2591" i="1"/>
  <c r="O2591" i="1"/>
  <c r="P2591" i="1"/>
  <c r="T2591" i="1"/>
  <c r="N2594" i="1"/>
  <c r="O2594" i="1"/>
  <c r="P2594" i="1"/>
  <c r="T2594" i="1"/>
  <c r="N2599" i="1"/>
  <c r="O2599" i="1"/>
  <c r="P2599" i="1"/>
  <c r="T2599" i="1"/>
  <c r="O2601" i="1"/>
  <c r="P2601" i="1"/>
  <c r="T2601" i="1"/>
  <c r="N2602" i="1"/>
  <c r="O2602" i="1"/>
  <c r="P2602" i="1"/>
  <c r="T2602" i="1"/>
  <c r="N2603" i="1"/>
  <c r="O2603" i="1"/>
  <c r="P2603" i="1"/>
  <c r="T2603" i="1"/>
  <c r="N2605" i="1"/>
  <c r="O2605" i="1"/>
  <c r="P2605" i="1"/>
  <c r="T2605" i="1"/>
  <c r="N2607" i="1"/>
  <c r="O2607" i="1"/>
  <c r="P2607" i="1"/>
  <c r="T2607" i="1"/>
  <c r="N2608" i="1"/>
  <c r="O2608" i="1"/>
  <c r="P2608" i="1"/>
  <c r="T2608" i="1"/>
  <c r="N2609" i="1"/>
  <c r="O2609" i="1"/>
  <c r="P2609" i="1"/>
  <c r="T2609" i="1"/>
  <c r="N2610" i="1"/>
  <c r="O2610" i="1"/>
  <c r="P2610" i="1"/>
  <c r="T2610" i="1"/>
  <c r="N2612" i="1"/>
  <c r="O2612" i="1"/>
  <c r="P2612" i="1"/>
  <c r="T2612" i="1"/>
  <c r="O2613" i="1"/>
  <c r="P2613" i="1"/>
  <c r="T2613" i="1"/>
  <c r="N2614" i="1"/>
  <c r="O2614" i="1"/>
  <c r="P2614" i="1"/>
  <c r="T2614" i="1"/>
  <c r="N2615" i="1"/>
  <c r="O2615" i="1"/>
  <c r="P2615" i="1"/>
  <c r="T2615" i="1"/>
  <c r="N2616" i="1"/>
  <c r="O2616" i="1"/>
  <c r="P2616" i="1"/>
  <c r="T2616" i="1"/>
  <c r="O2617" i="1"/>
  <c r="P2617" i="1"/>
  <c r="T2617" i="1"/>
  <c r="N2620" i="1"/>
  <c r="O2620" i="1"/>
  <c r="P2620" i="1"/>
  <c r="T2620" i="1"/>
  <c r="N2621" i="1"/>
  <c r="O2621" i="1"/>
  <c r="P2621" i="1"/>
  <c r="T2621" i="1"/>
  <c r="N2622" i="1"/>
  <c r="O2622" i="1"/>
  <c r="P2622" i="1"/>
  <c r="T2622" i="1"/>
  <c r="N2623" i="1"/>
  <c r="O2623" i="1"/>
  <c r="P2623" i="1"/>
  <c r="T2623" i="1"/>
  <c r="O2625" i="1"/>
  <c r="P2625" i="1"/>
  <c r="T2625" i="1"/>
  <c r="N2626" i="1"/>
  <c r="O2626" i="1"/>
  <c r="P2626" i="1"/>
  <c r="T2626" i="1"/>
  <c r="N2627" i="1"/>
  <c r="O2627" i="1"/>
  <c r="P2627" i="1"/>
  <c r="T2627" i="1"/>
  <c r="N2628" i="1"/>
  <c r="O2628" i="1"/>
  <c r="P2628" i="1"/>
  <c r="T2628" i="1"/>
  <c r="N2630" i="1"/>
  <c r="O2630" i="1"/>
  <c r="P2630" i="1"/>
  <c r="T2630" i="1"/>
  <c r="O2633" i="1"/>
  <c r="P2633" i="1"/>
  <c r="T2633" i="1"/>
  <c r="N2634" i="1"/>
  <c r="O2634" i="1"/>
  <c r="P2634" i="1"/>
  <c r="T2634" i="1"/>
  <c r="N2635" i="1"/>
  <c r="O2635" i="1"/>
  <c r="P2635" i="1"/>
  <c r="T2635" i="1"/>
  <c r="N2636" i="1"/>
  <c r="O2636" i="1"/>
  <c r="P2636" i="1"/>
  <c r="T2636" i="1"/>
  <c r="O2637" i="1"/>
  <c r="P2637" i="1"/>
  <c r="T2637" i="1"/>
  <c r="N2638" i="1"/>
  <c r="O2638" i="1"/>
  <c r="P2638" i="1"/>
  <c r="T2638" i="1"/>
  <c r="N2639" i="1"/>
  <c r="O2639" i="1"/>
  <c r="P2639" i="1"/>
  <c r="T2639" i="1"/>
  <c r="N2640" i="1"/>
  <c r="O2640" i="1"/>
  <c r="P2640" i="1"/>
  <c r="T2640" i="1"/>
  <c r="O2641" i="1"/>
  <c r="P2641" i="1"/>
  <c r="T2641" i="1"/>
  <c r="N2642" i="1"/>
  <c r="O2642" i="1"/>
  <c r="P2642" i="1"/>
  <c r="T2642" i="1"/>
  <c r="N2644" i="1"/>
  <c r="O2644" i="1"/>
  <c r="P2644" i="1"/>
  <c r="T2644" i="1"/>
  <c r="N2645" i="1"/>
  <c r="O2645" i="1"/>
  <c r="P2645" i="1"/>
  <c r="T2645" i="1"/>
  <c r="N2646" i="1"/>
  <c r="O2646" i="1"/>
  <c r="P2646" i="1"/>
  <c r="T2646" i="1"/>
  <c r="O2647" i="1"/>
  <c r="P2647" i="1"/>
  <c r="T2647" i="1"/>
  <c r="N2648" i="1"/>
  <c r="O2648" i="1"/>
  <c r="P2648" i="1"/>
  <c r="T2648" i="1"/>
  <c r="N2649" i="1"/>
  <c r="O2649" i="1"/>
  <c r="P2649" i="1"/>
  <c r="T2649" i="1"/>
  <c r="N2650" i="1"/>
  <c r="O2650" i="1"/>
  <c r="P2650" i="1"/>
  <c r="T2650" i="1"/>
  <c r="O2651" i="1"/>
  <c r="P2651" i="1"/>
  <c r="T2651" i="1"/>
  <c r="N2652" i="1"/>
  <c r="O2652" i="1"/>
  <c r="P2652" i="1"/>
  <c r="T2652" i="1"/>
  <c r="N2653" i="1"/>
  <c r="O2653" i="1"/>
  <c r="P2653" i="1"/>
  <c r="T2653" i="1"/>
  <c r="N2654" i="1"/>
  <c r="O2654" i="1"/>
  <c r="P2654" i="1"/>
  <c r="T2654" i="1"/>
  <c r="N2655" i="1"/>
  <c r="O2655" i="1"/>
  <c r="P2655" i="1"/>
  <c r="T2655" i="1"/>
  <c r="O2656" i="1"/>
  <c r="P2656" i="1"/>
  <c r="T2656" i="1"/>
  <c r="N2657" i="1"/>
  <c r="O2657" i="1"/>
  <c r="P2657" i="1"/>
  <c r="T2657" i="1"/>
  <c r="N2658" i="1"/>
  <c r="O2658" i="1"/>
  <c r="P2658" i="1"/>
  <c r="T2658" i="1"/>
  <c r="N2659" i="1"/>
  <c r="O2659" i="1"/>
  <c r="P2659" i="1"/>
  <c r="T2659" i="1"/>
  <c r="O2663" i="1"/>
  <c r="P2663" i="1"/>
  <c r="T2663" i="1"/>
  <c r="N2664" i="1"/>
  <c r="O2664" i="1"/>
  <c r="P2664" i="1"/>
  <c r="T2664" i="1"/>
  <c r="N2665" i="1"/>
  <c r="O2665" i="1"/>
  <c r="P2665" i="1"/>
  <c r="T2665" i="1"/>
  <c r="N2668" i="1"/>
  <c r="O2668" i="1"/>
  <c r="P2668" i="1"/>
  <c r="T2668" i="1"/>
  <c r="N2670" i="1"/>
  <c r="O2670" i="1"/>
  <c r="P2670" i="1"/>
  <c r="T2670" i="1"/>
  <c r="N2672" i="1"/>
  <c r="O2672" i="1"/>
  <c r="P2672" i="1"/>
  <c r="T2672" i="1"/>
  <c r="O2674" i="1"/>
  <c r="P2674" i="1"/>
  <c r="T2674" i="1"/>
  <c r="N2675" i="1"/>
  <c r="O2675" i="1"/>
  <c r="P2675" i="1"/>
  <c r="T2675" i="1"/>
  <c r="N2676" i="1"/>
  <c r="O2676" i="1"/>
  <c r="P2676" i="1"/>
  <c r="T2676" i="1"/>
  <c r="N2677" i="1"/>
  <c r="O2677" i="1"/>
  <c r="P2677" i="1"/>
  <c r="T2677" i="1"/>
  <c r="N2678" i="1"/>
  <c r="O2678" i="1"/>
  <c r="P2678" i="1"/>
  <c r="T2678" i="1"/>
  <c r="N2679" i="1"/>
  <c r="O2679" i="1"/>
  <c r="P2679" i="1"/>
  <c r="T2679" i="1"/>
  <c r="O2680" i="1"/>
  <c r="P2680" i="1"/>
  <c r="T2680" i="1"/>
  <c r="N2681" i="1"/>
  <c r="O2681" i="1"/>
  <c r="P2681" i="1"/>
  <c r="T2681" i="1"/>
  <c r="N2682" i="1"/>
  <c r="O2682" i="1"/>
  <c r="P2682" i="1"/>
  <c r="T2682" i="1"/>
  <c r="N2683" i="1"/>
  <c r="O2683" i="1"/>
  <c r="P2683" i="1"/>
  <c r="T2683" i="1"/>
  <c r="N2684" i="1"/>
  <c r="O2684" i="1"/>
  <c r="P2684" i="1"/>
  <c r="T2684" i="1"/>
  <c r="O2685" i="1"/>
  <c r="P2685" i="1"/>
  <c r="T2685" i="1"/>
  <c r="N2686" i="1"/>
  <c r="O2686" i="1"/>
  <c r="P2686" i="1"/>
  <c r="T2686" i="1"/>
  <c r="N2687" i="1"/>
  <c r="O2687" i="1"/>
  <c r="P2687" i="1"/>
  <c r="T2687" i="1"/>
  <c r="N2688" i="1"/>
  <c r="O2688" i="1"/>
  <c r="P2688" i="1"/>
  <c r="T2688" i="1"/>
  <c r="N2693" i="1"/>
  <c r="O2693" i="1"/>
  <c r="P2693" i="1"/>
  <c r="T2693" i="1"/>
  <c r="N2694" i="1"/>
  <c r="O2694" i="1"/>
  <c r="P2694" i="1"/>
  <c r="T2694" i="1"/>
  <c r="O2696" i="1"/>
  <c r="P2696" i="1"/>
  <c r="T2696" i="1"/>
  <c r="N2697" i="1"/>
  <c r="O2697" i="1"/>
  <c r="P2697" i="1"/>
  <c r="T2697" i="1"/>
  <c r="N2698" i="1"/>
  <c r="O2698" i="1"/>
  <c r="P2698" i="1"/>
  <c r="T2698" i="1"/>
  <c r="N2700" i="1"/>
  <c r="O2700" i="1"/>
  <c r="P2700" i="1"/>
  <c r="T2700" i="1"/>
  <c r="O2701" i="1"/>
  <c r="P2701" i="1"/>
  <c r="T2701" i="1"/>
  <c r="N2702" i="1"/>
  <c r="O2702" i="1"/>
  <c r="P2702" i="1"/>
  <c r="T2702" i="1"/>
  <c r="N2703" i="1"/>
  <c r="O2703" i="1"/>
  <c r="P2703" i="1"/>
  <c r="T2703" i="1"/>
  <c r="N2705" i="1"/>
  <c r="O2705" i="1"/>
  <c r="P2705" i="1"/>
  <c r="T2705" i="1"/>
  <c r="N2706" i="1"/>
  <c r="O2706" i="1"/>
  <c r="P2706" i="1"/>
  <c r="T2706" i="1"/>
  <c r="O2707" i="1"/>
  <c r="P2707" i="1"/>
  <c r="T2707" i="1"/>
  <c r="N2708" i="1"/>
  <c r="O2708" i="1"/>
  <c r="P2708" i="1"/>
  <c r="T2708" i="1"/>
  <c r="N2709" i="1"/>
  <c r="O2709" i="1"/>
  <c r="P2709" i="1"/>
  <c r="T2709" i="1"/>
  <c r="N2711" i="1"/>
  <c r="O2711" i="1"/>
  <c r="P2711" i="1"/>
  <c r="T2711" i="1"/>
  <c r="N2712" i="1"/>
  <c r="O2712" i="1"/>
  <c r="P2712" i="1"/>
  <c r="T2712" i="1"/>
  <c r="N2713" i="1"/>
  <c r="O2713" i="1"/>
  <c r="P2713" i="1"/>
  <c r="T2713" i="1"/>
  <c r="N2714" i="1"/>
  <c r="O2714" i="1"/>
  <c r="P2714" i="1"/>
  <c r="T2714" i="1"/>
  <c r="O2715" i="1"/>
  <c r="P2715" i="1"/>
  <c r="T2715" i="1"/>
  <c r="N2716" i="1"/>
  <c r="O2716" i="1"/>
  <c r="P2716" i="1"/>
  <c r="T2716" i="1"/>
  <c r="N2718" i="1"/>
  <c r="O2718" i="1"/>
  <c r="P2718" i="1"/>
  <c r="T2718" i="1"/>
  <c r="N2719" i="1"/>
  <c r="O2719" i="1"/>
  <c r="P2719" i="1"/>
  <c r="T2719" i="1"/>
  <c r="O2720" i="1"/>
  <c r="P2720" i="1"/>
  <c r="T2720" i="1"/>
  <c r="N2723" i="1"/>
  <c r="O2723" i="1"/>
  <c r="P2723" i="1"/>
  <c r="T2723" i="1"/>
  <c r="N2724" i="1"/>
  <c r="O2724" i="1"/>
  <c r="P2724" i="1"/>
  <c r="T2724" i="1"/>
  <c r="N2725" i="1"/>
  <c r="O2725" i="1"/>
  <c r="P2725" i="1"/>
  <c r="T2725" i="1"/>
  <c r="N2726" i="1"/>
  <c r="O2726" i="1"/>
  <c r="P2726" i="1"/>
  <c r="T2726" i="1"/>
  <c r="N2727" i="1"/>
  <c r="O2727" i="1"/>
  <c r="P2727" i="1"/>
  <c r="T2727" i="1"/>
  <c r="N2728" i="1"/>
  <c r="O2728" i="1"/>
  <c r="P2728" i="1"/>
  <c r="T2728" i="1"/>
  <c r="O2729" i="1"/>
  <c r="P2729" i="1"/>
  <c r="T2729" i="1"/>
  <c r="N2731" i="1"/>
  <c r="O2731" i="1"/>
  <c r="P2731" i="1"/>
  <c r="T2731" i="1"/>
  <c r="N2732" i="1"/>
  <c r="O2732" i="1"/>
  <c r="P2732" i="1"/>
  <c r="T2732" i="1"/>
  <c r="N2733" i="1"/>
  <c r="O2733" i="1"/>
  <c r="P2733" i="1"/>
  <c r="T2733" i="1"/>
  <c r="O2734" i="1"/>
  <c r="P2734" i="1"/>
  <c r="T2734" i="1"/>
  <c r="N2735" i="1"/>
  <c r="O2735" i="1"/>
  <c r="P2735" i="1"/>
  <c r="T2735" i="1"/>
  <c r="N2736" i="1"/>
  <c r="O2736" i="1"/>
  <c r="P2736" i="1"/>
  <c r="T2736" i="1"/>
  <c r="N2737" i="1"/>
  <c r="O2737" i="1"/>
  <c r="P2737" i="1"/>
  <c r="T2737" i="1"/>
  <c r="O2738" i="1"/>
  <c r="P2738" i="1"/>
  <c r="T2738" i="1"/>
  <c r="N2740" i="1"/>
  <c r="O2740" i="1"/>
  <c r="P2740" i="1"/>
  <c r="T2740" i="1"/>
  <c r="N2741" i="1"/>
  <c r="O2741" i="1"/>
  <c r="P2741" i="1"/>
  <c r="T2741" i="1"/>
  <c r="N2742" i="1"/>
  <c r="O2742" i="1"/>
  <c r="P2742" i="1"/>
  <c r="T2742" i="1"/>
  <c r="N2743" i="1"/>
  <c r="O2743" i="1"/>
  <c r="P2743" i="1"/>
  <c r="T2743" i="1"/>
  <c r="N2744" i="1"/>
  <c r="O2744" i="1"/>
  <c r="P2744" i="1"/>
  <c r="T2744" i="1"/>
  <c r="N2746" i="1"/>
  <c r="O2746" i="1"/>
  <c r="P2746" i="1"/>
  <c r="T2746" i="1"/>
  <c r="N2747" i="1"/>
  <c r="O2747" i="1"/>
  <c r="P2747" i="1"/>
  <c r="T2747" i="1"/>
  <c r="N2749" i="1"/>
  <c r="O2749" i="1"/>
  <c r="P2749" i="1"/>
  <c r="T2749" i="1"/>
  <c r="N2750" i="1"/>
  <c r="O2750" i="1"/>
  <c r="P2750" i="1"/>
  <c r="T2750" i="1"/>
  <c r="N2751" i="1"/>
  <c r="O2751" i="1"/>
  <c r="P2751" i="1"/>
  <c r="T2751" i="1"/>
  <c r="N2752" i="1"/>
  <c r="O2752" i="1"/>
  <c r="P2752" i="1"/>
  <c r="T2752" i="1"/>
  <c r="N2753" i="1"/>
  <c r="O2753" i="1"/>
  <c r="P2753" i="1"/>
  <c r="T2753" i="1"/>
  <c r="N2754" i="1"/>
  <c r="O2754" i="1"/>
  <c r="P2754" i="1"/>
  <c r="T2754" i="1"/>
  <c r="O2755" i="1"/>
  <c r="P2755" i="1"/>
  <c r="T2755" i="1"/>
  <c r="N2756" i="1"/>
  <c r="O2756" i="1"/>
  <c r="P2756" i="1"/>
  <c r="T2756" i="1"/>
  <c r="N2757" i="1"/>
  <c r="O2757" i="1"/>
  <c r="P2757" i="1"/>
  <c r="T2757" i="1"/>
  <c r="N2758" i="1"/>
  <c r="O2758" i="1"/>
  <c r="P2758" i="1"/>
  <c r="T2758" i="1"/>
  <c r="N2759" i="1"/>
  <c r="O2759" i="1"/>
  <c r="P2759" i="1"/>
  <c r="T2759" i="1"/>
  <c r="N2760" i="1"/>
  <c r="O2760" i="1"/>
  <c r="P2760" i="1"/>
  <c r="T2760" i="1"/>
  <c r="O2761" i="1"/>
  <c r="P2761" i="1"/>
  <c r="T2761" i="1"/>
  <c r="N2762" i="1"/>
  <c r="O2762" i="1"/>
  <c r="P2762" i="1"/>
  <c r="T2762" i="1"/>
  <c r="N2763" i="1"/>
  <c r="O2763" i="1"/>
  <c r="P2763" i="1"/>
  <c r="T2763" i="1"/>
  <c r="N2765" i="1"/>
  <c r="O2765" i="1"/>
  <c r="P2765" i="1"/>
  <c r="T2765" i="1"/>
  <c r="N2766" i="1"/>
  <c r="O2766" i="1"/>
  <c r="P2766" i="1"/>
  <c r="T2766" i="1"/>
  <c r="N2767" i="1"/>
  <c r="O2767" i="1"/>
  <c r="P2767" i="1"/>
  <c r="T2767" i="1"/>
  <c r="N2768" i="1"/>
  <c r="O2768" i="1"/>
  <c r="P2768" i="1"/>
  <c r="T2768" i="1"/>
  <c r="N2769" i="1"/>
  <c r="O2769" i="1"/>
  <c r="P2769" i="1"/>
  <c r="T2769" i="1"/>
  <c r="N2770" i="1"/>
  <c r="O2770" i="1"/>
  <c r="P2770" i="1"/>
  <c r="T2770" i="1"/>
  <c r="N2771" i="1"/>
  <c r="O2771" i="1"/>
  <c r="P2771" i="1"/>
  <c r="T2771" i="1"/>
  <c r="N2773" i="1"/>
  <c r="O2773" i="1"/>
  <c r="P2773" i="1"/>
  <c r="T2773" i="1"/>
  <c r="O2774" i="1"/>
  <c r="P2774" i="1"/>
  <c r="T2774" i="1"/>
  <c r="N2775" i="1"/>
  <c r="O2775" i="1"/>
  <c r="P2775" i="1"/>
  <c r="T2775" i="1"/>
  <c r="N2776" i="1"/>
  <c r="O2776" i="1"/>
  <c r="P2776" i="1"/>
  <c r="T2776" i="1"/>
  <c r="N2778" i="1"/>
  <c r="O2778" i="1"/>
  <c r="P2778" i="1"/>
  <c r="T2778" i="1"/>
  <c r="O2779" i="1"/>
  <c r="P2779" i="1"/>
  <c r="T2779" i="1"/>
  <c r="N2780" i="1"/>
  <c r="O2780" i="1"/>
  <c r="P2780" i="1"/>
  <c r="T2780" i="1"/>
  <c r="N2781" i="1"/>
  <c r="O2781" i="1"/>
  <c r="P2781" i="1"/>
  <c r="T2781" i="1"/>
  <c r="N2783" i="1"/>
  <c r="O2783" i="1"/>
  <c r="P2783" i="1"/>
  <c r="T2783" i="1"/>
  <c r="N2784" i="1"/>
  <c r="O2784" i="1"/>
  <c r="P2784" i="1"/>
  <c r="T2784" i="1"/>
  <c r="N2785" i="1"/>
  <c r="O2785" i="1"/>
  <c r="P2785" i="1"/>
  <c r="T2785" i="1"/>
  <c r="N2786" i="1"/>
  <c r="O2786" i="1"/>
  <c r="P2786" i="1"/>
  <c r="T2786" i="1"/>
  <c r="N2787" i="1"/>
  <c r="O2787" i="1"/>
  <c r="P2787" i="1"/>
  <c r="T2787" i="1"/>
  <c r="O2788" i="1"/>
  <c r="P2788" i="1"/>
  <c r="T2788" i="1"/>
  <c r="N2790" i="1"/>
  <c r="O2790" i="1"/>
  <c r="P2790" i="1"/>
  <c r="T2790" i="1"/>
  <c r="N2791" i="1"/>
  <c r="O2791" i="1"/>
  <c r="P2791" i="1"/>
  <c r="T2791" i="1"/>
  <c r="N2792" i="1"/>
  <c r="O2792" i="1"/>
  <c r="P2792" i="1"/>
  <c r="T2792" i="1"/>
  <c r="N2793" i="1"/>
  <c r="O2793" i="1"/>
  <c r="P2793" i="1"/>
  <c r="T2793" i="1"/>
  <c r="N2794" i="1"/>
  <c r="O2794" i="1"/>
  <c r="P2794" i="1"/>
  <c r="T2794" i="1"/>
  <c r="O2796" i="1"/>
  <c r="P2796" i="1"/>
  <c r="T2796" i="1"/>
  <c r="N2797" i="1"/>
  <c r="O2797" i="1"/>
  <c r="P2797" i="1"/>
  <c r="T2797" i="1"/>
  <c r="N2798" i="1"/>
  <c r="O2798" i="1"/>
  <c r="P2798" i="1"/>
  <c r="T2798" i="1"/>
  <c r="N2801" i="1"/>
  <c r="O2801" i="1"/>
  <c r="P2801" i="1"/>
  <c r="T2801" i="1"/>
  <c r="N2802" i="1"/>
  <c r="O2802" i="1"/>
  <c r="P2802" i="1"/>
  <c r="T2802" i="1"/>
  <c r="O2803" i="1"/>
  <c r="P2803" i="1"/>
  <c r="T2803" i="1"/>
  <c r="N2804" i="1"/>
  <c r="O2804" i="1"/>
  <c r="P2804" i="1"/>
  <c r="T2804" i="1"/>
  <c r="N2805" i="1"/>
  <c r="O2805" i="1"/>
  <c r="P2805" i="1"/>
  <c r="T2805" i="1"/>
  <c r="N2806" i="1"/>
  <c r="O2806" i="1"/>
  <c r="P2806" i="1"/>
  <c r="T2806" i="1"/>
  <c r="O2807" i="1"/>
  <c r="P2807" i="1"/>
  <c r="T2807" i="1"/>
  <c r="N2808" i="1"/>
  <c r="O2808" i="1"/>
  <c r="P2808" i="1"/>
  <c r="T2808" i="1"/>
  <c r="N2809" i="1"/>
  <c r="O2809" i="1"/>
  <c r="P2809" i="1"/>
  <c r="T2809" i="1"/>
  <c r="N2810" i="1"/>
  <c r="O2810" i="1"/>
  <c r="P2810" i="1"/>
  <c r="T2810" i="1"/>
  <c r="O2811" i="1"/>
  <c r="P2811" i="1"/>
  <c r="T2811" i="1"/>
  <c r="N2812" i="1"/>
  <c r="O2812" i="1"/>
  <c r="P2812" i="1"/>
  <c r="T2812" i="1"/>
  <c r="N2813" i="1"/>
  <c r="O2813" i="1"/>
  <c r="P2813" i="1"/>
  <c r="T2813" i="1"/>
  <c r="N2814" i="1"/>
  <c r="O2814" i="1"/>
  <c r="P2814" i="1"/>
  <c r="T2814" i="1"/>
  <c r="N2815" i="1"/>
  <c r="O2815" i="1"/>
  <c r="P2815" i="1"/>
  <c r="T2815" i="1"/>
  <c r="O2816" i="1"/>
  <c r="P2816" i="1"/>
  <c r="T2816" i="1"/>
  <c r="N2817" i="1"/>
  <c r="O2817" i="1"/>
  <c r="P2817" i="1"/>
  <c r="T2817" i="1"/>
  <c r="N2818" i="1"/>
  <c r="O2818" i="1"/>
  <c r="P2818" i="1"/>
  <c r="T2818" i="1"/>
  <c r="N2819" i="1"/>
  <c r="O2819" i="1"/>
  <c r="P2819" i="1"/>
  <c r="T2819" i="1"/>
  <c r="O2820" i="1"/>
  <c r="P2820" i="1"/>
  <c r="T2820" i="1"/>
  <c r="N2821" i="1"/>
  <c r="O2821" i="1"/>
  <c r="P2821" i="1"/>
  <c r="T2821" i="1"/>
  <c r="N2822" i="1"/>
  <c r="O2822" i="1"/>
  <c r="P2822" i="1"/>
  <c r="T2822" i="1"/>
  <c r="N2824" i="1"/>
  <c r="O2824" i="1"/>
  <c r="P2824" i="1"/>
  <c r="T2824" i="1"/>
  <c r="O2825" i="1"/>
  <c r="P2825" i="1"/>
  <c r="T2825" i="1"/>
  <c r="N2826" i="1"/>
  <c r="O2826" i="1"/>
  <c r="P2826" i="1"/>
  <c r="T2826" i="1"/>
  <c r="N2827" i="1"/>
  <c r="O2827" i="1"/>
  <c r="P2827" i="1"/>
  <c r="T2827" i="1"/>
  <c r="N2829" i="1"/>
  <c r="O2829" i="1"/>
  <c r="P2829" i="1"/>
  <c r="T2829" i="1"/>
  <c r="N2830" i="1"/>
  <c r="O2830" i="1"/>
  <c r="P2830" i="1"/>
  <c r="T2830" i="1"/>
  <c r="O2831" i="1"/>
  <c r="P2831" i="1"/>
  <c r="T2831" i="1"/>
  <c r="N2832" i="1"/>
  <c r="O2832" i="1"/>
  <c r="P2832" i="1"/>
  <c r="T2832" i="1"/>
  <c r="N2833" i="1"/>
  <c r="O2833" i="1"/>
  <c r="P2833" i="1"/>
  <c r="T2833" i="1"/>
  <c r="N2834" i="1"/>
  <c r="O2834" i="1"/>
  <c r="P2834" i="1"/>
  <c r="T2834" i="1"/>
  <c r="N2835" i="1"/>
  <c r="O2835" i="1"/>
  <c r="P2835" i="1"/>
  <c r="T2835" i="1"/>
  <c r="N2836" i="1"/>
  <c r="O2836" i="1"/>
  <c r="P2836" i="1"/>
  <c r="T2836" i="1"/>
  <c r="N2837" i="1"/>
  <c r="O2837" i="1"/>
  <c r="P2837" i="1"/>
  <c r="T2837" i="1"/>
  <c r="N2838" i="1"/>
  <c r="O2838" i="1"/>
  <c r="P2838" i="1"/>
  <c r="T2838" i="1"/>
  <c r="N2839" i="1"/>
  <c r="O2839" i="1"/>
  <c r="P2839" i="1"/>
  <c r="T2839" i="1"/>
  <c r="O2840" i="1"/>
  <c r="P2840" i="1"/>
  <c r="T2840" i="1"/>
  <c r="N2841" i="1"/>
  <c r="O2841" i="1"/>
  <c r="P2841" i="1"/>
  <c r="T2841" i="1"/>
  <c r="N2842" i="1"/>
  <c r="O2842" i="1"/>
  <c r="P2842" i="1"/>
  <c r="T2842" i="1"/>
  <c r="N2843" i="1"/>
  <c r="O2843" i="1"/>
  <c r="P2843" i="1"/>
  <c r="T2843" i="1"/>
  <c r="O2844" i="1"/>
  <c r="P2844" i="1"/>
  <c r="T2844" i="1"/>
  <c r="N2845" i="1"/>
  <c r="O2845" i="1"/>
  <c r="P2845" i="1"/>
  <c r="T2845" i="1"/>
  <c r="N2846" i="1"/>
  <c r="O2846" i="1"/>
  <c r="P2846" i="1"/>
  <c r="T2846" i="1"/>
  <c r="N2847" i="1"/>
  <c r="O2847" i="1"/>
  <c r="P2847" i="1"/>
  <c r="T2847" i="1"/>
  <c r="N2848" i="1"/>
  <c r="O2848" i="1"/>
  <c r="P2848" i="1"/>
  <c r="T2848" i="1"/>
  <c r="O2849" i="1"/>
  <c r="P2849" i="1"/>
  <c r="T2849" i="1"/>
  <c r="N2850" i="1"/>
  <c r="O2850" i="1"/>
  <c r="P2850" i="1"/>
  <c r="T2850" i="1"/>
  <c r="N2851" i="1"/>
  <c r="O2851" i="1"/>
  <c r="P2851" i="1"/>
  <c r="T2851" i="1"/>
  <c r="N2852" i="1"/>
  <c r="O2852" i="1"/>
  <c r="P2852" i="1"/>
  <c r="T2852" i="1"/>
  <c r="N2853" i="1"/>
  <c r="O2853" i="1"/>
  <c r="P2853" i="1"/>
  <c r="T2853" i="1"/>
  <c r="N2854" i="1"/>
  <c r="O2854" i="1"/>
  <c r="P2854" i="1"/>
  <c r="T2854" i="1"/>
  <c r="N2855" i="1"/>
  <c r="O2855" i="1"/>
  <c r="P2855" i="1"/>
  <c r="T2855" i="1"/>
  <c r="N2856" i="1"/>
  <c r="O2856" i="1"/>
  <c r="P2856" i="1"/>
  <c r="T2856" i="1"/>
  <c r="N2857" i="1"/>
  <c r="O2857" i="1"/>
  <c r="P2857" i="1"/>
  <c r="T2857" i="1"/>
  <c r="O2858" i="1"/>
  <c r="P2858" i="1"/>
  <c r="T2858" i="1"/>
  <c r="N2859" i="1"/>
  <c r="O2859" i="1"/>
  <c r="P2859" i="1"/>
  <c r="T2859" i="1"/>
  <c r="N2860" i="1"/>
  <c r="O2860" i="1"/>
  <c r="P2860" i="1"/>
  <c r="T2860" i="1"/>
  <c r="N2861" i="1"/>
  <c r="O2861" i="1"/>
  <c r="P2861" i="1"/>
  <c r="T2861" i="1"/>
  <c r="N2862" i="1"/>
  <c r="O2862" i="1"/>
  <c r="P2862" i="1"/>
  <c r="T2862" i="1"/>
  <c r="N2864" i="1"/>
  <c r="O2864" i="1"/>
  <c r="P2864" i="1"/>
  <c r="T2864" i="1"/>
  <c r="N2865" i="1"/>
  <c r="O2865" i="1"/>
  <c r="P2865" i="1"/>
  <c r="T2865" i="1"/>
  <c r="O2867" i="1"/>
  <c r="P2867" i="1"/>
  <c r="T2867" i="1"/>
  <c r="N2868" i="1"/>
  <c r="O2868" i="1"/>
  <c r="P2868" i="1"/>
  <c r="T2868" i="1"/>
  <c r="N2869" i="1"/>
  <c r="O2869" i="1"/>
  <c r="P2869" i="1"/>
  <c r="T2869" i="1"/>
  <c r="N2870" i="1"/>
  <c r="O2870" i="1"/>
  <c r="P2870" i="1"/>
  <c r="T2870" i="1"/>
  <c r="N2871" i="1"/>
  <c r="O2871" i="1"/>
  <c r="P2871" i="1"/>
  <c r="T2871" i="1"/>
  <c r="O2872" i="1"/>
  <c r="P2872" i="1"/>
  <c r="T2872" i="1"/>
  <c r="N2874" i="1"/>
  <c r="O2874" i="1"/>
  <c r="P2874" i="1"/>
  <c r="N2875" i="1"/>
  <c r="O2875" i="1"/>
  <c r="P2875" i="1"/>
  <c r="N2876" i="1"/>
  <c r="O2876" i="1"/>
  <c r="P2876" i="1"/>
  <c r="N2877" i="1"/>
  <c r="O2877" i="1"/>
  <c r="P2877" i="1"/>
  <c r="N2879" i="1"/>
  <c r="O2879" i="1"/>
  <c r="P2879" i="1"/>
  <c r="T2879" i="1"/>
  <c r="N2880" i="1"/>
  <c r="O2880" i="1"/>
  <c r="P2880" i="1"/>
  <c r="T2880" i="1"/>
  <c r="N2881" i="1"/>
  <c r="O2881" i="1"/>
  <c r="P2881" i="1"/>
  <c r="T2881" i="1"/>
  <c r="N2883" i="1"/>
  <c r="O2883" i="1"/>
  <c r="P2883" i="1"/>
  <c r="T2883" i="1"/>
  <c r="N2884" i="1"/>
  <c r="O2884" i="1"/>
  <c r="P2884" i="1"/>
  <c r="T2884" i="1"/>
  <c r="N2885" i="1"/>
  <c r="O2885" i="1"/>
  <c r="P2885" i="1"/>
  <c r="T2885" i="1"/>
  <c r="N2886" i="1"/>
  <c r="O2886" i="1"/>
  <c r="P2886" i="1"/>
  <c r="T2886" i="1"/>
  <c r="O2887" i="1"/>
  <c r="P2887" i="1"/>
  <c r="T2887" i="1"/>
  <c r="N2888" i="1"/>
  <c r="O2888" i="1"/>
  <c r="P2888" i="1"/>
  <c r="T2888" i="1"/>
  <c r="N2889" i="1"/>
  <c r="O2889" i="1"/>
  <c r="P2889" i="1"/>
  <c r="T2889" i="1"/>
  <c r="N2891" i="1"/>
  <c r="O2891" i="1"/>
  <c r="P2891" i="1"/>
  <c r="T2891" i="1"/>
  <c r="N2892" i="1"/>
  <c r="O2892" i="1"/>
  <c r="P2892" i="1"/>
  <c r="T2892" i="1"/>
  <c r="O2893" i="1"/>
  <c r="P2893" i="1"/>
  <c r="T2893" i="1"/>
  <c r="N2894" i="1"/>
  <c r="O2894" i="1"/>
  <c r="P2894" i="1"/>
  <c r="T2894" i="1"/>
  <c r="N2895" i="1"/>
  <c r="O2895" i="1"/>
  <c r="P2895" i="1"/>
  <c r="T2895" i="1"/>
  <c r="N2897" i="1"/>
  <c r="O2897" i="1"/>
  <c r="P2897" i="1"/>
  <c r="T2897" i="1"/>
  <c r="O2898" i="1"/>
  <c r="P2898" i="1"/>
  <c r="T2898" i="1"/>
  <c r="N2899" i="1"/>
  <c r="O2899" i="1"/>
  <c r="P2899" i="1"/>
  <c r="T2899" i="1"/>
  <c r="N2900" i="1"/>
  <c r="O2900" i="1"/>
  <c r="P2900" i="1"/>
  <c r="T2900" i="1"/>
  <c r="N2901" i="1"/>
  <c r="O2901" i="1"/>
  <c r="P2901" i="1"/>
  <c r="T2901" i="1"/>
  <c r="N2902" i="1"/>
  <c r="O2902" i="1"/>
  <c r="P2902" i="1"/>
  <c r="T2902" i="1"/>
  <c r="O2903" i="1"/>
  <c r="P2903" i="1"/>
  <c r="T2903" i="1"/>
  <c r="N2904" i="1"/>
  <c r="O2904" i="1"/>
  <c r="P2904" i="1"/>
  <c r="T2904" i="1"/>
  <c r="N2907" i="1"/>
  <c r="O2907" i="1"/>
  <c r="P2907" i="1"/>
  <c r="T2907" i="1"/>
  <c r="N2908" i="1"/>
  <c r="O2908" i="1"/>
  <c r="P2908" i="1"/>
  <c r="T2908" i="1"/>
  <c r="N2909" i="1"/>
  <c r="O2909" i="1"/>
  <c r="P2909" i="1"/>
  <c r="T2909" i="1"/>
  <c r="O2910" i="1"/>
  <c r="P2910" i="1"/>
  <c r="T2910" i="1"/>
  <c r="N2911" i="1"/>
  <c r="O2911" i="1"/>
  <c r="P2911" i="1"/>
  <c r="T2911" i="1"/>
  <c r="N2912" i="1"/>
  <c r="O2912" i="1"/>
  <c r="P2912" i="1"/>
  <c r="T2912" i="1"/>
  <c r="N2913" i="1"/>
  <c r="O2913" i="1"/>
  <c r="P2913" i="1"/>
  <c r="T2913" i="1"/>
  <c r="O2914" i="1"/>
  <c r="P2914" i="1"/>
  <c r="T2914" i="1"/>
  <c r="N2915" i="1"/>
  <c r="O2915" i="1"/>
  <c r="P2915" i="1"/>
  <c r="T2915" i="1"/>
  <c r="N2916" i="1"/>
  <c r="O2916" i="1"/>
  <c r="P2916" i="1"/>
  <c r="T2916" i="1"/>
  <c r="N2917" i="1"/>
  <c r="O2917" i="1"/>
  <c r="P2917" i="1"/>
  <c r="T2917" i="1"/>
  <c r="O2918" i="1"/>
  <c r="P2918" i="1"/>
  <c r="T2918" i="1"/>
  <c r="N2919" i="1"/>
  <c r="O2919" i="1"/>
  <c r="P2919" i="1"/>
  <c r="T2919" i="1"/>
  <c r="N2921" i="1"/>
  <c r="O2921" i="1"/>
  <c r="P2921" i="1"/>
  <c r="T2921" i="1"/>
  <c r="N2922" i="1"/>
  <c r="O2922" i="1"/>
  <c r="P2922" i="1"/>
  <c r="T2922" i="1"/>
  <c r="N2923" i="1"/>
  <c r="O2923" i="1"/>
  <c r="P2923" i="1"/>
  <c r="T2923" i="1"/>
  <c r="N2924" i="1"/>
  <c r="O2924" i="1"/>
  <c r="P2924" i="1"/>
  <c r="T2924" i="1"/>
  <c r="N2925" i="1"/>
  <c r="O2925" i="1"/>
  <c r="P2925" i="1"/>
  <c r="T2925" i="1"/>
  <c r="N2926" i="1"/>
  <c r="O2926" i="1"/>
  <c r="P2926" i="1"/>
  <c r="T2926" i="1"/>
  <c r="N2927" i="1"/>
  <c r="O2927" i="1"/>
  <c r="P2927" i="1"/>
  <c r="T2927" i="1"/>
  <c r="O2928" i="1"/>
  <c r="P2928" i="1"/>
  <c r="T2928" i="1"/>
  <c r="N2929" i="1"/>
  <c r="O2929" i="1"/>
  <c r="P2929" i="1"/>
  <c r="T2929" i="1"/>
  <c r="N2930" i="1"/>
  <c r="O2930" i="1"/>
  <c r="P2930" i="1"/>
  <c r="T2930" i="1"/>
  <c r="N2931" i="1"/>
  <c r="O2931" i="1"/>
  <c r="P2931" i="1"/>
  <c r="T2931" i="1"/>
  <c r="N2932" i="1"/>
  <c r="O2932" i="1"/>
  <c r="P2932" i="1"/>
  <c r="T2932" i="1"/>
  <c r="O2933" i="1"/>
  <c r="P2933" i="1"/>
  <c r="T2933" i="1"/>
  <c r="N2934" i="1"/>
  <c r="O2934" i="1"/>
  <c r="P2934" i="1"/>
  <c r="T2934" i="1"/>
  <c r="N2935" i="1"/>
  <c r="O2935" i="1"/>
  <c r="P2935" i="1"/>
  <c r="T2935" i="1"/>
  <c r="N2936" i="1"/>
  <c r="O2936" i="1"/>
  <c r="P2936" i="1"/>
  <c r="T2936" i="1"/>
  <c r="N2937" i="1"/>
  <c r="O2937" i="1"/>
  <c r="P2937" i="1"/>
  <c r="T2937" i="1"/>
  <c r="O2938" i="1"/>
  <c r="P2938" i="1"/>
  <c r="T2938" i="1"/>
  <c r="N2939" i="1"/>
  <c r="O2939" i="1"/>
  <c r="P2939" i="1"/>
  <c r="T2939" i="1"/>
  <c r="N2940" i="1"/>
  <c r="O2940" i="1"/>
  <c r="P2940" i="1"/>
  <c r="T2940" i="1"/>
  <c r="N2941" i="1"/>
  <c r="O2941" i="1"/>
  <c r="P2941" i="1"/>
  <c r="T2941" i="1"/>
  <c r="N2942" i="1"/>
  <c r="O2942" i="1"/>
  <c r="P2942" i="1"/>
  <c r="T2942" i="1"/>
  <c r="N2943" i="1"/>
  <c r="O2943" i="1"/>
  <c r="P2943" i="1"/>
  <c r="T2943" i="1"/>
  <c r="N2944" i="1"/>
  <c r="O2944" i="1"/>
  <c r="P2944" i="1"/>
  <c r="T2944" i="1"/>
  <c r="N2948" i="1"/>
  <c r="O2948" i="1"/>
  <c r="P2948" i="1"/>
  <c r="T2948" i="1"/>
  <c r="N2949" i="1"/>
  <c r="O2949" i="1"/>
  <c r="P2949" i="1"/>
  <c r="T2949" i="1"/>
  <c r="N2951" i="1"/>
  <c r="O2951" i="1"/>
  <c r="P2951" i="1"/>
  <c r="T2951" i="1"/>
  <c r="N2953" i="1"/>
  <c r="O2953" i="1"/>
  <c r="P2953" i="1"/>
  <c r="T2953" i="1"/>
  <c r="N2954" i="1"/>
  <c r="O2954" i="1"/>
  <c r="P2954" i="1"/>
  <c r="T2954" i="1"/>
  <c r="N2957" i="1"/>
  <c r="O2957" i="1"/>
  <c r="P2957" i="1"/>
  <c r="T2957" i="1"/>
  <c r="N2958" i="1"/>
  <c r="O2958" i="1"/>
  <c r="P2958" i="1"/>
  <c r="T2958" i="1"/>
  <c r="N2959" i="1"/>
  <c r="O2959" i="1"/>
  <c r="P2959" i="1"/>
  <c r="T2959" i="1"/>
  <c r="N2960" i="1"/>
  <c r="O2960" i="1"/>
  <c r="P2960" i="1"/>
  <c r="T2960" i="1"/>
  <c r="N2962" i="1"/>
  <c r="O2962" i="1"/>
  <c r="P2962" i="1"/>
  <c r="T2962" i="1"/>
  <c r="N2963" i="1"/>
  <c r="O2963" i="1"/>
  <c r="P2963" i="1"/>
  <c r="T2963" i="1"/>
  <c r="N2964" i="1"/>
  <c r="O2964" i="1"/>
  <c r="P2964" i="1"/>
  <c r="T2964" i="1"/>
  <c r="N2966" i="1"/>
  <c r="O2966" i="1"/>
  <c r="P2966" i="1"/>
  <c r="T2966" i="1"/>
  <c r="N2967" i="1"/>
  <c r="O2967" i="1"/>
  <c r="P2967" i="1"/>
  <c r="T2967" i="1"/>
  <c r="N2970" i="1"/>
  <c r="O2970" i="1"/>
  <c r="P2970" i="1"/>
  <c r="T2970" i="1"/>
  <c r="N2971" i="1"/>
  <c r="O2971" i="1"/>
  <c r="P2971" i="1"/>
  <c r="T2971" i="1"/>
  <c r="N2972" i="1"/>
  <c r="O2972" i="1"/>
  <c r="P2972" i="1"/>
  <c r="T2972" i="1"/>
  <c r="N2973" i="1"/>
  <c r="O2973" i="1"/>
  <c r="P2973" i="1"/>
  <c r="T2973" i="1"/>
  <c r="N2974" i="1"/>
  <c r="O2974" i="1"/>
  <c r="P2974" i="1"/>
  <c r="T2974" i="1"/>
  <c r="N2975" i="1"/>
  <c r="O2975" i="1"/>
  <c r="P2975" i="1"/>
  <c r="T2975" i="1"/>
  <c r="N2978" i="1"/>
  <c r="O2978" i="1"/>
  <c r="P2978" i="1"/>
  <c r="T2978" i="1"/>
  <c r="N2980" i="1"/>
  <c r="O2980" i="1"/>
  <c r="P2980" i="1"/>
  <c r="T2980" i="1"/>
  <c r="N2981" i="1"/>
  <c r="O2981" i="1"/>
  <c r="P2981" i="1"/>
  <c r="T2981" i="1"/>
  <c r="N2983" i="1"/>
  <c r="O2983" i="1"/>
  <c r="P2983" i="1"/>
  <c r="T2983" i="1"/>
  <c r="N2984" i="1"/>
  <c r="O2984" i="1"/>
  <c r="P2984" i="1"/>
  <c r="T2984" i="1"/>
  <c r="N2985" i="1"/>
  <c r="O2985" i="1"/>
  <c r="P2985" i="1"/>
  <c r="N2987" i="1"/>
  <c r="O2987" i="1"/>
  <c r="P2987" i="1"/>
  <c r="T2987" i="1"/>
  <c r="N2988" i="1"/>
  <c r="O2988" i="1"/>
  <c r="P2988" i="1"/>
  <c r="T2988" i="1"/>
  <c r="N2990" i="1"/>
  <c r="O2990" i="1"/>
  <c r="P2990" i="1"/>
  <c r="T2990" i="1"/>
  <c r="N2991" i="1"/>
  <c r="O2991" i="1"/>
  <c r="P2991" i="1"/>
  <c r="T2991" i="1"/>
  <c r="N2992" i="1"/>
  <c r="O2992" i="1"/>
  <c r="P2992" i="1"/>
  <c r="T2992" i="1"/>
  <c r="N2993" i="1"/>
  <c r="O2993" i="1"/>
  <c r="P2993" i="1"/>
  <c r="T2993" i="1"/>
  <c r="N2994" i="1"/>
  <c r="O2994" i="1"/>
  <c r="P2994" i="1"/>
  <c r="T2994" i="1"/>
  <c r="N2998" i="1"/>
  <c r="O2998" i="1"/>
  <c r="P2998" i="1"/>
  <c r="T2998" i="1"/>
  <c r="N2999" i="1"/>
  <c r="O2999" i="1"/>
  <c r="P2999" i="1"/>
  <c r="T2999" i="1"/>
  <c r="N3001" i="1"/>
  <c r="O3001" i="1"/>
  <c r="P3001" i="1"/>
  <c r="T3001" i="1"/>
  <c r="N3005" i="1"/>
  <c r="O3005" i="1"/>
  <c r="P3005" i="1"/>
  <c r="T3005" i="1"/>
  <c r="N3006" i="1"/>
  <c r="O3006" i="1"/>
  <c r="P3006" i="1"/>
  <c r="T3006" i="1"/>
  <c r="N3007" i="1"/>
  <c r="O3007" i="1"/>
  <c r="P3007" i="1"/>
  <c r="T3007" i="1"/>
  <c r="N3010" i="1"/>
  <c r="O3010" i="1"/>
  <c r="P3010" i="1"/>
  <c r="T3010" i="1"/>
  <c r="N3011" i="1"/>
  <c r="O3011" i="1"/>
  <c r="P3011" i="1"/>
  <c r="T3011" i="1"/>
  <c r="N3012" i="1"/>
  <c r="O3012" i="1"/>
  <c r="P3012" i="1"/>
  <c r="T3012" i="1"/>
  <c r="N3013" i="1"/>
  <c r="O3013" i="1"/>
  <c r="P3013" i="1"/>
  <c r="T3013" i="1"/>
  <c r="N3014" i="1"/>
  <c r="O3014" i="1"/>
  <c r="P3014" i="1"/>
  <c r="T3014" i="1"/>
  <c r="N3015" i="1"/>
  <c r="O3015" i="1"/>
  <c r="P3015" i="1"/>
  <c r="T3015" i="1"/>
  <c r="N3016" i="1"/>
  <c r="O3016" i="1"/>
  <c r="P3016" i="1"/>
  <c r="T3016" i="1"/>
  <c r="N3017" i="1"/>
  <c r="O3017" i="1"/>
  <c r="P3017" i="1"/>
  <c r="T3017" i="1"/>
  <c r="N3018" i="1"/>
  <c r="O3018" i="1"/>
  <c r="P3018" i="1"/>
  <c r="T3018" i="1"/>
  <c r="N3021" i="1"/>
  <c r="O3021" i="1"/>
  <c r="P3021" i="1"/>
  <c r="T3021" i="1"/>
  <c r="N3022" i="1"/>
  <c r="O3022" i="1"/>
  <c r="P3022" i="1"/>
  <c r="T3022" i="1"/>
  <c r="N3023" i="1"/>
  <c r="O3023" i="1"/>
  <c r="P3023" i="1"/>
  <c r="T3023" i="1"/>
  <c r="N3026" i="1"/>
  <c r="O3026" i="1"/>
  <c r="P3026" i="1"/>
  <c r="T3026" i="1"/>
  <c r="N3029" i="1"/>
  <c r="O3029" i="1"/>
  <c r="P3029" i="1"/>
  <c r="T3029" i="1"/>
  <c r="N3031" i="1"/>
  <c r="O3031" i="1"/>
  <c r="P3031" i="1"/>
  <c r="T3031" i="1"/>
  <c r="N3032" i="1"/>
  <c r="O3032" i="1"/>
  <c r="P3032" i="1"/>
  <c r="T3032" i="1"/>
  <c r="N3033" i="1"/>
  <c r="O3033" i="1"/>
  <c r="P3033" i="1"/>
  <c r="T3033" i="1"/>
  <c r="N3034" i="1"/>
  <c r="O3034" i="1"/>
  <c r="P3034" i="1"/>
  <c r="T3034" i="1"/>
  <c r="N3038" i="1"/>
  <c r="O3038" i="1"/>
  <c r="P3038" i="1"/>
  <c r="T3038" i="1"/>
  <c r="N3039" i="1"/>
  <c r="O3039" i="1"/>
  <c r="P3039" i="1"/>
  <c r="T3039" i="1"/>
  <c r="N3040" i="1"/>
  <c r="O3040" i="1"/>
  <c r="P3040" i="1"/>
  <c r="T3040" i="1"/>
  <c r="N3042" i="1"/>
  <c r="O3042" i="1"/>
  <c r="P3042" i="1"/>
  <c r="T3042" i="1"/>
  <c r="N3043" i="1"/>
  <c r="O3043" i="1"/>
  <c r="P3043" i="1"/>
  <c r="T3043" i="1"/>
  <c r="N3044" i="1"/>
  <c r="O3044" i="1"/>
  <c r="P3044" i="1"/>
  <c r="T3044" i="1"/>
  <c r="N3045" i="1"/>
  <c r="O3045" i="1"/>
  <c r="P3045" i="1"/>
  <c r="T3045" i="1"/>
  <c r="N3046" i="1"/>
  <c r="O3046" i="1"/>
  <c r="P3046" i="1"/>
  <c r="T3046" i="1"/>
  <c r="N3049" i="1"/>
  <c r="O3049" i="1"/>
  <c r="P3049" i="1"/>
  <c r="T3049" i="1"/>
  <c r="N3050" i="1"/>
  <c r="O3050" i="1"/>
  <c r="P3050" i="1"/>
  <c r="T3050" i="1"/>
  <c r="N3051" i="1"/>
  <c r="O3051" i="1"/>
  <c r="P3051" i="1"/>
  <c r="T3051" i="1"/>
  <c r="N3052" i="1"/>
  <c r="O3052" i="1"/>
  <c r="P3052" i="1"/>
  <c r="T3052" i="1"/>
  <c r="N3053" i="1"/>
  <c r="O3053" i="1"/>
  <c r="P3053" i="1"/>
  <c r="T3053" i="1"/>
  <c r="N3055" i="1"/>
  <c r="O3055" i="1"/>
  <c r="P3055" i="1"/>
  <c r="T3055" i="1"/>
  <c r="N3056" i="1"/>
  <c r="O3056" i="1"/>
  <c r="P3056" i="1"/>
  <c r="T3056" i="1"/>
  <c r="N3057" i="1"/>
  <c r="O3057" i="1"/>
  <c r="P3057" i="1"/>
  <c r="T3057" i="1"/>
  <c r="N3058" i="1"/>
  <c r="O3058" i="1"/>
  <c r="P3058" i="1"/>
  <c r="T3058" i="1"/>
  <c r="N3059" i="1"/>
  <c r="O3059" i="1"/>
  <c r="P3059" i="1"/>
  <c r="T3059" i="1"/>
  <c r="N3060" i="1"/>
  <c r="O3060" i="1"/>
  <c r="P3060" i="1"/>
  <c r="T3060" i="1"/>
  <c r="N3061" i="1"/>
  <c r="O3061" i="1"/>
  <c r="P3061" i="1"/>
  <c r="T3061" i="1"/>
  <c r="N3062" i="1"/>
  <c r="O3062" i="1"/>
  <c r="P3062" i="1"/>
  <c r="T3062" i="1"/>
  <c r="N3063" i="1"/>
  <c r="O3063" i="1"/>
  <c r="P3063" i="1"/>
  <c r="T3063" i="1"/>
  <c r="N3064" i="1"/>
  <c r="O3064" i="1"/>
  <c r="P3064" i="1"/>
  <c r="T3064" i="1"/>
  <c r="N3066" i="1"/>
  <c r="O3066" i="1"/>
  <c r="P3066" i="1"/>
  <c r="T3066" i="1"/>
  <c r="N3067" i="1"/>
  <c r="O3067" i="1"/>
  <c r="P3067" i="1"/>
  <c r="T3067" i="1"/>
  <c r="N3068" i="1"/>
  <c r="O3068" i="1"/>
  <c r="P3068" i="1"/>
  <c r="T3068" i="1"/>
  <c r="N3069" i="1"/>
  <c r="O3069" i="1"/>
  <c r="P3069" i="1"/>
  <c r="T3069" i="1"/>
  <c r="N3070" i="1"/>
  <c r="O3070" i="1"/>
  <c r="P3070" i="1"/>
  <c r="T3070" i="1"/>
  <c r="N3072" i="1"/>
  <c r="O3072" i="1"/>
  <c r="P3072" i="1"/>
  <c r="T3072" i="1"/>
  <c r="N3073" i="1"/>
  <c r="O3073" i="1"/>
  <c r="P3073" i="1"/>
  <c r="T3073" i="1"/>
  <c r="N3074" i="1"/>
  <c r="O3074" i="1"/>
  <c r="P3074" i="1"/>
  <c r="T3074" i="1"/>
  <c r="N3076" i="1"/>
  <c r="O3076" i="1"/>
  <c r="P3076" i="1"/>
  <c r="T3076" i="1"/>
  <c r="N3077" i="1"/>
  <c r="O3077" i="1"/>
  <c r="P3077" i="1"/>
  <c r="T3077" i="1"/>
  <c r="N3078" i="1"/>
  <c r="O3078" i="1"/>
  <c r="P3078" i="1"/>
  <c r="T3078" i="1"/>
  <c r="N3079" i="1"/>
  <c r="O3079" i="1"/>
  <c r="P3079" i="1"/>
  <c r="T3079" i="1"/>
  <c r="N3080" i="1"/>
  <c r="O3080" i="1"/>
  <c r="P3080" i="1"/>
  <c r="T3080" i="1"/>
  <c r="N3081" i="1"/>
  <c r="O3081" i="1"/>
  <c r="P3081" i="1"/>
  <c r="T3081" i="1"/>
  <c r="N3082" i="1"/>
  <c r="O3082" i="1"/>
  <c r="P3082" i="1"/>
  <c r="T3082" i="1"/>
  <c r="N3083" i="1"/>
  <c r="O3083" i="1"/>
  <c r="P3083" i="1"/>
  <c r="T3083" i="1"/>
  <c r="N3084" i="1"/>
  <c r="O3084" i="1"/>
  <c r="P3084" i="1"/>
  <c r="T3084" i="1"/>
  <c r="N3086" i="1"/>
  <c r="O3086" i="1"/>
  <c r="P3086" i="1"/>
  <c r="T3086" i="1"/>
  <c r="N3087" i="1"/>
  <c r="O3087" i="1"/>
  <c r="P3087" i="1"/>
  <c r="N3091" i="1"/>
  <c r="O3091" i="1"/>
  <c r="P3091" i="1"/>
  <c r="T3091" i="1"/>
  <c r="N3092" i="1"/>
  <c r="O3092" i="1"/>
  <c r="P3092" i="1"/>
  <c r="T3092" i="1"/>
  <c r="N3095" i="1"/>
  <c r="O3095" i="1"/>
  <c r="P3095" i="1"/>
  <c r="T3095" i="1"/>
  <c r="O3096" i="1"/>
  <c r="P3096" i="1"/>
  <c r="T3096" i="1"/>
  <c r="N3097" i="1"/>
  <c r="O3097" i="1"/>
  <c r="P3097" i="1"/>
  <c r="T3097" i="1"/>
  <c r="N3099" i="1"/>
  <c r="O3099" i="1"/>
  <c r="P3099" i="1"/>
  <c r="T3099" i="1"/>
  <c r="N3100" i="1"/>
  <c r="O3100" i="1"/>
  <c r="P3100" i="1"/>
  <c r="T3100" i="1"/>
  <c r="O3101" i="1"/>
  <c r="P3101" i="1"/>
  <c r="T3101" i="1"/>
  <c r="N3102" i="1"/>
  <c r="O3102" i="1"/>
  <c r="P3102" i="1"/>
  <c r="T3102" i="1"/>
  <c r="N3103" i="1"/>
  <c r="O3103" i="1"/>
  <c r="P3103" i="1"/>
  <c r="T3103" i="1"/>
  <c r="N3104" i="1"/>
  <c r="O3104" i="1"/>
  <c r="P3104" i="1"/>
  <c r="T3104" i="1"/>
  <c r="O3105" i="1"/>
  <c r="P3105" i="1"/>
  <c r="T3105" i="1"/>
  <c r="N3106" i="1"/>
  <c r="O3106" i="1"/>
  <c r="P3106" i="1"/>
  <c r="T3106" i="1"/>
  <c r="N3107" i="1"/>
  <c r="O3107" i="1"/>
  <c r="P3107" i="1"/>
  <c r="T3107" i="1"/>
  <c r="N3108" i="1"/>
  <c r="O3108" i="1"/>
  <c r="P3108" i="1"/>
  <c r="T3108" i="1"/>
  <c r="O3109" i="1"/>
  <c r="P3109" i="1"/>
  <c r="T3109" i="1"/>
  <c r="N3110" i="1"/>
  <c r="O3110" i="1"/>
  <c r="P3110" i="1"/>
  <c r="N3111" i="1"/>
  <c r="O3111" i="1"/>
  <c r="P3111" i="1"/>
  <c r="T3111" i="1"/>
  <c r="N3114" i="1"/>
  <c r="O3114" i="1"/>
  <c r="P3114" i="1"/>
  <c r="N3117" i="1"/>
  <c r="O3117" i="1"/>
  <c r="P3117" i="1"/>
  <c r="T3117" i="1"/>
  <c r="N3119" i="1"/>
  <c r="O3119" i="1"/>
  <c r="P3119" i="1"/>
  <c r="T3119" i="1"/>
  <c r="N3121" i="1"/>
  <c r="O3121" i="1"/>
  <c r="P3121" i="1"/>
  <c r="T3121" i="1"/>
  <c r="N3122" i="1"/>
  <c r="O3122" i="1"/>
  <c r="P3122" i="1"/>
  <c r="T3122" i="1"/>
  <c r="N3126" i="1"/>
  <c r="O3126" i="1"/>
  <c r="P3126" i="1"/>
  <c r="T3126" i="1"/>
  <c r="N3128" i="1"/>
  <c r="O3128" i="1"/>
  <c r="P3128" i="1"/>
  <c r="T3128" i="1"/>
  <c r="N3129" i="1"/>
  <c r="O3129" i="1"/>
  <c r="P3129" i="1"/>
  <c r="T3129" i="1"/>
  <c r="N3130" i="1"/>
  <c r="O3130" i="1"/>
  <c r="P3130" i="1"/>
  <c r="T3130" i="1"/>
  <c r="N3131" i="1"/>
  <c r="O3131" i="1"/>
  <c r="P3131" i="1"/>
  <c r="T3131" i="1"/>
  <c r="N3132" i="1"/>
  <c r="O3132" i="1"/>
  <c r="P3132" i="1"/>
  <c r="T3132" i="1"/>
  <c r="N3133" i="1"/>
  <c r="O3133" i="1"/>
  <c r="P3133" i="1"/>
  <c r="T3133" i="1"/>
  <c r="N3134" i="1"/>
  <c r="O3134" i="1"/>
  <c r="P3134" i="1"/>
  <c r="T3134" i="1"/>
  <c r="N3136" i="1"/>
  <c r="O3136" i="1"/>
  <c r="P3136" i="1"/>
  <c r="T3136" i="1"/>
  <c r="N3137" i="1"/>
  <c r="O3137" i="1"/>
  <c r="P3137" i="1"/>
  <c r="T3137" i="1"/>
  <c r="N3138" i="1"/>
  <c r="O3138" i="1"/>
  <c r="P3138" i="1"/>
  <c r="T3138" i="1"/>
  <c r="N3139" i="1"/>
  <c r="O3139" i="1"/>
  <c r="P3139" i="1"/>
  <c r="T3139" i="1"/>
  <c r="N3140" i="1"/>
  <c r="O3140" i="1"/>
  <c r="P3140" i="1"/>
  <c r="T3140" i="1"/>
  <c r="N3141" i="1"/>
  <c r="O3141" i="1"/>
  <c r="P3141" i="1"/>
  <c r="T3141" i="1"/>
  <c r="N3142" i="1"/>
  <c r="O3142" i="1"/>
  <c r="P3142" i="1"/>
  <c r="T3142" i="1"/>
  <c r="N3143" i="1"/>
  <c r="O3143" i="1"/>
  <c r="P3143" i="1"/>
  <c r="T3143" i="1"/>
  <c r="N3145" i="1"/>
  <c r="O3145" i="1"/>
  <c r="P3145" i="1"/>
  <c r="T3145" i="1"/>
  <c r="N3146" i="1"/>
  <c r="O3146" i="1"/>
  <c r="P3146" i="1"/>
  <c r="T3146" i="1"/>
  <c r="N3147" i="1"/>
  <c r="O3147" i="1"/>
  <c r="P3147" i="1"/>
  <c r="T3147" i="1"/>
  <c r="N3148" i="1"/>
  <c r="O3148" i="1"/>
  <c r="P3148" i="1"/>
  <c r="T3148" i="1"/>
  <c r="N3149" i="1"/>
  <c r="O3149" i="1"/>
  <c r="P3149" i="1"/>
  <c r="T3149" i="1"/>
  <c r="N3150" i="1"/>
  <c r="O3150" i="1"/>
  <c r="P3150" i="1"/>
  <c r="T3150" i="1"/>
  <c r="N3151" i="1"/>
  <c r="O3151" i="1"/>
  <c r="P3151" i="1"/>
  <c r="T3151" i="1"/>
  <c r="N3152" i="1"/>
  <c r="O3152" i="1"/>
  <c r="P3152" i="1"/>
  <c r="T3152" i="1"/>
  <c r="N3153" i="1"/>
  <c r="O3153" i="1"/>
  <c r="P3153" i="1"/>
  <c r="T3153" i="1"/>
  <c r="N3155" i="1"/>
  <c r="O3155" i="1"/>
  <c r="P3155" i="1"/>
  <c r="T3155" i="1"/>
  <c r="N3156" i="1"/>
  <c r="O3156" i="1"/>
  <c r="P3156" i="1"/>
  <c r="T3156" i="1"/>
  <c r="N3157" i="1"/>
  <c r="O3157" i="1"/>
  <c r="P3157" i="1"/>
  <c r="T3157" i="1"/>
  <c r="N3158" i="1"/>
  <c r="O3158" i="1"/>
  <c r="P3158" i="1"/>
  <c r="T3158" i="1"/>
  <c r="N3159" i="1"/>
  <c r="O3159" i="1"/>
  <c r="P3159" i="1"/>
  <c r="T3159" i="1"/>
  <c r="N3160" i="1"/>
  <c r="O3160" i="1"/>
  <c r="P3160" i="1"/>
  <c r="T3160" i="1"/>
  <c r="N3162" i="1"/>
  <c r="O3162" i="1"/>
  <c r="P3162" i="1"/>
  <c r="T3162" i="1"/>
  <c r="N3163" i="1"/>
  <c r="O3163" i="1"/>
  <c r="P3163" i="1"/>
  <c r="T3163" i="1"/>
  <c r="N3164" i="1"/>
  <c r="O3164" i="1"/>
  <c r="P3164" i="1"/>
  <c r="T3164" i="1"/>
  <c r="N3165" i="1"/>
  <c r="O3165" i="1"/>
  <c r="P3165" i="1"/>
  <c r="T3165" i="1"/>
  <c r="N3168" i="1"/>
  <c r="O3168" i="1"/>
  <c r="P3168" i="1"/>
  <c r="T3168" i="1"/>
  <c r="N3170" i="1"/>
  <c r="O3170" i="1"/>
  <c r="P3170" i="1"/>
  <c r="T3170" i="1"/>
  <c r="N3171" i="1"/>
  <c r="O3171" i="1"/>
  <c r="P3171" i="1"/>
  <c r="T3171" i="1"/>
  <c r="N3172" i="1"/>
  <c r="O3172" i="1"/>
  <c r="P3172" i="1"/>
  <c r="T3172" i="1"/>
  <c r="N3173" i="1"/>
  <c r="O3173" i="1"/>
  <c r="P3173" i="1"/>
  <c r="T3173" i="1"/>
  <c r="N3175" i="1"/>
  <c r="O3175" i="1"/>
  <c r="P3175" i="1"/>
  <c r="T3175" i="1"/>
  <c r="N3176" i="1"/>
  <c r="O3176" i="1"/>
  <c r="P3176" i="1"/>
  <c r="T3176" i="1"/>
  <c r="N3177" i="1"/>
  <c r="O3177" i="1"/>
  <c r="P3177" i="1"/>
  <c r="T3177" i="1"/>
  <c r="N3178" i="1"/>
  <c r="O3178" i="1"/>
  <c r="P3178" i="1"/>
  <c r="T3178" i="1"/>
  <c r="N3179" i="1"/>
  <c r="O3179" i="1"/>
  <c r="P3179" i="1"/>
  <c r="T3179" i="1"/>
  <c r="N3181" i="1"/>
  <c r="O3181" i="1"/>
  <c r="P3181" i="1"/>
  <c r="T3181" i="1"/>
  <c r="N3182" i="1"/>
  <c r="O3182" i="1"/>
  <c r="P3182" i="1"/>
  <c r="T3182" i="1"/>
  <c r="N3183" i="1"/>
  <c r="O3183" i="1"/>
  <c r="P3183" i="1"/>
  <c r="T3183" i="1"/>
  <c r="N3184" i="1"/>
  <c r="O3184" i="1"/>
  <c r="P3184" i="1"/>
  <c r="T3184" i="1"/>
  <c r="N3185" i="1"/>
  <c r="O3185" i="1"/>
  <c r="P3185" i="1"/>
  <c r="T3185" i="1"/>
  <c r="N3186" i="1"/>
  <c r="O3186" i="1"/>
  <c r="P3186" i="1"/>
  <c r="T3186" i="1"/>
  <c r="N3187" i="1"/>
  <c r="O3187" i="1"/>
  <c r="P3187" i="1"/>
  <c r="T3187" i="1"/>
  <c r="N3188" i="1"/>
  <c r="O3188" i="1"/>
  <c r="P3188" i="1"/>
  <c r="T3188" i="1"/>
  <c r="N3189" i="1"/>
  <c r="O3189" i="1"/>
  <c r="P3189" i="1"/>
  <c r="T3189" i="1"/>
  <c r="N3190" i="1"/>
  <c r="O3190" i="1"/>
  <c r="P3190" i="1"/>
  <c r="T3190" i="1"/>
  <c r="N3191" i="1"/>
  <c r="O3191" i="1"/>
  <c r="P3191" i="1"/>
  <c r="T3191" i="1"/>
  <c r="N3193" i="1"/>
  <c r="O3193" i="1"/>
  <c r="P3193" i="1"/>
  <c r="T3193" i="1"/>
  <c r="N3194" i="1"/>
  <c r="O3194" i="1"/>
  <c r="P3194" i="1"/>
  <c r="T3194" i="1"/>
  <c r="N3195" i="1"/>
  <c r="O3195" i="1"/>
  <c r="P3195" i="1"/>
  <c r="T3195" i="1"/>
  <c r="N3196" i="1"/>
  <c r="O3196" i="1"/>
  <c r="P3196" i="1"/>
  <c r="T3196" i="1"/>
  <c r="N3198" i="1"/>
  <c r="O3198" i="1"/>
  <c r="P3198" i="1"/>
  <c r="T3198" i="1"/>
  <c r="N3199" i="1"/>
  <c r="O3199" i="1"/>
  <c r="P3199" i="1"/>
  <c r="T3199" i="1"/>
  <c r="N3201" i="1"/>
  <c r="O3201" i="1"/>
  <c r="P3201" i="1"/>
  <c r="T3201" i="1"/>
  <c r="N3202" i="1"/>
  <c r="O3202" i="1"/>
  <c r="P3202" i="1"/>
  <c r="T3202" i="1"/>
  <c r="N3203" i="1"/>
  <c r="O3203" i="1"/>
  <c r="P3203" i="1"/>
  <c r="T3203" i="1"/>
  <c r="N3204" i="1"/>
  <c r="O3204" i="1"/>
  <c r="P3204" i="1"/>
  <c r="T3204" i="1"/>
  <c r="N3206" i="1"/>
  <c r="O3206" i="1"/>
  <c r="P3206" i="1"/>
  <c r="T3206" i="1"/>
  <c r="N3207" i="1"/>
  <c r="O3207" i="1"/>
  <c r="P3207" i="1"/>
  <c r="T3207" i="1"/>
  <c r="N3209" i="1"/>
  <c r="O3209" i="1"/>
  <c r="P3209" i="1"/>
  <c r="T3209" i="1"/>
  <c r="N3210" i="1"/>
  <c r="O3210" i="1"/>
  <c r="P3210" i="1"/>
  <c r="T3210" i="1"/>
  <c r="N3211" i="1"/>
  <c r="O3211" i="1"/>
  <c r="P3211" i="1"/>
  <c r="T3211" i="1"/>
  <c r="N3212" i="1"/>
  <c r="O3212" i="1"/>
  <c r="P3212" i="1"/>
  <c r="T3212" i="1"/>
  <c r="N3214" i="1"/>
  <c r="O3214" i="1"/>
  <c r="P3214" i="1"/>
  <c r="T3214" i="1"/>
  <c r="N3215" i="1"/>
  <c r="O3215" i="1"/>
  <c r="P3215" i="1"/>
  <c r="T3215" i="1"/>
  <c r="N3216" i="1"/>
  <c r="O3216" i="1"/>
  <c r="P3216" i="1"/>
  <c r="T3216" i="1"/>
  <c r="N3217" i="1"/>
  <c r="O3217" i="1"/>
  <c r="P3217" i="1"/>
  <c r="T3217" i="1"/>
  <c r="N3219" i="1"/>
  <c r="O3219" i="1"/>
  <c r="P3219" i="1"/>
  <c r="T3219" i="1"/>
  <c r="N3220" i="1"/>
  <c r="O3220" i="1"/>
  <c r="P3220" i="1"/>
  <c r="T3220" i="1"/>
  <c r="N3221" i="1"/>
  <c r="O3221" i="1"/>
  <c r="P3221" i="1"/>
  <c r="T3221" i="1"/>
  <c r="N3222" i="1"/>
  <c r="O3222" i="1"/>
  <c r="P3222" i="1"/>
  <c r="T3222" i="1"/>
  <c r="N3223" i="1"/>
  <c r="O3223" i="1"/>
  <c r="P3223" i="1"/>
  <c r="T3223" i="1"/>
  <c r="N3224" i="1"/>
  <c r="O3224" i="1"/>
  <c r="P3224" i="1"/>
  <c r="T3224" i="1"/>
  <c r="N3225" i="1"/>
  <c r="O3225" i="1"/>
  <c r="P3225" i="1"/>
  <c r="T3225" i="1"/>
  <c r="N3227" i="1"/>
  <c r="O3227" i="1"/>
  <c r="P3227" i="1"/>
  <c r="T3227" i="1"/>
  <c r="N3228" i="1"/>
  <c r="O3228" i="1"/>
  <c r="P3228" i="1"/>
  <c r="T3228" i="1"/>
  <c r="N3229" i="1"/>
  <c r="O3229" i="1"/>
  <c r="P3229" i="1"/>
  <c r="T3229" i="1"/>
  <c r="N3230" i="1"/>
  <c r="O3230" i="1"/>
  <c r="P3230" i="1"/>
  <c r="T3230" i="1"/>
  <c r="N3232" i="1"/>
  <c r="O3232" i="1"/>
  <c r="P3232" i="1"/>
  <c r="T3232" i="1"/>
  <c r="N3233" i="1"/>
  <c r="O3233" i="1"/>
  <c r="P3233" i="1"/>
  <c r="T3233" i="1"/>
  <c r="N3234" i="1"/>
  <c r="O3234" i="1"/>
  <c r="P3234" i="1"/>
  <c r="T3234" i="1"/>
  <c r="N3235" i="1"/>
  <c r="O3235" i="1"/>
  <c r="P3235" i="1"/>
  <c r="T3235" i="1"/>
  <c r="N3237" i="1"/>
  <c r="O3237" i="1"/>
  <c r="P3237" i="1"/>
  <c r="T3237" i="1"/>
  <c r="N3238" i="1"/>
  <c r="O3238" i="1"/>
  <c r="P3238" i="1"/>
  <c r="T3238" i="1"/>
  <c r="N3239" i="1"/>
  <c r="O3239" i="1"/>
  <c r="P3239" i="1"/>
  <c r="T3239" i="1"/>
  <c r="N3240" i="1"/>
  <c r="O3240" i="1"/>
  <c r="P3240" i="1"/>
  <c r="T3240" i="1"/>
  <c r="N3242" i="1"/>
  <c r="O3242" i="1"/>
  <c r="P3242" i="1"/>
  <c r="T3242" i="1"/>
  <c r="N3243" i="1"/>
  <c r="O3243" i="1"/>
  <c r="P3243" i="1"/>
  <c r="T3243" i="1"/>
  <c r="N3244" i="1"/>
  <c r="O3244" i="1"/>
  <c r="P3244" i="1"/>
  <c r="T3244" i="1"/>
  <c r="N3245" i="1"/>
  <c r="O3245" i="1"/>
  <c r="P3245" i="1"/>
  <c r="T3245" i="1"/>
  <c r="N3246" i="1"/>
  <c r="O3246" i="1"/>
  <c r="P3246" i="1"/>
  <c r="T3246" i="1"/>
  <c r="N3247" i="1"/>
  <c r="O3247" i="1"/>
  <c r="P3247" i="1"/>
  <c r="T3247" i="1"/>
  <c r="N3248" i="1"/>
  <c r="O3248" i="1"/>
  <c r="P3248" i="1"/>
  <c r="T3248" i="1"/>
  <c r="N3249" i="1"/>
  <c r="O3249" i="1"/>
  <c r="P3249" i="1"/>
  <c r="T3249" i="1"/>
  <c r="N3252" i="1"/>
  <c r="O3252" i="1"/>
  <c r="P3252" i="1"/>
  <c r="T3252" i="1"/>
  <c r="N3253" i="1"/>
  <c r="O3253" i="1"/>
  <c r="P3253" i="1"/>
  <c r="T3253" i="1"/>
  <c r="N3255" i="1"/>
  <c r="O3255" i="1"/>
  <c r="P3255" i="1"/>
  <c r="T3255" i="1"/>
  <c r="N3256" i="1"/>
  <c r="O3256" i="1"/>
  <c r="P3256" i="1"/>
  <c r="T3256" i="1"/>
  <c r="N3257" i="1"/>
  <c r="O3257" i="1"/>
  <c r="P3257" i="1"/>
  <c r="T3257" i="1"/>
  <c r="N3258" i="1"/>
  <c r="O3258" i="1"/>
  <c r="P3258" i="1"/>
  <c r="T3258" i="1"/>
  <c r="N3261" i="1"/>
  <c r="O3261" i="1"/>
  <c r="P3261" i="1"/>
  <c r="T3261" i="1"/>
  <c r="N3264" i="1"/>
  <c r="O3264" i="1"/>
  <c r="P3264" i="1"/>
  <c r="T3264" i="1"/>
  <c r="N3265" i="1"/>
  <c r="O3265" i="1"/>
  <c r="P3265" i="1"/>
  <c r="T3265" i="1"/>
  <c r="N3267" i="1"/>
  <c r="O3267" i="1"/>
  <c r="P3267" i="1"/>
  <c r="T3267" i="1"/>
  <c r="N3268" i="1"/>
  <c r="O3268" i="1"/>
  <c r="P3268" i="1"/>
  <c r="T3268" i="1"/>
  <c r="N3269" i="1"/>
  <c r="O3269" i="1"/>
  <c r="P3269" i="1"/>
  <c r="T3269" i="1"/>
  <c r="N3271" i="1"/>
  <c r="O3271" i="1"/>
  <c r="P3271" i="1"/>
  <c r="T3271" i="1"/>
  <c r="N3273" i="1"/>
  <c r="O3273" i="1"/>
  <c r="P3273" i="1"/>
  <c r="T3273" i="1"/>
  <c r="N3275" i="1"/>
  <c r="O3275" i="1"/>
  <c r="P3275" i="1"/>
  <c r="T3275" i="1"/>
  <c r="N3277" i="1"/>
  <c r="O3277" i="1"/>
  <c r="P3277" i="1"/>
  <c r="T3277" i="1"/>
  <c r="N3278" i="1"/>
  <c r="O3278" i="1"/>
  <c r="P3278" i="1"/>
  <c r="T3278" i="1"/>
  <c r="N3280" i="1"/>
  <c r="O3280" i="1"/>
  <c r="P3280" i="1"/>
  <c r="T3280" i="1"/>
  <c r="N3281" i="1"/>
  <c r="O3281" i="1"/>
  <c r="P3281" i="1"/>
  <c r="T3281" i="1"/>
  <c r="N3282" i="1"/>
  <c r="O3282" i="1"/>
  <c r="P3282" i="1"/>
  <c r="T3282" i="1"/>
  <c r="N3283" i="1"/>
  <c r="O3283" i="1"/>
  <c r="P3283" i="1"/>
  <c r="T3283" i="1"/>
  <c r="N3286" i="1"/>
  <c r="O3286" i="1"/>
  <c r="P3286" i="1"/>
  <c r="T3286" i="1"/>
  <c r="N3287" i="1"/>
  <c r="O3287" i="1"/>
  <c r="P3287" i="1"/>
  <c r="T3287" i="1"/>
  <c r="N3288" i="1"/>
  <c r="O3288" i="1"/>
  <c r="P3288" i="1"/>
  <c r="T3288" i="1"/>
  <c r="N3289" i="1"/>
  <c r="O3289" i="1"/>
  <c r="P3289" i="1"/>
  <c r="T3289" i="1"/>
  <c r="N3290" i="1"/>
  <c r="O3290" i="1"/>
  <c r="P3290" i="1"/>
  <c r="T3290" i="1"/>
  <c r="N3291" i="1"/>
  <c r="O3291" i="1"/>
  <c r="P3291" i="1"/>
  <c r="T3291" i="1"/>
  <c r="N3292" i="1"/>
  <c r="O3292" i="1"/>
  <c r="P3292" i="1"/>
  <c r="T3292" i="1"/>
  <c r="N3294" i="1"/>
  <c r="O3294" i="1"/>
  <c r="P3294" i="1"/>
  <c r="T3294" i="1"/>
  <c r="N3295" i="1"/>
  <c r="O3295" i="1"/>
  <c r="P3295" i="1"/>
  <c r="T3295" i="1"/>
  <c r="N3296" i="1"/>
  <c r="O3296" i="1"/>
  <c r="P3296" i="1"/>
  <c r="T3296" i="1"/>
  <c r="N3297" i="1"/>
  <c r="O3297" i="1"/>
  <c r="P3297" i="1"/>
  <c r="T3297" i="1"/>
  <c r="N3298" i="1"/>
  <c r="O3298" i="1"/>
  <c r="P3298" i="1"/>
  <c r="T3298" i="1"/>
  <c r="N3300" i="1"/>
  <c r="O3300" i="1"/>
  <c r="P3300" i="1"/>
  <c r="T3300" i="1"/>
  <c r="N3301" i="1"/>
  <c r="O3301" i="1"/>
  <c r="P3301" i="1"/>
  <c r="T3301" i="1"/>
  <c r="N3302" i="1"/>
  <c r="O3302" i="1"/>
  <c r="P3302" i="1"/>
  <c r="T3302" i="1"/>
  <c r="N3305" i="1"/>
  <c r="O3305" i="1"/>
  <c r="P3305" i="1"/>
  <c r="T3305" i="1"/>
  <c r="N3307" i="1"/>
  <c r="O3307" i="1"/>
  <c r="P3307" i="1"/>
  <c r="T3307" i="1"/>
  <c r="N3308" i="1"/>
  <c r="O3308" i="1"/>
  <c r="P3308" i="1"/>
  <c r="T3308" i="1"/>
  <c r="N3309" i="1"/>
  <c r="O3309" i="1"/>
  <c r="P3309" i="1"/>
  <c r="T3309" i="1"/>
  <c r="N3310" i="1"/>
  <c r="O3310" i="1"/>
  <c r="P3310" i="1"/>
  <c r="T3310" i="1"/>
  <c r="N3312" i="1"/>
  <c r="O3312" i="1"/>
  <c r="P3312" i="1"/>
  <c r="T3312" i="1"/>
  <c r="N3314" i="1"/>
  <c r="O3314" i="1"/>
  <c r="P3314" i="1"/>
  <c r="T3314" i="1"/>
  <c r="N3315" i="1"/>
  <c r="O3315" i="1"/>
  <c r="P3315" i="1"/>
  <c r="T3315" i="1"/>
  <c r="N3316" i="1"/>
  <c r="O3316" i="1"/>
  <c r="P3316" i="1"/>
  <c r="T3316" i="1"/>
  <c r="N3317" i="1"/>
  <c r="O3317" i="1"/>
  <c r="P3317" i="1"/>
  <c r="T3317" i="1"/>
  <c r="N3318" i="1"/>
  <c r="O3318" i="1"/>
  <c r="P3318" i="1"/>
  <c r="T3318" i="1"/>
  <c r="N3321" i="1"/>
  <c r="O3321" i="1"/>
  <c r="P3321" i="1"/>
  <c r="T3321" i="1"/>
  <c r="N3322" i="1"/>
  <c r="O3322" i="1"/>
  <c r="P3322" i="1"/>
  <c r="T3322" i="1"/>
  <c r="N3323" i="1"/>
  <c r="O3323" i="1"/>
  <c r="P3323" i="1"/>
  <c r="T3323" i="1"/>
  <c r="N3324" i="1"/>
  <c r="O3324" i="1"/>
  <c r="P3324" i="1"/>
  <c r="T3324" i="1"/>
  <c r="N3325" i="1"/>
  <c r="O3325" i="1"/>
  <c r="P3325" i="1"/>
  <c r="T3325" i="1"/>
  <c r="N3326" i="1"/>
  <c r="O3326" i="1"/>
  <c r="P3326" i="1"/>
  <c r="T3326" i="1"/>
  <c r="N3327" i="1"/>
  <c r="O3327" i="1"/>
  <c r="P3327" i="1"/>
  <c r="T3327" i="1"/>
  <c r="N3328" i="1"/>
  <c r="O3328" i="1"/>
  <c r="P3328" i="1"/>
  <c r="T3328" i="1"/>
  <c r="N3329" i="1"/>
  <c r="O3329" i="1"/>
  <c r="P3329" i="1"/>
  <c r="T3329" i="1"/>
  <c r="N3330" i="1"/>
  <c r="O3330" i="1"/>
  <c r="P3330" i="1"/>
  <c r="T3330" i="1"/>
  <c r="N3331" i="1"/>
  <c r="O3331" i="1"/>
  <c r="P3331" i="1"/>
  <c r="T3331" i="1"/>
  <c r="N3333" i="1"/>
  <c r="O3333" i="1"/>
  <c r="P3333" i="1"/>
  <c r="T3333" i="1"/>
  <c r="N3334" i="1"/>
  <c r="O3334" i="1"/>
  <c r="P3334" i="1"/>
  <c r="T3334" i="1"/>
  <c r="N3335" i="1"/>
  <c r="O3335" i="1"/>
  <c r="P3335" i="1"/>
  <c r="T3335" i="1"/>
  <c r="N3336" i="1"/>
  <c r="O3336" i="1"/>
  <c r="P3336" i="1"/>
  <c r="T3336" i="1"/>
  <c r="N3337" i="1"/>
  <c r="O3337" i="1"/>
  <c r="P3337" i="1"/>
  <c r="T3337" i="1"/>
  <c r="N3338" i="1"/>
  <c r="O3338" i="1"/>
  <c r="P3338" i="1"/>
  <c r="T3338" i="1"/>
  <c r="N3341" i="1"/>
  <c r="O3341" i="1"/>
  <c r="P3341" i="1"/>
  <c r="T3341" i="1"/>
  <c r="N3342" i="1"/>
  <c r="O3342" i="1"/>
  <c r="P3342" i="1"/>
  <c r="T3342" i="1"/>
  <c r="N3343" i="1"/>
  <c r="O3343" i="1"/>
  <c r="P3343" i="1"/>
  <c r="T3343" i="1"/>
  <c r="N3344" i="1"/>
  <c r="O3344" i="1"/>
  <c r="P3344" i="1"/>
  <c r="T3344" i="1"/>
  <c r="N3345" i="1"/>
  <c r="O3345" i="1"/>
  <c r="P3345" i="1"/>
  <c r="T3345" i="1"/>
  <c r="N3346" i="1"/>
  <c r="O3346" i="1"/>
  <c r="P3346" i="1"/>
  <c r="T3346" i="1"/>
  <c r="N3349" i="1"/>
  <c r="O3349" i="1"/>
  <c r="P3349" i="1"/>
  <c r="T3349" i="1"/>
  <c r="N3350" i="1"/>
  <c r="O3350" i="1"/>
  <c r="P3350" i="1"/>
  <c r="T3350" i="1"/>
  <c r="N3354" i="1"/>
  <c r="O3354" i="1"/>
  <c r="P3354" i="1"/>
  <c r="T3354" i="1"/>
  <c r="N3355" i="1"/>
  <c r="O3355" i="1"/>
  <c r="P3355" i="1"/>
  <c r="T3355" i="1"/>
  <c r="N3356" i="1"/>
  <c r="O3356" i="1"/>
  <c r="P3356" i="1"/>
  <c r="T3356" i="1"/>
  <c r="N3358" i="1"/>
  <c r="O3358" i="1"/>
  <c r="P3358" i="1"/>
  <c r="T3358" i="1"/>
  <c r="N3359" i="1"/>
  <c r="O3359" i="1"/>
  <c r="P3359" i="1"/>
  <c r="T3359" i="1"/>
  <c r="N3361" i="1"/>
  <c r="O3361" i="1"/>
  <c r="P3361" i="1"/>
  <c r="N3362" i="1"/>
  <c r="O3362" i="1"/>
  <c r="P3362" i="1"/>
  <c r="N3363" i="1"/>
  <c r="O3363" i="1"/>
  <c r="P3363" i="1"/>
  <c r="N3364" i="1"/>
  <c r="O3364" i="1"/>
  <c r="P3364" i="1"/>
  <c r="T3364" i="1"/>
  <c r="N3365" i="1"/>
  <c r="O3365" i="1"/>
  <c r="P3365" i="1"/>
  <c r="T3365" i="1"/>
  <c r="N3369" i="1"/>
  <c r="O3369" i="1"/>
  <c r="P3369" i="1"/>
  <c r="T3369" i="1"/>
  <c r="N3370" i="1"/>
  <c r="O3370" i="1"/>
  <c r="P3370" i="1"/>
  <c r="T3370" i="1"/>
  <c r="N3374" i="1"/>
  <c r="O3374" i="1"/>
  <c r="P3374" i="1"/>
  <c r="T3374" i="1"/>
  <c r="N3375" i="1"/>
  <c r="O3375" i="1"/>
  <c r="P3375" i="1"/>
  <c r="T3375" i="1"/>
  <c r="N3376" i="1"/>
  <c r="O3376" i="1"/>
  <c r="P3376" i="1"/>
  <c r="T3376" i="1"/>
  <c r="N3377" i="1"/>
  <c r="O3377" i="1"/>
  <c r="P3377" i="1"/>
  <c r="T3377" i="1"/>
  <c r="N3379" i="1"/>
  <c r="O3379" i="1"/>
  <c r="P3379" i="1"/>
  <c r="T3379" i="1"/>
  <c r="N3380" i="1"/>
  <c r="O3380" i="1"/>
  <c r="P3380" i="1"/>
  <c r="T3380" i="1"/>
  <c r="N3381" i="1"/>
  <c r="O3381" i="1"/>
  <c r="P3381" i="1"/>
  <c r="T3381" i="1"/>
  <c r="N3384" i="1"/>
  <c r="O3384" i="1"/>
  <c r="P3384" i="1"/>
  <c r="T3384" i="1"/>
  <c r="N3385" i="1"/>
  <c r="O3385" i="1"/>
  <c r="P3385" i="1"/>
  <c r="T3385" i="1"/>
  <c r="N3386" i="1"/>
  <c r="O3386" i="1"/>
  <c r="P3386" i="1"/>
  <c r="T3386" i="1"/>
  <c r="N3388" i="1"/>
  <c r="O3388" i="1"/>
  <c r="P3388" i="1"/>
  <c r="T3388" i="1"/>
  <c r="N3391" i="1"/>
  <c r="O3391" i="1"/>
  <c r="P3391" i="1"/>
  <c r="T3391" i="1"/>
  <c r="N3392" i="1"/>
  <c r="O3392" i="1"/>
  <c r="P3392" i="1"/>
  <c r="T3392" i="1"/>
  <c r="N3393" i="1"/>
  <c r="O3393" i="1"/>
  <c r="P3393" i="1"/>
  <c r="T3393" i="1"/>
  <c r="N3395" i="1"/>
  <c r="O3395" i="1"/>
  <c r="P3395" i="1"/>
  <c r="T3395" i="1"/>
  <c r="N3396" i="1"/>
  <c r="O3396" i="1"/>
  <c r="P3396" i="1"/>
  <c r="T3396" i="1"/>
  <c r="N3399" i="1"/>
  <c r="O3399" i="1"/>
  <c r="P3399" i="1"/>
  <c r="T3399" i="1"/>
  <c r="N3400" i="1"/>
  <c r="O3400" i="1"/>
  <c r="P3400" i="1"/>
  <c r="T3400" i="1"/>
  <c r="N3401" i="1"/>
  <c r="O3401" i="1"/>
  <c r="P3401" i="1"/>
  <c r="T3401" i="1"/>
  <c r="N3402" i="1"/>
  <c r="O3402" i="1"/>
  <c r="P3402" i="1"/>
  <c r="T3402" i="1"/>
  <c r="N3407" i="1"/>
  <c r="O3407" i="1"/>
  <c r="P3407" i="1"/>
  <c r="T3407" i="1"/>
  <c r="N3408" i="1"/>
  <c r="O3408" i="1"/>
  <c r="P3408" i="1"/>
  <c r="T3408" i="1"/>
  <c r="N3409" i="1"/>
  <c r="O3409" i="1"/>
  <c r="P3409" i="1"/>
  <c r="N3410" i="1"/>
  <c r="O3410" i="1"/>
  <c r="P3410" i="1"/>
  <c r="T3410" i="1"/>
  <c r="N3411" i="1"/>
  <c r="O3411" i="1"/>
  <c r="P3411" i="1"/>
  <c r="T3411" i="1"/>
  <c r="N3413" i="1"/>
  <c r="O3413" i="1"/>
  <c r="P3413" i="1"/>
  <c r="T3413" i="1"/>
  <c r="N3414" i="1"/>
  <c r="O3414" i="1"/>
  <c r="P3414" i="1"/>
  <c r="T3414" i="1"/>
  <c r="N3415" i="1"/>
  <c r="O3415" i="1"/>
  <c r="P3415" i="1"/>
  <c r="T3415" i="1"/>
  <c r="N3416" i="1"/>
  <c r="O3416" i="1"/>
  <c r="P3416" i="1"/>
  <c r="T3416" i="1"/>
  <c r="N3417" i="1"/>
  <c r="O3417" i="1"/>
  <c r="P3417" i="1"/>
  <c r="T3417" i="1"/>
  <c r="N3419" i="1"/>
  <c r="O3419" i="1"/>
  <c r="P3419" i="1"/>
  <c r="T3419" i="1"/>
  <c r="N3420" i="1"/>
  <c r="O3420" i="1"/>
  <c r="P3420" i="1"/>
  <c r="T3420" i="1"/>
  <c r="N3422" i="1"/>
  <c r="O3422" i="1"/>
  <c r="P3422" i="1"/>
  <c r="T3422" i="1"/>
  <c r="N3423" i="1"/>
  <c r="O3423" i="1"/>
  <c r="P3423" i="1"/>
  <c r="T3423" i="1"/>
  <c r="N3424" i="1"/>
  <c r="O3424" i="1"/>
  <c r="P3424" i="1"/>
  <c r="T3424" i="1"/>
  <c r="N3425" i="1"/>
  <c r="O3425" i="1"/>
  <c r="P3425" i="1"/>
  <c r="T3425" i="1"/>
  <c r="N3428" i="1"/>
  <c r="O3428" i="1"/>
  <c r="P3428" i="1"/>
  <c r="T3428" i="1"/>
  <c r="N3429" i="1"/>
  <c r="O3429" i="1"/>
  <c r="P3429" i="1"/>
  <c r="T3429" i="1"/>
  <c r="N3430" i="1"/>
  <c r="O3430" i="1"/>
  <c r="P3430" i="1"/>
  <c r="T3430" i="1"/>
  <c r="N3431" i="1"/>
  <c r="O3431" i="1"/>
  <c r="P3431" i="1"/>
  <c r="T3431" i="1"/>
  <c r="N3432" i="1"/>
  <c r="O3432" i="1"/>
  <c r="P3432" i="1"/>
  <c r="T3432" i="1"/>
  <c r="N3433" i="1"/>
  <c r="O3433" i="1"/>
  <c r="P3433" i="1"/>
  <c r="T3433" i="1"/>
  <c r="N3434" i="1"/>
  <c r="O3434" i="1"/>
  <c r="P3434" i="1"/>
  <c r="T3434" i="1"/>
  <c r="N3436" i="1"/>
  <c r="O3436" i="1"/>
  <c r="P3436" i="1"/>
  <c r="T3436" i="1"/>
  <c r="N3437" i="1"/>
  <c r="O3437" i="1"/>
  <c r="P3437" i="1"/>
  <c r="N3438" i="1"/>
  <c r="O3438" i="1"/>
  <c r="P3438" i="1"/>
  <c r="T3438" i="1"/>
  <c r="N3439" i="1"/>
  <c r="O3439" i="1"/>
  <c r="P3439" i="1"/>
  <c r="T3439" i="1"/>
  <c r="N3441" i="1"/>
  <c r="O3441" i="1"/>
  <c r="P3441" i="1"/>
  <c r="T3441" i="1"/>
  <c r="N3442" i="1"/>
  <c r="O3442" i="1"/>
  <c r="P3442" i="1"/>
  <c r="T3442" i="1"/>
  <c r="N3443" i="1"/>
  <c r="O3443" i="1"/>
  <c r="P3443" i="1"/>
  <c r="T3443" i="1"/>
  <c r="N3444" i="1"/>
  <c r="O3444" i="1"/>
  <c r="P3444" i="1"/>
  <c r="T3444" i="1"/>
  <c r="N3446" i="1"/>
  <c r="O3446" i="1"/>
  <c r="P3446" i="1"/>
  <c r="T3446" i="1"/>
  <c r="N3451" i="1"/>
  <c r="O3451" i="1"/>
  <c r="P3451" i="1"/>
  <c r="T3451" i="1"/>
  <c r="N3453" i="1"/>
  <c r="O3453" i="1"/>
  <c r="P3453" i="1"/>
  <c r="T3453" i="1"/>
  <c r="N3456" i="1"/>
  <c r="O3456" i="1"/>
  <c r="P3456" i="1"/>
  <c r="T3456" i="1"/>
  <c r="N3459" i="1"/>
  <c r="O3459" i="1"/>
  <c r="P3459" i="1"/>
  <c r="T3459" i="1"/>
  <c r="N3461" i="1"/>
  <c r="O3461" i="1"/>
  <c r="P3461" i="1"/>
  <c r="T3461" i="1"/>
  <c r="N3462" i="1"/>
  <c r="O3462" i="1"/>
  <c r="P3462" i="1"/>
  <c r="T3462" i="1"/>
  <c r="N3464" i="1"/>
  <c r="O3464" i="1"/>
  <c r="P3464" i="1"/>
  <c r="T3464" i="1"/>
  <c r="N3465" i="1"/>
  <c r="O3465" i="1"/>
  <c r="P3465" i="1"/>
  <c r="T3465" i="1"/>
  <c r="N3466" i="1"/>
  <c r="O3466" i="1"/>
  <c r="P3466" i="1"/>
  <c r="T3466" i="1"/>
  <c r="N3467" i="1"/>
  <c r="O3467" i="1"/>
  <c r="P3467" i="1"/>
  <c r="T3467" i="1"/>
  <c r="N3468" i="1"/>
  <c r="O3468" i="1"/>
  <c r="P3468" i="1"/>
  <c r="T3468" i="1"/>
  <c r="N3470" i="1"/>
  <c r="O3470" i="1"/>
  <c r="P3470" i="1"/>
  <c r="N3471" i="1"/>
  <c r="O3471" i="1"/>
  <c r="P3471" i="1"/>
  <c r="N3472" i="1"/>
  <c r="O3472" i="1"/>
  <c r="P3472" i="1"/>
  <c r="N3473" i="1"/>
  <c r="O3473" i="1"/>
  <c r="P3473" i="1"/>
  <c r="N3474" i="1"/>
  <c r="O3474" i="1"/>
  <c r="P3474" i="1"/>
  <c r="N3475" i="1"/>
  <c r="O3475" i="1"/>
  <c r="P3475" i="1"/>
  <c r="T3475" i="1"/>
  <c r="N3476" i="1"/>
  <c r="O3476" i="1"/>
  <c r="P3476" i="1"/>
  <c r="T3476" i="1"/>
  <c r="N3478" i="1"/>
  <c r="O3478" i="1"/>
  <c r="P3478" i="1"/>
  <c r="T3478" i="1"/>
  <c r="O3479" i="1"/>
  <c r="P3479" i="1"/>
  <c r="T3479" i="1"/>
  <c r="N3483" i="1"/>
  <c r="O3483" i="1"/>
  <c r="P3483" i="1"/>
  <c r="T3483" i="1"/>
  <c r="N3484" i="1"/>
  <c r="O3484" i="1"/>
  <c r="P3484" i="1"/>
  <c r="T3484" i="1"/>
  <c r="N3485" i="1"/>
  <c r="O3485" i="1"/>
  <c r="P3485" i="1"/>
  <c r="T3485" i="1"/>
  <c r="N3486" i="1"/>
  <c r="O3486" i="1"/>
  <c r="P3486" i="1"/>
  <c r="T3486" i="1"/>
  <c r="N3487" i="1"/>
  <c r="O3487" i="1"/>
  <c r="P3487" i="1"/>
  <c r="T3487" i="1"/>
  <c r="N3488" i="1"/>
  <c r="O3488" i="1"/>
  <c r="P3488" i="1"/>
  <c r="T3488" i="1"/>
  <c r="O3489" i="1"/>
  <c r="P3489" i="1"/>
  <c r="T3489" i="1"/>
  <c r="N3491" i="1"/>
  <c r="O3491" i="1"/>
  <c r="P3491" i="1"/>
  <c r="T3491" i="1"/>
  <c r="N3492" i="1"/>
  <c r="O3492" i="1"/>
  <c r="P3492" i="1"/>
  <c r="T3492" i="1"/>
  <c r="N3493" i="1"/>
  <c r="O3493" i="1"/>
  <c r="P3493" i="1"/>
  <c r="T3493" i="1"/>
  <c r="N3494" i="1"/>
  <c r="O3494" i="1"/>
  <c r="P3494" i="1"/>
  <c r="T3494" i="1"/>
  <c r="N3495" i="1"/>
  <c r="O3495" i="1"/>
  <c r="P3495" i="1"/>
  <c r="T3495" i="1"/>
  <c r="O3497" i="1"/>
  <c r="P3497" i="1"/>
  <c r="T3497" i="1"/>
  <c r="N3498" i="1"/>
  <c r="O3498" i="1"/>
  <c r="P3498" i="1"/>
  <c r="T3498" i="1"/>
  <c r="N3499" i="1"/>
  <c r="O3499" i="1"/>
  <c r="P3499" i="1"/>
  <c r="T3499" i="1"/>
  <c r="N3501" i="1"/>
  <c r="O3501" i="1"/>
  <c r="P3501" i="1"/>
  <c r="T3501" i="1"/>
  <c r="N3502" i="1"/>
  <c r="O3502" i="1"/>
  <c r="P3502" i="1"/>
  <c r="T3502" i="1"/>
  <c r="O3503" i="1"/>
  <c r="P3503" i="1"/>
  <c r="T3503" i="1"/>
  <c r="N3504" i="1"/>
  <c r="O3504" i="1"/>
  <c r="P3504" i="1"/>
  <c r="T3504" i="1"/>
  <c r="N3506" i="1"/>
  <c r="O3506" i="1"/>
  <c r="P3506" i="1"/>
  <c r="T3506" i="1"/>
  <c r="N3507" i="1"/>
  <c r="O3507" i="1"/>
  <c r="P3507" i="1"/>
  <c r="T3507" i="1"/>
  <c r="O3510" i="1"/>
  <c r="P3510" i="1"/>
  <c r="T3510" i="1"/>
  <c r="N3511" i="1"/>
  <c r="O3511" i="1"/>
  <c r="P3511" i="1"/>
  <c r="T3511" i="1"/>
  <c r="N3512" i="1"/>
  <c r="O3512" i="1"/>
  <c r="P3512" i="1"/>
  <c r="T3512" i="1"/>
  <c r="N3513" i="1"/>
  <c r="O3513" i="1"/>
  <c r="P3513" i="1"/>
  <c r="T3513" i="1"/>
  <c r="N3514" i="1"/>
  <c r="O3514" i="1"/>
  <c r="P3514" i="1"/>
  <c r="T3514" i="1"/>
  <c r="N3515" i="1"/>
  <c r="O3515" i="1"/>
  <c r="P3515" i="1"/>
  <c r="T3515" i="1"/>
  <c r="N3516" i="1"/>
  <c r="O3516" i="1"/>
  <c r="P3516" i="1"/>
  <c r="T3516" i="1"/>
  <c r="N3517" i="1"/>
  <c r="O3517" i="1"/>
  <c r="P3517" i="1"/>
  <c r="T3517" i="1"/>
  <c r="O3518" i="1"/>
  <c r="P3518" i="1"/>
  <c r="T3518" i="1"/>
  <c r="N3520" i="1"/>
  <c r="O3520" i="1"/>
  <c r="P3520" i="1"/>
  <c r="T3520" i="1"/>
  <c r="N3521" i="1"/>
  <c r="O3521" i="1"/>
  <c r="P3521" i="1"/>
  <c r="T3521" i="1"/>
  <c r="N3522" i="1"/>
  <c r="O3522" i="1"/>
  <c r="P3522" i="1"/>
  <c r="T3522" i="1"/>
  <c r="N3525" i="1"/>
  <c r="O3525" i="1"/>
  <c r="P3525" i="1"/>
  <c r="T3525" i="1"/>
  <c r="O3526" i="1"/>
  <c r="P3526" i="1"/>
  <c r="T3526" i="1"/>
  <c r="N3527" i="1"/>
  <c r="O3527" i="1"/>
  <c r="P3527" i="1"/>
  <c r="T3527" i="1"/>
  <c r="N3528" i="1"/>
  <c r="O3528" i="1"/>
  <c r="P3528" i="1"/>
  <c r="T3528" i="1"/>
  <c r="N3529" i="1"/>
  <c r="O3529" i="1"/>
  <c r="P3529" i="1"/>
  <c r="T3529" i="1"/>
  <c r="N3531" i="1"/>
  <c r="O3531" i="1"/>
  <c r="P3531" i="1"/>
  <c r="T3531" i="1"/>
  <c r="N3532" i="1"/>
  <c r="O3532" i="1"/>
  <c r="P3532" i="1"/>
  <c r="T3532" i="1"/>
  <c r="O3533" i="1"/>
  <c r="P3533" i="1"/>
  <c r="T3533" i="1"/>
  <c r="N3534" i="1"/>
  <c r="O3534" i="1"/>
  <c r="P3534" i="1"/>
  <c r="T3534" i="1"/>
  <c r="N3535" i="1"/>
  <c r="O3535" i="1"/>
  <c r="P3535" i="1"/>
  <c r="T3535" i="1"/>
  <c r="N3536" i="1"/>
  <c r="O3536" i="1"/>
  <c r="P3536" i="1"/>
  <c r="T3536" i="1"/>
  <c r="N3537" i="1"/>
  <c r="O3537" i="1"/>
  <c r="P3537" i="1"/>
  <c r="T3537" i="1"/>
  <c r="N3538" i="1"/>
  <c r="O3538" i="1"/>
  <c r="P3538" i="1"/>
  <c r="T3538" i="1"/>
  <c r="O3539" i="1"/>
  <c r="P3539" i="1"/>
  <c r="T3539" i="1"/>
  <c r="N3540" i="1"/>
  <c r="O3540" i="1"/>
  <c r="P3540" i="1"/>
  <c r="T3540" i="1"/>
  <c r="N3542" i="1"/>
  <c r="O3542" i="1"/>
  <c r="P3542" i="1"/>
  <c r="T3542" i="1"/>
  <c r="N3543" i="1"/>
  <c r="O3543" i="1"/>
  <c r="P3543" i="1"/>
  <c r="T3543" i="1"/>
  <c r="N3544" i="1"/>
  <c r="O3544" i="1"/>
  <c r="T3544" i="1"/>
  <c r="N3545" i="1"/>
  <c r="O3545" i="1"/>
  <c r="P3545" i="1"/>
  <c r="T3545" i="1"/>
  <c r="N3546" i="1"/>
  <c r="O3546" i="1"/>
  <c r="P3546" i="1"/>
  <c r="T3546" i="1"/>
  <c r="N3548" i="1"/>
  <c r="O3548" i="1"/>
  <c r="P3548" i="1"/>
  <c r="T3548" i="1"/>
  <c r="N3549" i="1"/>
  <c r="O3549" i="1"/>
  <c r="P3549" i="1"/>
  <c r="T3549" i="1"/>
  <c r="N3550" i="1"/>
  <c r="O3550" i="1"/>
  <c r="P3550" i="1"/>
  <c r="T3550" i="1"/>
  <c r="N3551" i="1"/>
  <c r="O3551" i="1"/>
  <c r="P3551" i="1"/>
  <c r="T3551" i="1"/>
  <c r="N3554" i="1"/>
  <c r="O3554" i="1"/>
  <c r="P3554" i="1"/>
  <c r="T3554" i="1"/>
  <c r="N3555" i="1"/>
  <c r="O3555" i="1"/>
  <c r="P3555" i="1"/>
  <c r="T3555" i="1"/>
  <c r="N3556" i="1"/>
  <c r="O3556" i="1"/>
  <c r="P3556" i="1"/>
  <c r="T3556" i="1"/>
  <c r="N3558" i="1"/>
  <c r="O3558" i="1"/>
  <c r="P3558" i="1"/>
  <c r="T3558" i="1"/>
  <c r="N3559" i="1"/>
  <c r="O3559" i="1"/>
  <c r="P3559" i="1"/>
  <c r="T3559" i="1"/>
  <c r="N3562" i="1"/>
  <c r="O3562" i="1"/>
  <c r="P3562" i="1"/>
  <c r="T3562" i="1"/>
  <c r="N3563" i="1"/>
  <c r="O3563" i="1"/>
  <c r="P3563" i="1"/>
  <c r="T3563" i="1"/>
  <c r="N3564" i="1"/>
  <c r="O3564" i="1"/>
  <c r="P3564" i="1"/>
  <c r="T3564" i="1"/>
  <c r="N3565" i="1"/>
  <c r="O3565" i="1"/>
  <c r="P3565" i="1"/>
  <c r="T3565" i="1"/>
  <c r="N3566" i="1"/>
  <c r="O3566" i="1"/>
  <c r="P3566" i="1"/>
  <c r="T3566" i="1"/>
  <c r="N3567" i="1"/>
  <c r="O3567" i="1"/>
  <c r="P3567" i="1"/>
  <c r="T3567" i="1"/>
  <c r="N3569" i="1"/>
  <c r="O3569" i="1"/>
  <c r="P3569" i="1"/>
  <c r="T3569" i="1"/>
  <c r="N3570" i="1"/>
  <c r="O3570" i="1"/>
  <c r="P3570" i="1"/>
  <c r="T3570" i="1"/>
  <c r="N3571" i="1"/>
  <c r="O3571" i="1"/>
  <c r="P3571" i="1"/>
  <c r="T3571" i="1"/>
  <c r="N3572" i="1"/>
  <c r="O3572" i="1"/>
  <c r="P3572" i="1"/>
  <c r="T3572" i="1"/>
  <c r="N3574" i="1"/>
  <c r="O3574" i="1"/>
  <c r="P3574" i="1"/>
  <c r="T3574" i="1"/>
  <c r="N3575" i="1"/>
  <c r="O3575" i="1"/>
  <c r="P3575" i="1"/>
  <c r="T3575" i="1"/>
  <c r="N3576" i="1"/>
  <c r="O3576" i="1"/>
  <c r="P3576" i="1"/>
  <c r="T3576" i="1"/>
  <c r="N3577" i="1"/>
  <c r="O3577" i="1"/>
  <c r="P3577" i="1"/>
  <c r="T3577" i="1"/>
  <c r="N3578" i="1"/>
  <c r="O3578" i="1"/>
  <c r="P3578" i="1"/>
  <c r="T3578" i="1"/>
  <c r="N3580" i="1"/>
  <c r="O3580" i="1"/>
  <c r="P3580" i="1"/>
  <c r="T3580" i="1"/>
  <c r="N3581" i="1"/>
  <c r="O3581" i="1"/>
  <c r="P3581" i="1"/>
  <c r="T3581" i="1"/>
  <c r="N3582" i="1"/>
  <c r="O3582" i="1"/>
  <c r="P3582" i="1"/>
  <c r="T3582" i="1"/>
  <c r="N3583" i="1"/>
  <c r="O3583" i="1"/>
  <c r="P3583" i="1"/>
  <c r="T3583" i="1"/>
  <c r="N3584" i="1"/>
  <c r="O3584" i="1"/>
  <c r="P3584" i="1"/>
  <c r="T3584" i="1"/>
  <c r="N3585" i="1"/>
  <c r="O3585" i="1"/>
  <c r="P3585" i="1"/>
  <c r="T3585" i="1"/>
  <c r="N3586" i="1"/>
  <c r="O3586" i="1"/>
  <c r="P3586" i="1"/>
  <c r="T3586" i="1"/>
  <c r="N3588" i="1"/>
  <c r="O3588" i="1"/>
  <c r="P3588" i="1"/>
  <c r="T3588" i="1"/>
  <c r="N3589" i="1"/>
  <c r="O3589" i="1"/>
  <c r="P3589" i="1"/>
  <c r="T3589" i="1"/>
  <c r="N3590" i="1"/>
  <c r="O3590" i="1"/>
  <c r="P3590" i="1"/>
  <c r="T3590" i="1"/>
  <c r="N3591" i="1"/>
  <c r="O3591" i="1"/>
  <c r="P3591" i="1"/>
  <c r="T3591" i="1"/>
  <c r="N3593" i="1"/>
  <c r="O3593" i="1"/>
  <c r="P3593" i="1"/>
  <c r="T3593" i="1"/>
  <c r="N3594" i="1"/>
  <c r="O3594" i="1"/>
  <c r="P3594" i="1"/>
  <c r="T3594" i="1"/>
  <c r="N3595" i="1"/>
  <c r="O3595" i="1"/>
  <c r="P3595" i="1"/>
  <c r="T3595" i="1"/>
  <c r="N3596" i="1"/>
  <c r="O3596" i="1"/>
  <c r="P3596" i="1"/>
  <c r="T3596" i="1"/>
  <c r="N3598" i="1"/>
  <c r="O3598" i="1"/>
  <c r="P3598" i="1"/>
  <c r="T3598" i="1"/>
  <c r="N3599" i="1"/>
  <c r="O3599" i="1"/>
  <c r="P3599" i="1"/>
  <c r="T3599" i="1"/>
  <c r="N3600" i="1"/>
  <c r="O3600" i="1"/>
  <c r="P3600" i="1"/>
  <c r="T3600" i="1"/>
  <c r="N3601" i="1"/>
  <c r="O3601" i="1"/>
  <c r="P3601" i="1"/>
  <c r="T3601" i="1"/>
  <c r="N3603" i="1"/>
  <c r="O3603" i="1"/>
  <c r="P3603" i="1"/>
  <c r="T3603" i="1"/>
  <c r="N3604" i="1"/>
  <c r="O3604" i="1"/>
  <c r="P3604" i="1"/>
  <c r="T3604" i="1"/>
  <c r="N3605" i="1"/>
  <c r="O3605" i="1"/>
  <c r="P3605" i="1"/>
  <c r="T3605" i="1"/>
  <c r="N3606" i="1"/>
  <c r="O3606" i="1"/>
  <c r="P3606" i="1"/>
  <c r="T3606" i="1"/>
  <c r="N3608" i="1"/>
  <c r="O3608" i="1"/>
  <c r="P3608" i="1"/>
  <c r="T3608" i="1"/>
  <c r="N3610" i="1"/>
  <c r="O3610" i="1"/>
  <c r="P3610" i="1"/>
  <c r="T3610" i="1"/>
  <c r="N3611" i="1"/>
  <c r="O3611" i="1"/>
  <c r="P3611" i="1"/>
  <c r="T3611" i="1"/>
  <c r="N3612" i="1"/>
  <c r="O3612" i="1"/>
  <c r="P3612" i="1"/>
  <c r="T3612" i="1"/>
  <c r="N3613" i="1"/>
  <c r="O3613" i="1"/>
  <c r="P3613" i="1"/>
  <c r="T3613" i="1"/>
  <c r="N3614" i="1"/>
  <c r="O3614" i="1"/>
  <c r="P3614" i="1"/>
  <c r="T3614" i="1"/>
  <c r="N3619" i="1"/>
  <c r="O3619" i="1"/>
  <c r="P3619" i="1"/>
  <c r="T3619" i="1"/>
  <c r="N3621" i="1"/>
  <c r="O3621" i="1"/>
  <c r="P3621" i="1"/>
  <c r="T3621" i="1"/>
  <c r="N3623" i="1"/>
  <c r="O3623" i="1"/>
  <c r="P3623" i="1"/>
  <c r="T3623" i="1"/>
  <c r="N3624" i="1"/>
  <c r="O3624" i="1"/>
  <c r="P3624" i="1"/>
  <c r="N3625" i="1"/>
  <c r="O3625" i="1"/>
  <c r="P3625" i="1"/>
  <c r="T3625" i="1"/>
  <c r="N3626" i="1"/>
  <c r="O3626" i="1"/>
  <c r="P3626" i="1"/>
  <c r="T3626" i="1"/>
  <c r="N3627" i="1"/>
  <c r="O3627" i="1"/>
  <c r="P3627" i="1"/>
  <c r="T3627" i="1"/>
  <c r="N3630" i="1"/>
  <c r="O3630" i="1"/>
  <c r="P3630" i="1"/>
  <c r="T3630" i="1"/>
  <c r="N3631" i="1"/>
  <c r="O3631" i="1"/>
  <c r="P3631" i="1"/>
  <c r="N3632" i="1"/>
  <c r="O3632" i="1"/>
  <c r="P3632" i="1"/>
  <c r="T3632" i="1"/>
  <c r="N3635" i="1"/>
  <c r="O3635" i="1"/>
  <c r="P3635" i="1"/>
  <c r="T3635" i="1"/>
  <c r="N3637" i="1"/>
  <c r="O3637" i="1"/>
  <c r="P3637" i="1"/>
  <c r="T3637" i="1"/>
  <c r="N3638" i="1"/>
  <c r="O3638" i="1"/>
  <c r="P3638" i="1"/>
  <c r="T3638" i="1"/>
  <c r="N3639" i="1"/>
  <c r="O3639" i="1"/>
  <c r="P3639" i="1"/>
  <c r="T3639" i="1"/>
  <c r="N3642" i="1"/>
  <c r="O3642" i="1"/>
  <c r="P3642" i="1"/>
  <c r="T3642" i="1"/>
  <c r="N3645" i="1"/>
  <c r="O3645" i="1"/>
  <c r="P3645" i="1"/>
  <c r="T3645" i="1"/>
  <c r="N3646" i="1"/>
  <c r="O3646" i="1"/>
  <c r="P3646" i="1"/>
  <c r="T3646" i="1"/>
  <c r="N3647" i="1"/>
  <c r="O3647" i="1"/>
  <c r="P3647" i="1"/>
  <c r="T3647" i="1"/>
  <c r="N3649" i="1"/>
  <c r="O3649" i="1"/>
  <c r="P3649" i="1"/>
  <c r="T3649" i="1"/>
  <c r="N3650" i="1"/>
  <c r="O3650" i="1"/>
  <c r="P3650" i="1"/>
  <c r="T3650" i="1"/>
  <c r="N3651" i="1"/>
  <c r="O3651" i="1"/>
  <c r="P3651" i="1"/>
  <c r="T3651" i="1"/>
  <c r="N3652" i="1"/>
  <c r="O3652" i="1"/>
  <c r="P3652" i="1"/>
  <c r="T3652" i="1"/>
  <c r="N3654" i="1"/>
  <c r="O3654" i="1"/>
  <c r="P3654" i="1"/>
  <c r="T3654" i="1"/>
  <c r="N3655" i="1"/>
  <c r="O3655" i="1"/>
  <c r="P3655" i="1"/>
  <c r="T3655" i="1"/>
  <c r="N3656" i="1"/>
  <c r="O3656" i="1"/>
  <c r="P3656" i="1"/>
  <c r="T3656" i="1"/>
  <c r="N3657" i="1"/>
  <c r="O3657" i="1"/>
  <c r="P3657" i="1"/>
  <c r="T3657" i="1"/>
  <c r="N3659" i="1"/>
  <c r="O3659" i="1"/>
  <c r="P3659" i="1"/>
  <c r="T3659" i="1"/>
  <c r="N3660" i="1"/>
  <c r="O3660" i="1"/>
  <c r="P3660" i="1"/>
  <c r="T3660" i="1"/>
  <c r="N3665" i="1"/>
  <c r="O3665" i="1"/>
  <c r="P3665" i="1"/>
  <c r="T3665" i="1"/>
  <c r="N3667" i="1"/>
  <c r="O3667" i="1"/>
  <c r="P3667" i="1"/>
  <c r="T3667" i="1"/>
  <c r="N3671" i="1"/>
  <c r="O3671" i="1"/>
  <c r="P3671" i="1"/>
  <c r="T3671" i="1"/>
  <c r="N3672" i="1"/>
  <c r="O3672" i="1"/>
  <c r="P3672" i="1"/>
  <c r="T3672" i="1"/>
  <c r="N3673" i="1"/>
  <c r="O3673" i="1"/>
  <c r="P3673" i="1"/>
  <c r="T3673" i="1"/>
  <c r="N3674" i="1"/>
  <c r="O3674" i="1"/>
  <c r="P3674" i="1"/>
  <c r="T3674" i="1"/>
  <c r="N3675" i="1"/>
  <c r="O3675" i="1"/>
  <c r="P3675" i="1"/>
  <c r="T3675" i="1"/>
  <c r="N3676" i="1"/>
  <c r="O3676" i="1"/>
  <c r="P3676" i="1"/>
  <c r="T3676" i="1"/>
  <c r="N3677" i="1"/>
  <c r="O3677" i="1"/>
  <c r="P3677" i="1"/>
  <c r="T3677" i="1"/>
  <c r="N3678" i="1"/>
  <c r="O3678" i="1"/>
  <c r="P3678" i="1"/>
  <c r="T3678" i="1"/>
  <c r="N3680" i="1"/>
  <c r="O3680" i="1"/>
  <c r="P3680" i="1"/>
  <c r="T3680" i="1"/>
  <c r="N3681" i="1"/>
  <c r="O3681" i="1"/>
  <c r="P3681" i="1"/>
  <c r="T3681" i="1"/>
  <c r="N3682" i="1"/>
  <c r="O3682" i="1"/>
  <c r="P3682" i="1"/>
  <c r="T3682" i="1"/>
  <c r="N3683" i="1"/>
  <c r="O3683" i="1"/>
  <c r="P3683" i="1"/>
  <c r="T3683" i="1"/>
  <c r="N3685" i="1"/>
  <c r="O3685" i="1"/>
  <c r="P3685" i="1"/>
  <c r="T3685" i="1"/>
  <c r="N3686" i="1"/>
  <c r="O3686" i="1"/>
  <c r="P3686" i="1"/>
  <c r="T3686" i="1"/>
  <c r="N3687" i="1"/>
  <c r="O3687" i="1"/>
  <c r="P3687" i="1"/>
  <c r="T3687" i="1"/>
  <c r="N3688" i="1"/>
  <c r="O3688" i="1"/>
  <c r="P3688" i="1"/>
  <c r="T3688" i="1"/>
  <c r="N3689" i="1"/>
  <c r="O3689" i="1"/>
  <c r="P3689" i="1"/>
  <c r="T3689" i="1"/>
  <c r="N3690" i="1"/>
  <c r="O3690" i="1"/>
  <c r="P3690" i="1"/>
  <c r="T3690" i="1"/>
  <c r="N3693" i="1"/>
  <c r="O3693" i="1"/>
  <c r="P3693" i="1"/>
  <c r="T3693" i="1"/>
  <c r="N3694" i="1"/>
  <c r="O3694" i="1"/>
  <c r="P3694" i="1"/>
  <c r="T3694" i="1"/>
  <c r="N3695" i="1"/>
  <c r="O3695" i="1"/>
  <c r="P3695" i="1"/>
  <c r="T3695" i="1"/>
  <c r="N3696" i="1"/>
  <c r="O3696" i="1"/>
  <c r="P3696" i="1"/>
  <c r="T3696" i="1"/>
  <c r="N3697" i="1"/>
  <c r="O3697" i="1"/>
  <c r="P3697" i="1"/>
  <c r="T3697" i="1"/>
  <c r="N3698" i="1"/>
  <c r="O3698" i="1"/>
  <c r="P3698" i="1"/>
  <c r="T3698" i="1"/>
  <c r="N3699" i="1"/>
  <c r="O3699" i="1"/>
  <c r="P3699" i="1"/>
  <c r="T3699" i="1"/>
  <c r="N3700" i="1"/>
  <c r="O3700" i="1"/>
  <c r="P3700" i="1"/>
  <c r="T3700" i="1"/>
  <c r="N3701" i="1"/>
  <c r="O3701" i="1"/>
  <c r="P3701" i="1"/>
  <c r="T3701" i="1"/>
  <c r="N3702" i="1"/>
  <c r="O3702" i="1"/>
  <c r="P3702" i="1"/>
  <c r="T3702" i="1"/>
  <c r="N3703" i="1"/>
  <c r="O3703" i="1"/>
  <c r="P3703" i="1"/>
  <c r="T3703" i="1"/>
  <c r="N3704" i="1"/>
  <c r="O3704" i="1"/>
  <c r="P3704" i="1"/>
  <c r="T3704" i="1"/>
  <c r="N3705" i="1"/>
  <c r="O3705" i="1"/>
  <c r="P3705" i="1"/>
  <c r="T3705" i="1"/>
  <c r="N3706" i="1"/>
  <c r="O3706" i="1"/>
  <c r="P3706" i="1"/>
  <c r="T3706" i="1"/>
  <c r="N3707" i="1"/>
  <c r="O3707" i="1"/>
  <c r="P3707" i="1"/>
  <c r="T3707" i="1"/>
  <c r="N3708" i="1"/>
  <c r="O3708" i="1"/>
  <c r="P3708" i="1"/>
  <c r="T3708" i="1"/>
  <c r="N3709" i="1"/>
  <c r="O3709" i="1"/>
  <c r="P3709" i="1"/>
  <c r="T3709" i="1"/>
  <c r="N3710" i="1"/>
  <c r="O3710" i="1"/>
  <c r="P3710" i="1"/>
  <c r="T3710" i="1"/>
  <c r="N3711" i="1"/>
  <c r="O3711" i="1"/>
  <c r="P3711" i="1"/>
  <c r="T3711" i="1"/>
  <c r="N3712" i="1"/>
  <c r="O3712" i="1"/>
  <c r="P3712" i="1"/>
  <c r="T3712" i="1"/>
  <c r="N3713" i="1"/>
  <c r="O3713" i="1"/>
  <c r="P3713" i="1"/>
  <c r="T3713" i="1"/>
  <c r="N3714" i="1"/>
  <c r="O3714" i="1"/>
  <c r="P3714" i="1"/>
  <c r="T3714" i="1"/>
  <c r="N3715" i="1"/>
  <c r="O3715" i="1"/>
  <c r="P3715" i="1"/>
  <c r="T3715" i="1"/>
  <c r="N3716" i="1"/>
  <c r="O3716" i="1"/>
  <c r="P3716" i="1"/>
  <c r="T3716" i="1"/>
  <c r="N3717" i="1"/>
  <c r="O3717" i="1"/>
  <c r="P3717" i="1"/>
  <c r="T3717" i="1"/>
  <c r="N3719" i="1"/>
  <c r="O3719" i="1"/>
  <c r="P3719" i="1"/>
  <c r="T3719" i="1"/>
  <c r="N3720" i="1"/>
  <c r="O3720" i="1"/>
  <c r="P3720" i="1"/>
  <c r="T3720" i="1"/>
  <c r="N3721" i="1"/>
  <c r="O3721" i="1"/>
  <c r="P3721" i="1"/>
  <c r="T3721" i="1"/>
  <c r="N3722" i="1"/>
  <c r="O3722" i="1"/>
  <c r="P3722" i="1"/>
  <c r="T3722" i="1"/>
  <c r="N3723" i="1"/>
  <c r="O3723" i="1"/>
  <c r="P3723" i="1"/>
  <c r="T3723" i="1"/>
  <c r="N3724" i="1"/>
  <c r="O3724" i="1"/>
  <c r="P3724" i="1"/>
  <c r="T3724" i="1"/>
  <c r="N3725" i="1"/>
  <c r="O3725" i="1"/>
  <c r="P3725" i="1"/>
  <c r="T3725" i="1"/>
  <c r="N3726" i="1"/>
  <c r="O3726" i="1"/>
  <c r="P3726" i="1"/>
  <c r="T3726" i="1"/>
  <c r="N3727" i="1"/>
  <c r="O3727" i="1"/>
  <c r="P3727" i="1"/>
  <c r="T3727" i="1"/>
  <c r="N3728" i="1"/>
  <c r="O3728" i="1"/>
  <c r="P3728" i="1"/>
  <c r="T3728" i="1"/>
  <c r="N3729" i="1"/>
  <c r="O3729" i="1"/>
  <c r="P3729" i="1"/>
  <c r="T3729" i="1"/>
  <c r="N3730" i="1"/>
  <c r="O3730" i="1"/>
  <c r="P3730" i="1"/>
  <c r="T3730" i="1"/>
  <c r="N3731" i="1"/>
  <c r="O3731" i="1"/>
  <c r="P3731" i="1"/>
  <c r="T3731" i="1"/>
  <c r="N3733" i="1"/>
  <c r="O3733" i="1"/>
  <c r="P3733" i="1"/>
  <c r="T3733" i="1"/>
  <c r="N3734" i="1"/>
  <c r="O3734" i="1"/>
  <c r="P3734" i="1"/>
  <c r="T3734" i="1"/>
  <c r="N3735" i="1"/>
  <c r="O3735" i="1"/>
  <c r="P3735" i="1"/>
  <c r="T3735" i="1"/>
  <c r="N3736" i="1"/>
  <c r="O3736" i="1"/>
  <c r="P3736" i="1"/>
  <c r="T3736" i="1"/>
  <c r="N3737" i="1"/>
  <c r="O3737" i="1"/>
  <c r="P3737" i="1"/>
  <c r="T3737" i="1"/>
  <c r="N3738" i="1"/>
  <c r="O3738" i="1"/>
  <c r="P3738" i="1"/>
  <c r="T3738" i="1"/>
  <c r="N3739" i="1"/>
  <c r="O3739" i="1"/>
  <c r="P3739" i="1"/>
  <c r="T3739" i="1"/>
  <c r="N3740" i="1"/>
  <c r="O3740" i="1"/>
  <c r="P3740" i="1"/>
  <c r="T3740" i="1"/>
  <c r="N3741" i="1"/>
  <c r="O3741" i="1"/>
  <c r="P3741" i="1"/>
  <c r="T3741" i="1"/>
  <c r="N3742" i="1"/>
  <c r="O3742" i="1"/>
  <c r="P3742" i="1"/>
  <c r="T3742" i="1"/>
  <c r="N3743" i="1"/>
  <c r="O3743" i="1"/>
  <c r="P3743" i="1"/>
  <c r="T3743" i="1"/>
  <c r="N3744" i="1"/>
  <c r="O3744" i="1"/>
  <c r="P3744" i="1"/>
  <c r="T3744" i="1"/>
  <c r="N3745" i="1"/>
  <c r="O3745" i="1"/>
  <c r="P3745" i="1"/>
  <c r="T3745" i="1"/>
  <c r="N3746" i="1"/>
  <c r="O3746" i="1"/>
  <c r="P3746" i="1"/>
  <c r="T3746" i="1"/>
  <c r="N3747" i="1"/>
  <c r="O3747" i="1"/>
  <c r="P3747" i="1"/>
  <c r="T3747" i="1"/>
  <c r="N3748" i="1"/>
  <c r="O3748" i="1"/>
  <c r="P3748" i="1"/>
  <c r="T3748" i="1"/>
  <c r="N3749" i="1"/>
  <c r="O3749" i="1"/>
  <c r="P3749" i="1"/>
  <c r="T3749" i="1"/>
  <c r="N3750" i="1"/>
  <c r="O3750" i="1"/>
  <c r="P3750" i="1"/>
  <c r="T3750" i="1"/>
  <c r="N3751" i="1"/>
  <c r="O3751" i="1"/>
  <c r="P3751" i="1"/>
  <c r="T3751" i="1"/>
  <c r="N3752" i="1"/>
  <c r="O3752" i="1"/>
  <c r="P3752" i="1"/>
  <c r="T3752" i="1"/>
  <c r="N3755" i="1"/>
  <c r="O3755" i="1"/>
  <c r="P3755" i="1"/>
  <c r="T3755" i="1"/>
  <c r="N3756" i="1"/>
  <c r="O3756" i="1"/>
  <c r="P3756" i="1"/>
  <c r="T3756" i="1"/>
  <c r="N3757" i="1"/>
  <c r="O3757" i="1"/>
  <c r="P3757" i="1"/>
  <c r="T3757" i="1"/>
  <c r="N3758" i="1"/>
  <c r="O3758" i="1"/>
  <c r="P3758" i="1"/>
  <c r="T3758" i="1"/>
  <c r="N3759" i="1"/>
  <c r="O3759" i="1"/>
  <c r="P3759" i="1"/>
  <c r="T3759" i="1"/>
  <c r="N3760" i="1"/>
  <c r="O3760" i="1"/>
  <c r="P3760" i="1"/>
  <c r="T3760" i="1"/>
  <c r="N3761" i="1"/>
  <c r="O3761" i="1"/>
  <c r="P3761" i="1"/>
  <c r="T3761" i="1"/>
  <c r="N3762" i="1"/>
  <c r="O3762" i="1"/>
  <c r="P3762" i="1"/>
  <c r="T3762" i="1"/>
  <c r="N3763" i="1"/>
  <c r="O3763" i="1"/>
  <c r="P3763" i="1"/>
  <c r="T3763" i="1"/>
  <c r="N3764" i="1"/>
  <c r="O3764" i="1"/>
  <c r="P3764" i="1"/>
  <c r="T3764" i="1"/>
  <c r="N3765" i="1"/>
  <c r="O3765" i="1"/>
  <c r="P3765" i="1"/>
  <c r="T3765" i="1"/>
  <c r="N3766" i="1"/>
  <c r="O3766" i="1"/>
  <c r="P3766" i="1"/>
  <c r="T3766" i="1"/>
  <c r="N3767" i="1"/>
  <c r="O3767" i="1"/>
  <c r="P3767" i="1"/>
  <c r="T3767" i="1"/>
  <c r="N3768" i="1"/>
  <c r="O3768" i="1"/>
  <c r="P3768" i="1"/>
  <c r="T3768" i="1"/>
  <c r="N3769" i="1"/>
  <c r="O3769" i="1"/>
  <c r="P3769" i="1"/>
  <c r="T3769" i="1"/>
  <c r="N3770" i="1"/>
  <c r="O3770" i="1"/>
  <c r="P3770" i="1"/>
  <c r="T3770" i="1"/>
  <c r="N3771" i="1"/>
  <c r="O3771" i="1"/>
  <c r="P3771" i="1"/>
  <c r="T3771" i="1"/>
  <c r="N3772" i="1"/>
  <c r="O3772" i="1"/>
  <c r="P3772" i="1"/>
  <c r="T3772" i="1"/>
  <c r="N3773" i="1"/>
  <c r="O3773" i="1"/>
  <c r="P3773" i="1"/>
  <c r="T3773" i="1"/>
  <c r="N3774" i="1"/>
  <c r="O3774" i="1"/>
  <c r="P3774" i="1"/>
  <c r="T3774" i="1"/>
  <c r="N3775" i="1"/>
  <c r="O3775" i="1"/>
  <c r="P3775" i="1"/>
  <c r="T3775" i="1"/>
  <c r="N3776" i="1"/>
  <c r="O3776" i="1"/>
  <c r="P3776" i="1"/>
  <c r="T3776" i="1"/>
  <c r="N3777" i="1"/>
  <c r="O3777" i="1"/>
  <c r="P3777" i="1"/>
  <c r="T3777" i="1"/>
  <c r="N3778" i="1"/>
  <c r="O3778" i="1"/>
  <c r="P3778" i="1"/>
  <c r="T3778" i="1"/>
  <c r="N3779" i="1"/>
  <c r="O3779" i="1"/>
  <c r="P3779" i="1"/>
  <c r="T3779" i="1"/>
  <c r="N3780" i="1"/>
  <c r="O3780" i="1"/>
  <c r="P3780" i="1"/>
  <c r="T3780" i="1"/>
  <c r="N3781" i="1"/>
  <c r="O3781" i="1"/>
  <c r="P3781" i="1"/>
  <c r="T3781" i="1"/>
  <c r="N3782" i="1"/>
  <c r="O3782" i="1"/>
  <c r="P3782" i="1"/>
  <c r="T3782" i="1"/>
  <c r="N3783" i="1"/>
  <c r="O3783" i="1"/>
  <c r="P3783" i="1"/>
  <c r="T3783" i="1"/>
  <c r="N3784" i="1"/>
  <c r="O3784" i="1"/>
  <c r="P3784" i="1"/>
  <c r="T3784" i="1"/>
  <c r="N3785" i="1"/>
  <c r="O3785" i="1"/>
  <c r="P3785" i="1"/>
  <c r="T3785" i="1"/>
  <c r="N3786" i="1"/>
  <c r="O3786" i="1"/>
  <c r="P3786" i="1"/>
  <c r="T3786" i="1"/>
  <c r="N3787" i="1"/>
  <c r="O3787" i="1"/>
  <c r="P3787" i="1"/>
  <c r="T3787" i="1"/>
  <c r="N3788" i="1"/>
  <c r="O3788" i="1"/>
  <c r="P3788" i="1"/>
  <c r="T3788" i="1"/>
  <c r="N3789" i="1"/>
  <c r="O3789" i="1"/>
  <c r="P3789" i="1"/>
  <c r="T3789" i="1"/>
  <c r="N3790" i="1"/>
  <c r="O3790" i="1"/>
  <c r="P3790" i="1"/>
  <c r="T3790" i="1"/>
  <c r="N3791" i="1"/>
  <c r="O3791" i="1"/>
  <c r="P3791" i="1"/>
  <c r="T3791" i="1"/>
  <c r="N3792" i="1"/>
  <c r="O3792" i="1"/>
  <c r="P3792" i="1"/>
  <c r="T3792" i="1"/>
  <c r="N3793" i="1"/>
  <c r="O3793" i="1"/>
  <c r="P3793" i="1"/>
  <c r="T3793" i="1"/>
  <c r="N3794" i="1"/>
  <c r="O3794" i="1"/>
  <c r="P3794" i="1"/>
  <c r="T3794" i="1"/>
  <c r="N3795" i="1"/>
  <c r="O3795" i="1"/>
  <c r="P3795" i="1"/>
  <c r="T3795" i="1"/>
  <c r="N3796" i="1"/>
  <c r="O3796" i="1"/>
  <c r="P3796" i="1"/>
  <c r="T3796" i="1"/>
  <c r="N3797" i="1"/>
  <c r="O3797" i="1"/>
  <c r="P3797" i="1"/>
  <c r="T3797" i="1"/>
  <c r="N3798" i="1"/>
  <c r="O3798" i="1"/>
  <c r="P3798" i="1"/>
  <c r="T3798" i="1"/>
  <c r="N3799" i="1"/>
  <c r="O3799" i="1"/>
  <c r="P3799" i="1"/>
  <c r="T3799" i="1"/>
  <c r="N3800" i="1"/>
  <c r="O3800" i="1"/>
  <c r="P3800" i="1"/>
  <c r="T3800" i="1"/>
  <c r="N3801" i="1"/>
  <c r="O3801" i="1"/>
  <c r="P3801" i="1"/>
  <c r="T3801" i="1"/>
  <c r="N3802" i="1"/>
  <c r="O3802" i="1"/>
  <c r="P3802" i="1"/>
  <c r="T3802" i="1"/>
  <c r="N3803" i="1"/>
  <c r="O3803" i="1"/>
  <c r="P3803" i="1"/>
  <c r="T3803" i="1"/>
  <c r="N3804" i="1"/>
  <c r="O3804" i="1"/>
  <c r="P3804" i="1"/>
  <c r="T3804" i="1"/>
  <c r="N3805" i="1"/>
  <c r="O3805" i="1"/>
  <c r="P3805" i="1"/>
  <c r="T3805" i="1"/>
  <c r="N3806" i="1"/>
  <c r="O3806" i="1"/>
  <c r="P3806" i="1"/>
  <c r="T3806" i="1"/>
  <c r="N3807" i="1"/>
  <c r="O3807" i="1"/>
  <c r="P3807" i="1"/>
  <c r="T3807" i="1"/>
  <c r="N3808" i="1"/>
  <c r="O3808" i="1"/>
  <c r="P3808" i="1"/>
  <c r="T3808" i="1"/>
  <c r="N3809" i="1"/>
  <c r="O3809" i="1"/>
  <c r="P3809" i="1"/>
  <c r="T3809" i="1"/>
  <c r="N3811" i="1"/>
  <c r="O3811" i="1"/>
  <c r="P3811" i="1"/>
  <c r="T3811" i="1"/>
  <c r="N3812" i="1"/>
  <c r="O3812" i="1"/>
  <c r="P3812" i="1"/>
  <c r="T3812" i="1"/>
  <c r="N3813" i="1"/>
  <c r="O3813" i="1"/>
  <c r="P3813" i="1"/>
  <c r="T3813" i="1"/>
  <c r="N3814" i="1"/>
  <c r="O3814" i="1"/>
  <c r="P3814" i="1"/>
  <c r="T3814" i="1"/>
  <c r="N3815" i="1"/>
  <c r="O3815" i="1"/>
  <c r="P3815" i="1"/>
  <c r="T3815" i="1"/>
  <c r="N3816" i="1"/>
  <c r="O3816" i="1"/>
  <c r="P3816" i="1"/>
  <c r="N3817" i="1"/>
  <c r="O3817" i="1"/>
  <c r="P3817" i="1"/>
  <c r="T3817" i="1"/>
  <c r="N3818" i="1"/>
  <c r="O3818" i="1"/>
  <c r="P3818" i="1"/>
  <c r="T3818" i="1"/>
  <c r="N3819" i="1"/>
  <c r="O3819" i="1"/>
  <c r="P3819" i="1"/>
  <c r="T3819" i="1"/>
  <c r="N3820" i="1"/>
  <c r="O3820" i="1"/>
  <c r="P3820" i="1"/>
  <c r="T3820" i="1"/>
  <c r="N3821" i="1"/>
  <c r="O3821" i="1"/>
  <c r="P3821" i="1"/>
  <c r="T3821" i="1"/>
  <c r="N3822" i="1"/>
  <c r="O3822" i="1"/>
  <c r="P3822" i="1"/>
  <c r="T3822" i="1"/>
  <c r="N3823" i="1"/>
  <c r="O3823" i="1"/>
  <c r="P3823" i="1"/>
  <c r="T3823" i="1"/>
  <c r="N3824" i="1"/>
  <c r="O3824" i="1"/>
  <c r="P3824" i="1"/>
  <c r="T3824" i="1"/>
  <c r="N3825" i="1"/>
  <c r="O3825" i="1"/>
  <c r="P3825" i="1"/>
  <c r="T3825" i="1"/>
  <c r="N3826" i="1"/>
  <c r="O3826" i="1"/>
  <c r="P3826" i="1"/>
  <c r="T3826" i="1"/>
  <c r="N3827" i="1"/>
  <c r="O3827" i="1"/>
  <c r="P3827" i="1"/>
  <c r="T3827" i="1"/>
  <c r="N3828" i="1"/>
  <c r="O3828" i="1"/>
  <c r="P3828" i="1"/>
  <c r="T3828" i="1"/>
  <c r="N3829" i="1"/>
  <c r="O3829" i="1"/>
  <c r="P3829" i="1"/>
  <c r="T3829" i="1"/>
  <c r="N3830" i="1"/>
  <c r="O3830" i="1"/>
  <c r="P3830" i="1"/>
  <c r="T3830" i="1"/>
  <c r="N3831" i="1"/>
  <c r="O3831" i="1"/>
  <c r="P3831" i="1"/>
  <c r="T3831" i="1"/>
  <c r="N3832" i="1"/>
  <c r="O3832" i="1"/>
  <c r="P3832" i="1"/>
  <c r="T3832" i="1"/>
  <c r="N3833" i="1"/>
  <c r="O3833" i="1"/>
  <c r="P3833" i="1"/>
  <c r="T3833" i="1"/>
  <c r="N3834" i="1"/>
  <c r="O3834" i="1"/>
  <c r="P3834" i="1"/>
  <c r="T3834" i="1"/>
  <c r="N3835" i="1"/>
  <c r="O3835" i="1"/>
  <c r="P3835" i="1"/>
  <c r="T3835" i="1"/>
  <c r="N3837" i="1"/>
  <c r="O3837" i="1"/>
  <c r="P3837" i="1"/>
  <c r="T3837" i="1"/>
  <c r="N3838" i="1"/>
  <c r="O3838" i="1"/>
  <c r="P3838" i="1"/>
  <c r="T3838" i="1"/>
  <c r="N3839" i="1"/>
  <c r="O3839" i="1"/>
  <c r="P3839" i="1"/>
  <c r="T3839" i="1"/>
  <c r="N3840" i="1"/>
  <c r="O3840" i="1"/>
  <c r="P3840" i="1"/>
  <c r="T3840" i="1"/>
  <c r="N3841" i="1"/>
  <c r="O3841" i="1"/>
  <c r="P3841" i="1"/>
  <c r="T3841" i="1"/>
  <c r="N3842" i="1"/>
  <c r="O3842" i="1"/>
  <c r="P3842" i="1"/>
  <c r="N3843" i="1"/>
  <c r="O3843" i="1"/>
  <c r="P3843" i="1"/>
  <c r="T3843" i="1"/>
  <c r="N3844" i="1"/>
  <c r="O3844" i="1"/>
  <c r="P3844" i="1"/>
  <c r="T3844" i="1"/>
  <c r="N3845" i="1"/>
  <c r="O3845" i="1"/>
  <c r="P3845" i="1"/>
  <c r="T3845" i="1"/>
  <c r="N3846" i="1"/>
  <c r="O3846" i="1"/>
  <c r="P3846" i="1"/>
  <c r="T3846" i="1"/>
  <c r="N3847" i="1"/>
  <c r="O3847" i="1"/>
  <c r="P3847" i="1"/>
  <c r="T3847" i="1"/>
  <c r="N3848" i="1"/>
  <c r="O3848" i="1"/>
  <c r="P3848" i="1"/>
  <c r="T3848" i="1"/>
  <c r="N3849" i="1"/>
  <c r="O3849" i="1"/>
  <c r="P3849" i="1"/>
  <c r="T3849" i="1"/>
  <c r="N3850" i="1"/>
  <c r="O3850" i="1"/>
  <c r="P3850" i="1"/>
  <c r="T3850" i="1"/>
  <c r="N3851" i="1"/>
  <c r="O3851" i="1"/>
  <c r="P3851" i="1"/>
  <c r="T3851" i="1"/>
  <c r="N3852" i="1"/>
  <c r="O3852" i="1"/>
  <c r="P3852" i="1"/>
  <c r="T3852" i="1"/>
  <c r="N3853" i="1"/>
  <c r="O3853" i="1"/>
  <c r="P3853" i="1"/>
  <c r="T3853" i="1"/>
  <c r="N3854" i="1"/>
  <c r="O3854" i="1"/>
  <c r="P3854" i="1"/>
  <c r="T3854" i="1"/>
  <c r="N3855" i="1"/>
  <c r="O3855" i="1"/>
  <c r="P3855" i="1"/>
  <c r="N3856" i="1"/>
  <c r="O3856" i="1"/>
  <c r="P3856" i="1"/>
  <c r="T3856" i="1"/>
  <c r="N3857" i="1"/>
  <c r="O3857" i="1"/>
  <c r="P3857" i="1"/>
  <c r="T3857" i="1"/>
  <c r="N3858" i="1"/>
  <c r="O3858" i="1"/>
  <c r="P3858" i="1"/>
  <c r="T3858" i="1"/>
  <c r="N3859" i="1"/>
  <c r="O3859" i="1"/>
  <c r="P3859" i="1"/>
  <c r="T3859" i="1"/>
  <c r="N3860" i="1"/>
  <c r="O3860" i="1"/>
  <c r="P3860" i="1"/>
  <c r="N3861" i="1"/>
  <c r="O3861" i="1"/>
  <c r="P3861" i="1"/>
  <c r="T3861" i="1"/>
  <c r="N3862" i="1"/>
  <c r="O3862" i="1"/>
  <c r="P3862" i="1"/>
  <c r="T3862" i="1"/>
  <c r="N3863" i="1"/>
  <c r="O3863" i="1"/>
  <c r="P3863" i="1"/>
  <c r="T3863" i="1"/>
  <c r="N3864" i="1"/>
  <c r="O3864" i="1"/>
  <c r="P3864" i="1"/>
  <c r="T3864" i="1"/>
  <c r="N3865" i="1"/>
  <c r="O3865" i="1"/>
  <c r="P3865" i="1"/>
  <c r="T3865" i="1"/>
  <c r="N3866" i="1"/>
  <c r="O3866" i="1"/>
  <c r="P3866" i="1"/>
  <c r="T3866" i="1"/>
  <c r="N3867" i="1"/>
  <c r="O3867" i="1"/>
  <c r="P3867" i="1"/>
  <c r="T3867" i="1"/>
  <c r="N3868" i="1"/>
  <c r="O3868" i="1"/>
  <c r="P3868" i="1"/>
  <c r="T3868" i="1"/>
  <c r="N3869" i="1"/>
  <c r="O3869" i="1"/>
  <c r="P3869" i="1"/>
  <c r="T3869" i="1"/>
  <c r="N3870" i="1"/>
  <c r="O3870" i="1"/>
  <c r="P3870" i="1"/>
  <c r="T3870" i="1"/>
  <c r="N3871" i="1"/>
  <c r="O3871" i="1"/>
  <c r="P3871" i="1"/>
  <c r="T3871" i="1"/>
  <c r="N3872" i="1"/>
  <c r="O3872" i="1"/>
  <c r="P3872" i="1"/>
  <c r="T3872" i="1"/>
  <c r="N3873" i="1"/>
  <c r="O3873" i="1"/>
  <c r="P3873" i="1"/>
  <c r="T3873" i="1"/>
  <c r="N3874" i="1"/>
  <c r="O3874" i="1"/>
  <c r="P3874" i="1"/>
  <c r="T3874" i="1"/>
  <c r="N3875" i="1"/>
  <c r="O3875" i="1"/>
  <c r="P3875" i="1"/>
  <c r="T3875" i="1"/>
  <c r="N3876" i="1"/>
  <c r="O3876" i="1"/>
  <c r="P3876" i="1"/>
  <c r="T3876" i="1"/>
  <c r="N3877" i="1"/>
  <c r="O3877" i="1"/>
  <c r="P3877" i="1"/>
  <c r="T3877" i="1"/>
  <c r="N3878" i="1"/>
  <c r="O3878" i="1"/>
  <c r="P3878" i="1"/>
  <c r="T3878" i="1"/>
  <c r="N3879" i="1"/>
  <c r="O3879" i="1"/>
  <c r="P3879" i="1"/>
  <c r="T3879" i="1"/>
  <c r="N3880" i="1"/>
  <c r="O3880" i="1"/>
  <c r="P3880" i="1"/>
  <c r="T3880" i="1"/>
  <c r="N3881" i="1"/>
  <c r="O3881" i="1"/>
  <c r="P3881" i="1"/>
  <c r="T3881" i="1"/>
  <c r="N3882" i="1"/>
  <c r="O3882" i="1"/>
  <c r="P3882" i="1"/>
  <c r="N3883" i="1"/>
  <c r="O3883" i="1"/>
  <c r="P3883" i="1"/>
  <c r="T3883" i="1"/>
  <c r="N3884" i="1"/>
  <c r="O3884" i="1"/>
  <c r="P3884" i="1"/>
  <c r="T3884" i="1"/>
  <c r="N3885" i="1"/>
  <c r="O3885" i="1"/>
  <c r="P3885" i="1"/>
  <c r="N3886" i="1"/>
  <c r="O3886" i="1"/>
  <c r="P3886" i="1"/>
  <c r="T3886" i="1"/>
  <c r="N3887" i="1"/>
  <c r="O3887" i="1"/>
  <c r="P3887" i="1"/>
  <c r="T3887" i="1"/>
  <c r="N3888" i="1"/>
  <c r="O3888" i="1"/>
  <c r="P3888" i="1"/>
  <c r="T3888" i="1"/>
  <c r="N3889" i="1"/>
  <c r="O3889" i="1"/>
  <c r="P3889" i="1"/>
  <c r="T3889" i="1"/>
  <c r="N3890" i="1"/>
  <c r="O3890" i="1"/>
  <c r="P3890" i="1"/>
  <c r="T3890" i="1"/>
  <c r="N3891" i="1"/>
  <c r="O3891" i="1"/>
  <c r="P3891" i="1"/>
  <c r="T3891" i="1"/>
  <c r="N3892" i="1"/>
  <c r="O3892" i="1"/>
  <c r="P3892" i="1"/>
  <c r="T3892" i="1"/>
  <c r="N3893" i="1"/>
  <c r="O3893" i="1"/>
  <c r="P3893" i="1"/>
  <c r="T3893" i="1"/>
  <c r="N3894" i="1"/>
  <c r="O3894" i="1"/>
  <c r="P3894" i="1"/>
  <c r="T3894" i="1"/>
  <c r="N3895" i="1"/>
  <c r="O3895" i="1"/>
  <c r="P3895" i="1"/>
  <c r="T3895" i="1"/>
  <c r="N3896" i="1"/>
  <c r="O3896" i="1"/>
  <c r="P3896" i="1"/>
  <c r="T3896" i="1"/>
  <c r="N3897" i="1"/>
  <c r="O3897" i="1"/>
  <c r="P3897" i="1"/>
  <c r="N3901" i="1"/>
  <c r="O3901" i="1"/>
  <c r="P3901" i="1"/>
  <c r="T3901" i="1"/>
  <c r="N3902" i="1"/>
  <c r="O3902" i="1"/>
  <c r="P3902" i="1"/>
  <c r="T3902" i="1"/>
  <c r="N3904" i="1"/>
  <c r="O3904" i="1"/>
  <c r="P3904" i="1"/>
  <c r="T3904" i="1"/>
  <c r="N3906" i="1"/>
  <c r="O3906" i="1"/>
  <c r="P3906" i="1"/>
  <c r="T3906" i="1"/>
  <c r="N3909" i="1"/>
  <c r="O3909" i="1"/>
  <c r="P3909" i="1"/>
  <c r="T3909" i="1"/>
  <c r="N3912" i="1"/>
  <c r="O3912" i="1"/>
  <c r="P3912" i="1"/>
  <c r="T3912" i="1"/>
  <c r="N3913" i="1"/>
  <c r="O3913" i="1"/>
  <c r="P3913" i="1"/>
  <c r="T3913" i="1"/>
  <c r="N3914" i="1"/>
  <c r="O3914" i="1"/>
  <c r="P3914" i="1"/>
  <c r="T3914" i="1"/>
  <c r="N3915" i="1"/>
  <c r="O3915" i="1"/>
  <c r="P3915" i="1"/>
  <c r="T3915" i="1"/>
  <c r="N3916" i="1"/>
  <c r="O3916" i="1"/>
  <c r="P3916" i="1"/>
  <c r="T3916" i="1"/>
  <c r="N3917" i="1"/>
  <c r="O3917" i="1"/>
  <c r="P3917" i="1"/>
  <c r="T3917" i="1"/>
  <c r="N3919" i="1"/>
  <c r="O3919" i="1"/>
  <c r="P3919" i="1"/>
  <c r="T3919" i="1"/>
  <c r="N3920" i="1"/>
  <c r="O3920" i="1"/>
  <c r="P3920" i="1"/>
  <c r="T3920" i="1"/>
  <c r="N3921" i="1"/>
  <c r="O3921" i="1"/>
  <c r="P3921" i="1"/>
  <c r="T3921" i="1"/>
  <c r="N3922" i="1"/>
  <c r="O3922" i="1"/>
  <c r="P3922" i="1"/>
  <c r="T3922" i="1"/>
  <c r="N3923" i="1"/>
  <c r="O3923" i="1"/>
  <c r="P3923" i="1"/>
  <c r="T3923" i="1"/>
  <c r="N3924" i="1"/>
  <c r="O3924" i="1"/>
  <c r="P3924" i="1"/>
  <c r="N3926" i="1"/>
  <c r="O3926" i="1"/>
  <c r="P3926" i="1"/>
  <c r="T3926" i="1"/>
  <c r="N3927" i="1"/>
  <c r="O3927" i="1"/>
  <c r="P3927" i="1"/>
  <c r="T3927" i="1"/>
  <c r="N3928" i="1"/>
  <c r="O3928" i="1"/>
  <c r="P3928" i="1"/>
  <c r="T3928" i="1"/>
  <c r="N3929" i="1"/>
  <c r="O3929" i="1"/>
  <c r="P3929" i="1"/>
  <c r="T3929" i="1"/>
  <c r="N3930" i="1"/>
  <c r="O3930" i="1"/>
  <c r="P3930" i="1"/>
  <c r="T3930" i="1"/>
  <c r="N3932" i="1"/>
  <c r="O3932" i="1"/>
  <c r="P3932" i="1"/>
  <c r="T3932" i="1"/>
  <c r="N3933" i="1"/>
  <c r="O3933" i="1"/>
  <c r="P3933" i="1"/>
  <c r="T3933" i="1"/>
  <c r="N3934" i="1"/>
  <c r="O3934" i="1"/>
  <c r="P3934" i="1"/>
  <c r="T3934" i="1"/>
  <c r="N3935" i="1"/>
  <c r="O3935" i="1"/>
  <c r="P3935" i="1"/>
  <c r="T3935" i="1"/>
  <c r="N3936" i="1"/>
  <c r="O3936" i="1"/>
  <c r="P3936" i="1"/>
  <c r="T3936" i="1"/>
  <c r="N3938" i="1"/>
  <c r="O3938" i="1"/>
  <c r="P3938" i="1"/>
  <c r="T3938" i="1"/>
  <c r="N3942" i="1"/>
  <c r="O3942" i="1"/>
  <c r="P3942" i="1"/>
  <c r="T3942" i="1"/>
  <c r="N3943" i="1"/>
  <c r="O3943" i="1"/>
  <c r="P3943" i="1"/>
  <c r="T3943" i="1"/>
  <c r="N3944" i="1"/>
  <c r="O3944" i="1"/>
  <c r="P3944" i="1"/>
  <c r="T3944" i="1"/>
  <c r="N3945" i="1"/>
  <c r="O3945" i="1"/>
  <c r="P3945" i="1"/>
  <c r="T3945" i="1"/>
  <c r="N3947" i="1"/>
  <c r="O3947" i="1"/>
  <c r="P3947" i="1"/>
  <c r="T3947" i="1"/>
  <c r="N3948" i="1"/>
  <c r="O3948" i="1"/>
  <c r="P3948" i="1"/>
  <c r="T3948" i="1"/>
  <c r="N3949" i="1"/>
  <c r="O3949" i="1"/>
  <c r="P3949" i="1"/>
  <c r="T3949" i="1"/>
  <c r="N3950" i="1"/>
  <c r="O3950" i="1"/>
  <c r="P3950" i="1"/>
  <c r="T3950" i="1"/>
  <c r="N3953" i="1"/>
  <c r="O3953" i="1"/>
  <c r="P3953" i="1"/>
  <c r="T3953" i="1"/>
  <c r="N3954" i="1"/>
  <c r="O3954" i="1"/>
  <c r="P3954" i="1"/>
  <c r="T3954" i="1"/>
  <c r="N3955" i="1"/>
  <c r="O3955" i="1"/>
  <c r="P3955" i="1"/>
  <c r="T3955" i="1"/>
  <c r="N3956" i="1"/>
  <c r="O3956" i="1"/>
  <c r="P3956" i="1"/>
  <c r="T3956" i="1"/>
  <c r="N3957" i="1"/>
  <c r="O3957" i="1"/>
  <c r="P3957" i="1"/>
  <c r="T3957" i="1"/>
  <c r="N3958" i="1"/>
  <c r="O3958" i="1"/>
  <c r="P3958" i="1"/>
  <c r="T3958" i="1"/>
  <c r="N3959" i="1"/>
  <c r="O3959" i="1"/>
  <c r="P3959" i="1"/>
  <c r="T3959" i="1"/>
  <c r="N3960" i="1"/>
  <c r="O3960" i="1"/>
  <c r="P3960" i="1"/>
  <c r="T3960" i="1"/>
  <c r="N3961" i="1"/>
  <c r="O3961" i="1"/>
  <c r="P3961" i="1"/>
  <c r="T3961" i="1"/>
  <c r="N3962" i="1"/>
  <c r="O3962" i="1"/>
  <c r="P3962" i="1"/>
  <c r="T3962" i="1"/>
  <c r="N3963" i="1"/>
  <c r="O3963" i="1"/>
  <c r="P3963" i="1"/>
  <c r="T3963" i="1"/>
  <c r="N3965" i="1"/>
  <c r="O3965" i="1"/>
  <c r="P3965" i="1"/>
  <c r="T3965" i="1"/>
  <c r="N3966" i="1"/>
  <c r="O3966" i="1"/>
  <c r="P3966" i="1"/>
  <c r="T3966" i="1"/>
  <c r="N3967" i="1"/>
  <c r="O3967" i="1"/>
  <c r="P3967" i="1"/>
  <c r="T3967" i="1"/>
  <c r="N3968" i="1"/>
  <c r="O3968" i="1"/>
  <c r="P3968" i="1"/>
  <c r="T3968" i="1"/>
  <c r="N3969" i="1"/>
  <c r="O3969" i="1"/>
  <c r="P3969" i="1"/>
  <c r="T3969" i="1"/>
  <c r="N3972" i="1"/>
  <c r="O3972" i="1"/>
  <c r="P3972" i="1"/>
  <c r="T3972" i="1"/>
  <c r="N3973" i="1"/>
  <c r="O3973" i="1"/>
  <c r="P3973" i="1"/>
  <c r="T3973" i="1"/>
  <c r="N3974" i="1"/>
  <c r="O3974" i="1"/>
  <c r="P3974" i="1"/>
  <c r="T3974" i="1"/>
  <c r="N3975" i="1"/>
  <c r="O3975" i="1"/>
  <c r="P3975" i="1"/>
  <c r="T3975" i="1"/>
  <c r="N3976" i="1"/>
  <c r="O3976" i="1"/>
  <c r="P3976" i="1"/>
  <c r="T3976" i="1"/>
  <c r="N3977" i="1"/>
  <c r="O3977" i="1"/>
  <c r="P3977" i="1"/>
  <c r="T3977" i="1"/>
  <c r="N3978" i="1"/>
  <c r="O3978" i="1"/>
  <c r="P3978" i="1"/>
  <c r="T3978" i="1"/>
  <c r="N3979" i="1"/>
  <c r="O3979" i="1"/>
  <c r="P3979" i="1"/>
  <c r="T3979" i="1"/>
  <c r="N3980" i="1"/>
  <c r="O3980" i="1"/>
  <c r="P3980" i="1"/>
  <c r="T3980" i="1"/>
  <c r="N3981" i="1"/>
  <c r="O3981" i="1"/>
  <c r="P3981" i="1"/>
  <c r="T3981" i="1"/>
  <c r="N3982" i="1"/>
  <c r="O3982" i="1"/>
  <c r="P3982" i="1"/>
  <c r="T3982" i="1"/>
  <c r="N3983" i="1"/>
  <c r="O3983" i="1"/>
  <c r="P3983" i="1"/>
  <c r="T3983" i="1"/>
  <c r="N3984" i="1"/>
  <c r="O3984" i="1"/>
  <c r="P3984" i="1"/>
  <c r="T3984" i="1"/>
  <c r="N3985" i="1"/>
  <c r="O3985" i="1"/>
  <c r="P3985" i="1"/>
  <c r="T3985" i="1"/>
  <c r="N3986" i="1"/>
  <c r="O3986" i="1"/>
  <c r="P3986" i="1"/>
  <c r="T3986" i="1"/>
  <c r="N3987" i="1"/>
  <c r="O3987" i="1"/>
  <c r="P3987" i="1"/>
  <c r="T3987" i="1"/>
  <c r="N3988" i="1"/>
  <c r="O3988" i="1"/>
  <c r="P3988" i="1"/>
  <c r="T3988" i="1"/>
  <c r="N3989" i="1"/>
  <c r="O3989" i="1"/>
  <c r="P3989" i="1"/>
  <c r="T3989" i="1"/>
  <c r="N3991" i="1"/>
  <c r="O3991" i="1"/>
  <c r="P3991" i="1"/>
  <c r="T3991" i="1"/>
  <c r="N3992" i="1"/>
  <c r="O3992" i="1"/>
  <c r="P3992" i="1"/>
  <c r="T3992" i="1"/>
  <c r="N3993" i="1"/>
  <c r="O3993" i="1"/>
  <c r="P3993" i="1"/>
  <c r="T3993" i="1"/>
  <c r="N3994" i="1"/>
  <c r="O3994" i="1"/>
  <c r="P3994" i="1"/>
  <c r="T3994" i="1"/>
  <c r="N3995" i="1"/>
  <c r="O3995" i="1"/>
  <c r="P3995" i="1"/>
  <c r="T3995" i="1"/>
  <c r="N3996" i="1"/>
  <c r="O3996" i="1"/>
  <c r="P3996" i="1"/>
  <c r="T3996" i="1"/>
  <c r="N3997" i="1"/>
  <c r="O3997" i="1"/>
  <c r="P3997" i="1"/>
  <c r="T3997" i="1"/>
  <c r="N3998" i="1"/>
  <c r="O3998" i="1"/>
  <c r="P3998" i="1"/>
  <c r="T3998" i="1"/>
  <c r="N4002" i="1"/>
  <c r="O4002" i="1"/>
  <c r="P4002" i="1"/>
  <c r="T4002" i="1"/>
  <c r="N4003" i="1"/>
  <c r="O4003" i="1"/>
  <c r="P4003" i="1"/>
  <c r="T4003" i="1"/>
  <c r="N4004" i="1"/>
  <c r="O4004" i="1"/>
  <c r="P4004" i="1"/>
  <c r="T4004" i="1"/>
  <c r="N4005" i="1"/>
  <c r="O4005" i="1"/>
  <c r="P4005" i="1"/>
  <c r="T4005" i="1"/>
  <c r="N4007" i="1"/>
  <c r="O4007" i="1"/>
  <c r="P4007" i="1"/>
  <c r="T4007" i="1"/>
  <c r="N4008" i="1"/>
  <c r="O4008" i="1"/>
  <c r="P4008" i="1"/>
  <c r="T4008" i="1"/>
  <c r="N4009" i="1"/>
  <c r="O4009" i="1"/>
  <c r="P4009" i="1"/>
  <c r="T4009" i="1"/>
  <c r="N4010" i="1"/>
  <c r="O4010" i="1"/>
  <c r="P4010" i="1"/>
  <c r="T4010" i="1"/>
  <c r="N4011" i="1"/>
  <c r="O4011" i="1"/>
  <c r="P4011" i="1"/>
  <c r="T4011" i="1"/>
  <c r="N4012" i="1"/>
  <c r="O4012" i="1"/>
  <c r="P4012" i="1"/>
  <c r="T4012" i="1"/>
  <c r="N4015" i="1"/>
  <c r="O4015" i="1"/>
  <c r="P4015" i="1"/>
  <c r="T4015" i="1"/>
  <c r="N4018" i="1"/>
  <c r="O4018" i="1"/>
  <c r="P4018" i="1"/>
  <c r="N4020" i="1"/>
  <c r="O4020" i="1"/>
  <c r="P4020" i="1"/>
  <c r="T4020" i="1"/>
  <c r="N4021" i="1"/>
  <c r="O4021" i="1"/>
  <c r="P4021" i="1"/>
  <c r="N4022" i="1"/>
  <c r="O4022" i="1"/>
  <c r="P4022" i="1"/>
  <c r="T4022" i="1"/>
  <c r="N4023" i="1"/>
  <c r="O4023" i="1"/>
  <c r="P4023" i="1"/>
  <c r="T4023" i="1"/>
  <c r="N4025" i="1"/>
  <c r="O4025" i="1"/>
  <c r="P4025" i="1"/>
  <c r="T4025" i="1"/>
  <c r="N4026" i="1"/>
  <c r="O4026" i="1"/>
  <c r="P4026" i="1"/>
  <c r="T4026" i="1"/>
  <c r="N4030" i="1"/>
  <c r="O4030" i="1"/>
  <c r="P4030" i="1"/>
  <c r="T4030" i="1"/>
  <c r="N4031" i="1"/>
  <c r="O4031" i="1"/>
  <c r="P4031" i="1"/>
  <c r="T4031" i="1"/>
  <c r="N4032" i="1"/>
  <c r="O4032" i="1"/>
  <c r="P4032" i="1"/>
  <c r="T4032" i="1"/>
  <c r="N4035" i="1"/>
  <c r="O4035" i="1"/>
  <c r="P4035" i="1"/>
  <c r="T4035" i="1"/>
  <c r="N4036" i="1"/>
  <c r="O4036" i="1"/>
  <c r="P4036" i="1"/>
  <c r="T4036" i="1"/>
  <c r="N4037" i="1"/>
  <c r="O4037" i="1"/>
  <c r="P4037" i="1"/>
  <c r="T4037" i="1"/>
  <c r="N4038" i="1"/>
  <c r="O4038" i="1"/>
  <c r="P4038" i="1"/>
  <c r="T4038" i="1"/>
  <c r="N4039" i="1"/>
  <c r="O4039" i="1"/>
  <c r="P4039" i="1"/>
  <c r="T4039" i="1"/>
  <c r="N4041" i="1"/>
  <c r="O4041" i="1"/>
  <c r="P4041" i="1"/>
  <c r="T4041" i="1"/>
  <c r="N4042" i="1"/>
  <c r="O4042" i="1"/>
  <c r="P4042" i="1"/>
  <c r="T4042" i="1"/>
  <c r="N4043" i="1"/>
  <c r="O4043" i="1"/>
  <c r="P4043" i="1"/>
  <c r="T4043" i="1"/>
  <c r="N4044" i="1"/>
  <c r="O4044" i="1"/>
  <c r="P4044" i="1"/>
  <c r="T4044" i="1"/>
  <c r="N4045" i="1"/>
  <c r="O4045" i="1"/>
  <c r="P4045" i="1"/>
  <c r="T4045" i="1"/>
  <c r="N4046" i="1"/>
  <c r="O4046" i="1"/>
  <c r="P4046" i="1"/>
  <c r="T4046" i="1"/>
  <c r="N4047" i="1"/>
  <c r="O4047" i="1"/>
  <c r="P4047" i="1"/>
  <c r="T4047" i="1"/>
  <c r="N4048" i="1"/>
  <c r="O4048" i="1"/>
  <c r="P4048" i="1"/>
  <c r="T4048" i="1"/>
  <c r="N4052" i="1"/>
  <c r="O4052" i="1"/>
  <c r="P4052" i="1"/>
  <c r="N4053" i="1"/>
  <c r="O4053" i="1"/>
  <c r="P4053" i="1"/>
  <c r="T4053" i="1"/>
  <c r="N4054" i="1"/>
  <c r="O4054" i="1"/>
  <c r="P4054" i="1"/>
  <c r="T4054" i="1"/>
  <c r="N4055" i="1"/>
  <c r="O4055" i="1"/>
  <c r="P4055" i="1"/>
  <c r="T4055" i="1"/>
  <c r="N4056" i="1"/>
  <c r="O4056" i="1"/>
  <c r="P4056" i="1"/>
  <c r="T4056" i="1"/>
  <c r="N4057" i="1"/>
  <c r="O4057" i="1"/>
  <c r="P4057" i="1"/>
  <c r="T4057" i="1"/>
  <c r="N4059" i="1"/>
  <c r="O4059" i="1"/>
  <c r="P4059" i="1"/>
  <c r="N4060" i="1"/>
  <c r="O4060" i="1"/>
  <c r="P4060" i="1"/>
  <c r="T4060" i="1"/>
  <c r="N4061" i="1"/>
  <c r="O4061" i="1"/>
  <c r="P4061" i="1"/>
  <c r="T4061" i="1"/>
  <c r="N4062" i="1"/>
  <c r="O4062" i="1"/>
  <c r="P4062" i="1"/>
  <c r="T4062" i="1"/>
  <c r="N4063" i="1"/>
  <c r="O4063" i="1"/>
  <c r="P4063" i="1"/>
  <c r="T4063" i="1"/>
  <c r="N4064" i="1"/>
  <c r="O4064" i="1"/>
  <c r="P4064" i="1"/>
  <c r="T4064" i="1"/>
  <c r="N4067" i="1"/>
  <c r="O4067" i="1"/>
  <c r="P4067" i="1"/>
  <c r="N4068" i="1"/>
  <c r="O4068" i="1"/>
  <c r="P4068" i="1"/>
  <c r="T4068" i="1"/>
  <c r="N4069" i="1"/>
  <c r="O4069" i="1"/>
  <c r="P4069" i="1"/>
  <c r="T4069" i="1"/>
  <c r="N4070" i="1"/>
  <c r="O4070" i="1"/>
  <c r="P4070" i="1"/>
  <c r="N4071" i="1"/>
  <c r="O4071" i="1"/>
  <c r="P4071" i="1"/>
  <c r="T4071" i="1"/>
  <c r="N4073" i="1"/>
  <c r="O4073" i="1"/>
  <c r="P4073" i="1"/>
  <c r="T4073" i="1"/>
  <c r="N4074" i="1"/>
  <c r="O4074" i="1"/>
  <c r="P4074" i="1"/>
  <c r="T4074" i="1"/>
  <c r="N4075" i="1"/>
  <c r="O4075" i="1"/>
  <c r="P4075" i="1"/>
  <c r="T4075" i="1"/>
  <c r="N4076" i="1"/>
  <c r="O4076" i="1"/>
  <c r="P4076" i="1"/>
  <c r="T4076" i="1"/>
  <c r="N4079" i="1"/>
  <c r="O4079" i="1"/>
  <c r="P4079" i="1"/>
  <c r="T4079" i="1"/>
  <c r="N4081" i="1"/>
  <c r="O4081" i="1"/>
  <c r="P4081" i="1"/>
  <c r="T4081" i="1"/>
  <c r="N4082" i="1"/>
  <c r="O4082" i="1"/>
  <c r="P4082" i="1"/>
  <c r="T4082" i="1"/>
  <c r="N4083" i="1"/>
  <c r="O4083" i="1"/>
  <c r="P4083" i="1"/>
  <c r="T4083" i="1"/>
  <c r="N4084" i="1"/>
  <c r="O4084" i="1"/>
  <c r="P4084" i="1"/>
  <c r="T4084" i="1"/>
  <c r="N4085" i="1"/>
  <c r="O4085" i="1"/>
  <c r="P4085" i="1"/>
  <c r="T4085" i="1"/>
  <c r="N4086" i="1"/>
  <c r="O4086" i="1"/>
  <c r="P4086" i="1"/>
  <c r="T4086" i="1"/>
  <c r="N4090" i="1"/>
  <c r="O4090" i="1"/>
  <c r="P4090" i="1"/>
  <c r="T4090" i="1"/>
  <c r="N4091" i="1"/>
  <c r="O4091" i="1"/>
  <c r="P4091" i="1"/>
  <c r="T4091" i="1"/>
  <c r="N4092" i="1"/>
  <c r="O4092" i="1"/>
  <c r="P4092" i="1"/>
  <c r="T4092" i="1"/>
  <c r="N4093" i="1"/>
  <c r="O4093" i="1"/>
  <c r="P4093" i="1"/>
  <c r="T4093" i="1"/>
  <c r="N4094" i="1"/>
  <c r="O4094" i="1"/>
  <c r="P4094" i="1"/>
  <c r="T4094" i="1"/>
  <c r="N4095" i="1"/>
  <c r="O4095" i="1"/>
  <c r="P4095" i="1"/>
  <c r="T4095" i="1"/>
  <c r="N4099" i="1"/>
  <c r="O4099" i="1"/>
  <c r="P4099" i="1"/>
  <c r="T4099" i="1"/>
  <c r="N4101" i="1"/>
  <c r="O4101" i="1"/>
  <c r="P4101" i="1"/>
  <c r="T4101" i="1"/>
  <c r="N4102" i="1"/>
  <c r="O4102" i="1"/>
  <c r="P4102" i="1"/>
  <c r="T4102" i="1"/>
  <c r="N4103" i="1"/>
  <c r="O4103" i="1"/>
  <c r="P4103" i="1"/>
  <c r="T4103" i="1"/>
  <c r="N4105" i="1"/>
  <c r="O4105" i="1"/>
  <c r="P4105" i="1"/>
  <c r="T4105" i="1"/>
  <c r="N4106" i="1"/>
  <c r="O4106" i="1"/>
  <c r="P4106" i="1"/>
  <c r="T4106" i="1"/>
  <c r="N4107" i="1"/>
  <c r="O4107" i="1"/>
  <c r="P4107" i="1"/>
  <c r="T4107" i="1"/>
  <c r="N4108" i="1"/>
  <c r="O4108" i="1"/>
  <c r="P4108" i="1"/>
  <c r="T4108" i="1"/>
  <c r="N4109" i="1"/>
  <c r="O4109" i="1"/>
  <c r="P4109" i="1"/>
  <c r="T4109" i="1"/>
  <c r="N4111" i="1"/>
  <c r="O4111" i="1"/>
  <c r="P4111" i="1"/>
  <c r="T4111" i="1"/>
  <c r="N4112" i="1"/>
  <c r="O4112" i="1"/>
  <c r="P4112" i="1"/>
  <c r="T4112" i="1"/>
  <c r="N4113" i="1"/>
  <c r="O4113" i="1"/>
  <c r="P4113" i="1"/>
  <c r="T4113" i="1"/>
  <c r="N4114" i="1"/>
  <c r="O4114" i="1"/>
  <c r="P4114" i="1"/>
  <c r="T4114" i="1"/>
  <c r="N4115" i="1"/>
  <c r="O4115" i="1"/>
  <c r="P4115" i="1"/>
  <c r="T4115" i="1"/>
  <c r="N4116" i="1"/>
  <c r="O4116" i="1"/>
  <c r="P4116" i="1"/>
  <c r="T4116" i="1"/>
  <c r="N4117" i="1"/>
  <c r="O4117" i="1"/>
  <c r="P4117" i="1"/>
  <c r="T4117" i="1"/>
  <c r="N4118" i="1"/>
  <c r="O4118" i="1"/>
  <c r="P4118" i="1"/>
  <c r="T4118" i="1"/>
  <c r="N4119" i="1"/>
  <c r="O4119" i="1"/>
  <c r="P4119" i="1"/>
  <c r="T4119" i="1"/>
  <c r="N4120" i="1"/>
  <c r="O4120" i="1"/>
  <c r="P4120" i="1"/>
  <c r="T4120" i="1"/>
  <c r="N4122" i="1"/>
  <c r="O4122" i="1"/>
  <c r="P4122" i="1"/>
  <c r="T4122" i="1"/>
  <c r="N4123" i="1"/>
  <c r="O4123" i="1"/>
  <c r="P4123" i="1"/>
  <c r="T4123" i="1"/>
  <c r="N4124" i="1"/>
  <c r="O4124" i="1"/>
  <c r="P4124" i="1"/>
  <c r="T4124" i="1"/>
  <c r="N4125" i="1"/>
  <c r="O4125" i="1"/>
  <c r="P4125" i="1"/>
  <c r="T4125" i="1"/>
  <c r="N4126" i="1"/>
  <c r="O4126" i="1"/>
  <c r="P4126" i="1"/>
  <c r="T4126" i="1"/>
  <c r="N4127" i="1"/>
  <c r="O4127" i="1"/>
  <c r="P4127" i="1"/>
  <c r="T4127" i="1"/>
  <c r="N4128" i="1"/>
  <c r="O4128" i="1"/>
  <c r="P4128" i="1"/>
  <c r="T4128" i="1"/>
  <c r="N4129" i="1"/>
  <c r="O4129" i="1"/>
  <c r="P4129" i="1"/>
  <c r="T4129" i="1"/>
  <c r="N4130" i="1"/>
  <c r="O4130" i="1"/>
  <c r="P4130" i="1"/>
  <c r="T4130" i="1"/>
  <c r="N4131" i="1"/>
  <c r="O4131" i="1"/>
  <c r="P4131" i="1"/>
  <c r="T4131" i="1"/>
  <c r="N4132" i="1"/>
  <c r="O4132" i="1"/>
  <c r="P4132" i="1"/>
  <c r="T4132" i="1"/>
  <c r="N4133" i="1"/>
  <c r="O4133" i="1"/>
  <c r="P4133" i="1"/>
  <c r="T4133" i="1"/>
  <c r="N4134" i="1"/>
  <c r="O4134" i="1"/>
  <c r="P4134" i="1"/>
  <c r="T4134" i="1"/>
  <c r="N4137" i="1"/>
  <c r="O4137" i="1"/>
  <c r="P4137" i="1"/>
  <c r="T4137" i="1"/>
  <c r="N4138" i="1"/>
  <c r="O4138" i="1"/>
  <c r="P4138" i="1"/>
  <c r="T4138" i="1"/>
  <c r="N4139" i="1"/>
  <c r="O4139" i="1"/>
  <c r="P4139" i="1"/>
  <c r="T4139" i="1"/>
  <c r="N4140" i="1"/>
  <c r="O4140" i="1"/>
  <c r="P4140" i="1"/>
  <c r="T4140" i="1"/>
  <c r="N4141" i="1"/>
  <c r="O4141" i="1"/>
  <c r="P4141" i="1"/>
  <c r="T4141" i="1"/>
  <c r="N4142" i="1"/>
  <c r="O4142" i="1"/>
  <c r="P4142" i="1"/>
  <c r="T4142" i="1"/>
  <c r="N4143" i="1"/>
  <c r="O4143" i="1"/>
  <c r="P4143" i="1"/>
  <c r="T4143" i="1"/>
  <c r="N4144" i="1"/>
  <c r="O4144" i="1"/>
  <c r="P4144" i="1"/>
  <c r="T4144" i="1"/>
  <c r="N4145" i="1"/>
  <c r="O4145" i="1"/>
  <c r="P4145" i="1"/>
  <c r="T4145" i="1"/>
  <c r="N4146" i="1"/>
  <c r="O4146" i="1"/>
  <c r="P4146" i="1"/>
  <c r="T4146" i="1"/>
  <c r="N4147" i="1"/>
  <c r="O4147" i="1"/>
  <c r="P4147" i="1"/>
  <c r="T4147" i="1"/>
  <c r="N4149" i="1"/>
  <c r="O4149" i="1"/>
  <c r="P4149" i="1"/>
  <c r="T4149" i="1"/>
  <c r="N4150" i="1"/>
  <c r="O4150" i="1"/>
  <c r="P4150" i="1"/>
  <c r="T4150" i="1"/>
  <c r="N4151" i="1"/>
  <c r="O4151" i="1"/>
  <c r="P4151" i="1"/>
  <c r="T4151" i="1"/>
  <c r="N4152" i="1"/>
  <c r="O4152" i="1"/>
  <c r="P4152" i="1"/>
  <c r="T4152" i="1"/>
  <c r="N4153" i="1"/>
  <c r="O4153" i="1"/>
  <c r="P4153" i="1"/>
  <c r="T4153" i="1"/>
  <c r="N4154" i="1"/>
  <c r="O4154" i="1"/>
  <c r="P4154" i="1"/>
  <c r="T4154" i="1"/>
  <c r="N4155" i="1"/>
  <c r="O4155" i="1"/>
  <c r="P4155" i="1"/>
  <c r="T4155" i="1"/>
  <c r="N4156" i="1"/>
  <c r="O4156" i="1"/>
  <c r="P4156" i="1"/>
  <c r="T4156" i="1"/>
  <c r="N4157" i="1"/>
  <c r="O4157" i="1"/>
  <c r="P4157" i="1"/>
  <c r="T4157" i="1"/>
  <c r="N4158" i="1"/>
  <c r="O4158" i="1"/>
  <c r="P4158" i="1"/>
  <c r="T4158" i="1"/>
  <c r="N4159" i="1"/>
  <c r="O4159" i="1"/>
  <c r="P4159" i="1"/>
  <c r="T4159" i="1"/>
  <c r="N4160" i="1"/>
  <c r="O4160" i="1"/>
  <c r="P4160" i="1"/>
  <c r="T4160" i="1"/>
  <c r="N4161" i="1"/>
  <c r="O4161" i="1"/>
  <c r="P4161" i="1"/>
  <c r="T4161" i="1"/>
  <c r="N4162" i="1"/>
  <c r="O4162" i="1"/>
  <c r="P4162" i="1"/>
  <c r="T4162" i="1"/>
  <c r="N4163" i="1"/>
  <c r="O4163" i="1"/>
  <c r="P4163" i="1"/>
  <c r="T4163" i="1"/>
  <c r="N4165" i="1"/>
  <c r="O4165" i="1"/>
  <c r="P4165" i="1"/>
  <c r="T4165" i="1"/>
  <c r="N4166" i="1"/>
  <c r="O4166" i="1"/>
  <c r="P4166" i="1"/>
  <c r="T4166" i="1"/>
  <c r="N4167" i="1"/>
  <c r="O4167" i="1"/>
  <c r="P4167" i="1"/>
  <c r="T4167" i="1"/>
  <c r="N4168" i="1"/>
  <c r="O4168" i="1"/>
  <c r="P4168" i="1"/>
  <c r="T4168" i="1"/>
  <c r="N4169" i="1"/>
  <c r="O4169" i="1"/>
  <c r="P4169" i="1"/>
  <c r="T4169" i="1"/>
  <c r="N4170" i="1"/>
  <c r="O4170" i="1"/>
  <c r="P4170" i="1"/>
  <c r="T4170" i="1"/>
  <c r="N4171" i="1"/>
  <c r="O4171" i="1"/>
  <c r="P4171" i="1"/>
  <c r="T4171" i="1"/>
  <c r="N4172" i="1"/>
  <c r="O4172" i="1"/>
  <c r="P4172" i="1"/>
  <c r="N4173" i="1"/>
  <c r="O4173" i="1"/>
  <c r="P4173" i="1"/>
  <c r="N4174" i="1"/>
  <c r="O4174" i="1"/>
  <c r="P4174" i="1"/>
  <c r="N4175" i="1"/>
  <c r="O4175" i="1"/>
  <c r="P4175" i="1"/>
  <c r="N4176" i="1"/>
  <c r="O4176" i="1"/>
  <c r="P4176" i="1"/>
  <c r="N4178" i="1"/>
  <c r="O4178" i="1"/>
  <c r="P4178" i="1"/>
  <c r="T4178" i="1"/>
  <c r="N4179" i="1"/>
  <c r="O4179" i="1"/>
  <c r="P4179" i="1"/>
  <c r="T4179" i="1"/>
  <c r="N4180" i="1"/>
  <c r="O4180" i="1"/>
  <c r="P4180" i="1"/>
  <c r="T4180" i="1"/>
  <c r="N4181" i="1"/>
  <c r="O4181" i="1"/>
  <c r="P4181" i="1"/>
  <c r="T4181" i="1"/>
  <c r="N4183" i="1"/>
  <c r="O4183" i="1"/>
  <c r="P4183" i="1"/>
  <c r="T4183" i="1"/>
  <c r="N4185" i="1"/>
  <c r="O4185" i="1"/>
  <c r="P4185" i="1"/>
  <c r="T4185" i="1"/>
  <c r="N4186" i="1"/>
  <c r="O4186" i="1"/>
  <c r="P4186" i="1"/>
  <c r="T4186" i="1"/>
  <c r="N4187" i="1"/>
  <c r="O4187" i="1"/>
  <c r="P4187" i="1"/>
  <c r="T4187" i="1"/>
  <c r="N4189" i="1"/>
  <c r="O4189" i="1"/>
  <c r="P4189" i="1"/>
  <c r="T4189" i="1"/>
  <c r="N4190" i="1"/>
  <c r="O4190" i="1"/>
  <c r="P4190" i="1"/>
  <c r="T4190" i="1"/>
  <c r="N4191" i="1"/>
  <c r="O4191" i="1"/>
  <c r="P4191" i="1"/>
  <c r="T4191" i="1"/>
  <c r="N4192" i="1"/>
  <c r="O4192" i="1"/>
  <c r="P4192" i="1"/>
  <c r="T4192" i="1"/>
  <c r="N4194" i="1"/>
  <c r="O4194" i="1"/>
  <c r="P4194" i="1"/>
  <c r="T4194" i="1"/>
  <c r="N4195" i="1"/>
  <c r="O4195" i="1"/>
  <c r="P4195" i="1"/>
  <c r="T4195" i="1"/>
  <c r="N4196" i="1"/>
  <c r="O4196" i="1"/>
  <c r="P4196" i="1"/>
  <c r="T4196" i="1"/>
  <c r="N4197" i="1"/>
  <c r="O4197" i="1"/>
  <c r="P4197" i="1"/>
  <c r="T4197" i="1"/>
  <c r="N4199" i="1"/>
  <c r="O4199" i="1"/>
  <c r="P4199" i="1"/>
  <c r="T4199" i="1"/>
  <c r="N4202" i="1"/>
  <c r="O4202" i="1"/>
  <c r="P4202" i="1"/>
  <c r="T4202" i="1"/>
  <c r="N4203" i="1"/>
  <c r="O4203" i="1"/>
  <c r="P4203" i="1"/>
  <c r="T4203" i="1"/>
  <c r="N4204" i="1"/>
  <c r="O4204" i="1"/>
  <c r="P4204" i="1"/>
  <c r="T4204" i="1"/>
  <c r="N4206" i="1"/>
  <c r="O4206" i="1"/>
  <c r="P4206" i="1"/>
  <c r="T4206" i="1"/>
  <c r="N4207" i="1"/>
  <c r="O4207" i="1"/>
  <c r="P4207" i="1"/>
  <c r="T4207" i="1"/>
  <c r="N4208" i="1"/>
  <c r="O4208" i="1"/>
  <c r="P4208" i="1"/>
  <c r="N4209" i="1"/>
  <c r="O4209" i="1"/>
  <c r="P4209" i="1"/>
  <c r="T4209" i="1"/>
  <c r="N4210" i="1"/>
  <c r="O4210" i="1"/>
  <c r="P4210" i="1"/>
  <c r="T4210" i="1"/>
  <c r="N4211" i="1"/>
  <c r="O4211" i="1"/>
  <c r="P4211" i="1"/>
  <c r="T4211" i="1"/>
  <c r="N4212" i="1"/>
  <c r="O4212" i="1"/>
  <c r="P4212" i="1"/>
  <c r="T4212" i="1"/>
  <c r="N4213" i="1"/>
  <c r="O4213" i="1"/>
  <c r="P4213" i="1"/>
  <c r="T4213" i="1"/>
  <c r="N4214" i="1"/>
  <c r="O4214" i="1"/>
  <c r="P4214" i="1"/>
  <c r="T4214" i="1"/>
  <c r="N4215" i="1"/>
  <c r="O4215" i="1"/>
  <c r="P4215" i="1"/>
  <c r="T4215" i="1"/>
  <c r="N4217" i="1"/>
  <c r="O4217" i="1"/>
  <c r="P4217" i="1"/>
  <c r="T4217" i="1"/>
  <c r="N4218" i="1"/>
  <c r="O4218" i="1"/>
  <c r="P4218" i="1"/>
  <c r="T4218" i="1"/>
  <c r="N4220" i="1"/>
  <c r="O4220" i="1"/>
  <c r="P4220" i="1"/>
  <c r="T4220" i="1"/>
  <c r="N4221" i="1"/>
  <c r="N4222" i="1"/>
  <c r="O4222" i="1"/>
  <c r="P4222" i="1"/>
  <c r="T4222" i="1"/>
  <c r="N4223" i="1"/>
  <c r="O4223" i="1"/>
  <c r="P4223" i="1"/>
  <c r="T4223" i="1"/>
  <c r="N4224" i="1"/>
  <c r="O4224" i="1"/>
  <c r="P4224" i="1"/>
  <c r="T4224" i="1"/>
  <c r="N4226" i="1"/>
  <c r="O4226" i="1"/>
  <c r="P4226" i="1"/>
  <c r="T4226" i="1"/>
  <c r="N4227" i="1"/>
  <c r="O4227" i="1"/>
  <c r="P4227" i="1"/>
  <c r="T4227" i="1"/>
  <c r="N4229" i="1"/>
  <c r="O4229" i="1"/>
  <c r="P4229" i="1"/>
  <c r="T4229" i="1"/>
  <c r="N4230" i="1"/>
  <c r="O4230" i="1"/>
  <c r="P4230" i="1"/>
  <c r="T4230" i="1"/>
  <c r="N4231" i="1"/>
  <c r="O4231" i="1"/>
  <c r="P4231" i="1"/>
  <c r="T4231" i="1"/>
  <c r="N4234" i="1"/>
  <c r="O4234" i="1"/>
  <c r="P4234" i="1"/>
  <c r="T4234" i="1"/>
  <c r="N4235" i="1"/>
  <c r="O4235" i="1"/>
  <c r="P4235" i="1"/>
  <c r="T4235" i="1"/>
  <c r="N4236" i="1"/>
  <c r="O4236" i="1"/>
  <c r="P4236" i="1"/>
  <c r="T4236" i="1"/>
  <c r="N4238" i="1"/>
  <c r="O4238" i="1"/>
  <c r="P4238" i="1"/>
  <c r="T4238" i="1"/>
  <c r="N4239" i="1"/>
  <c r="O4239" i="1"/>
  <c r="P4239" i="1"/>
  <c r="T4239" i="1"/>
  <c r="N4240" i="1"/>
  <c r="O4240" i="1"/>
  <c r="P4240" i="1"/>
  <c r="T4240" i="1"/>
  <c r="N4244" i="1"/>
  <c r="O4244" i="1"/>
  <c r="P4244" i="1"/>
  <c r="T4244" i="1"/>
  <c r="N4246" i="1"/>
  <c r="O4246" i="1"/>
  <c r="P4246" i="1"/>
  <c r="T4246" i="1"/>
  <c r="N4247" i="1"/>
  <c r="O4247" i="1"/>
  <c r="P4247" i="1"/>
  <c r="T4247" i="1"/>
  <c r="N4248" i="1"/>
  <c r="O4248" i="1"/>
  <c r="P4248" i="1"/>
  <c r="T4248" i="1"/>
  <c r="N4249" i="1"/>
  <c r="O4249" i="1"/>
  <c r="P4249" i="1"/>
  <c r="T4249" i="1"/>
  <c r="N4251" i="1"/>
  <c r="O4251" i="1"/>
  <c r="P4251" i="1"/>
  <c r="T4251" i="1"/>
  <c r="N4252" i="1"/>
  <c r="O4252" i="1"/>
  <c r="P4252" i="1"/>
  <c r="T4252" i="1"/>
  <c r="N4253" i="1"/>
  <c r="O4253" i="1"/>
  <c r="P4253" i="1"/>
  <c r="T4253" i="1"/>
  <c r="N4254" i="1"/>
  <c r="O4254" i="1"/>
  <c r="P4254" i="1"/>
  <c r="T4254" i="1"/>
  <c r="N4255" i="1"/>
  <c r="O4255" i="1"/>
  <c r="P4255" i="1"/>
  <c r="T4255" i="1"/>
  <c r="N4256" i="1"/>
  <c r="O4256" i="1"/>
  <c r="P4256" i="1"/>
  <c r="T4256" i="1"/>
  <c r="N4257" i="1"/>
  <c r="O4257" i="1"/>
  <c r="P4257" i="1"/>
  <c r="T4257" i="1"/>
  <c r="N4259" i="1"/>
  <c r="O4259" i="1"/>
  <c r="P4259" i="1"/>
  <c r="T4259" i="1"/>
  <c r="N4260" i="1"/>
  <c r="O4260" i="1"/>
  <c r="P4260" i="1"/>
  <c r="N4261" i="1"/>
  <c r="O4261" i="1"/>
  <c r="P4261" i="1"/>
  <c r="T4261" i="1"/>
  <c r="N4262" i="1"/>
  <c r="O4262" i="1"/>
  <c r="P4262" i="1"/>
  <c r="T4262" i="1"/>
  <c r="N4263" i="1"/>
  <c r="O4263" i="1"/>
  <c r="P4263" i="1"/>
  <c r="T4263" i="1"/>
  <c r="N4264" i="1"/>
  <c r="O4264" i="1"/>
  <c r="P4264" i="1"/>
  <c r="T4264" i="1"/>
  <c r="N4265" i="1"/>
  <c r="O4265" i="1"/>
  <c r="P4265" i="1"/>
  <c r="T4265" i="1"/>
  <c r="N4266" i="1"/>
  <c r="O4266" i="1"/>
  <c r="P4266" i="1"/>
  <c r="T4266" i="1"/>
  <c r="N4267" i="1"/>
  <c r="O4267" i="1"/>
  <c r="P4267" i="1"/>
  <c r="T4267" i="1"/>
  <c r="N4268" i="1"/>
  <c r="O4268" i="1"/>
  <c r="P4268" i="1"/>
  <c r="T4268" i="1"/>
  <c r="N4269" i="1"/>
  <c r="O4269" i="1"/>
  <c r="P4269" i="1"/>
  <c r="T4269" i="1"/>
  <c r="N4270" i="1"/>
  <c r="O4270" i="1"/>
  <c r="P4270" i="1"/>
  <c r="T4270" i="1"/>
  <c r="N4272" i="1"/>
  <c r="O4272" i="1"/>
  <c r="P4272" i="1"/>
  <c r="T4272" i="1"/>
  <c r="N4273" i="1"/>
  <c r="O4273" i="1"/>
  <c r="P4273" i="1"/>
  <c r="T4273" i="1"/>
  <c r="N4274" i="1"/>
  <c r="O4274" i="1"/>
  <c r="P4274" i="1"/>
  <c r="T4274" i="1"/>
  <c r="N4275" i="1"/>
  <c r="O4275" i="1"/>
  <c r="P4275" i="1"/>
  <c r="T4275" i="1"/>
  <c r="N4276" i="1"/>
  <c r="O4276" i="1"/>
  <c r="P4276" i="1"/>
  <c r="T4276" i="1"/>
  <c r="N4277" i="1"/>
  <c r="O4277" i="1"/>
  <c r="P4277" i="1"/>
  <c r="T4277" i="1"/>
  <c r="N4278" i="1"/>
  <c r="O4278" i="1"/>
  <c r="P4278" i="1"/>
  <c r="T4278" i="1"/>
  <c r="N4279" i="1"/>
  <c r="O4279" i="1"/>
  <c r="P4279" i="1"/>
  <c r="T4279" i="1"/>
  <c r="N4280" i="1"/>
  <c r="O4280" i="1"/>
  <c r="P4280" i="1"/>
  <c r="T4280" i="1"/>
  <c r="N4281" i="1"/>
  <c r="O4281" i="1"/>
  <c r="P4281" i="1"/>
  <c r="T4281" i="1"/>
  <c r="N4282" i="1"/>
  <c r="O4282" i="1"/>
  <c r="P4282" i="1"/>
  <c r="T4282" i="1"/>
  <c r="N4283" i="1"/>
  <c r="O4283" i="1"/>
  <c r="P4283" i="1"/>
  <c r="T4283" i="1"/>
  <c r="N4284" i="1"/>
  <c r="O4284" i="1"/>
  <c r="P4284" i="1"/>
  <c r="T4284" i="1"/>
  <c r="N4285" i="1"/>
  <c r="O4285" i="1"/>
  <c r="P4285" i="1"/>
  <c r="T4285" i="1"/>
  <c r="N4286" i="1"/>
  <c r="O4286" i="1"/>
  <c r="P4286" i="1"/>
  <c r="T4286" i="1"/>
  <c r="N4287" i="1"/>
  <c r="O4287" i="1"/>
  <c r="P4287" i="1"/>
  <c r="T4287" i="1"/>
  <c r="N4288" i="1"/>
  <c r="O4288" i="1"/>
  <c r="P4288" i="1"/>
  <c r="T4288" i="1"/>
  <c r="N4290" i="1"/>
  <c r="O4290" i="1"/>
  <c r="P4290" i="1"/>
  <c r="T4290" i="1"/>
  <c r="N4291" i="1"/>
  <c r="O4291" i="1"/>
  <c r="P4291" i="1"/>
  <c r="T4291" i="1"/>
  <c r="N4293" i="1"/>
  <c r="O4293" i="1"/>
  <c r="P4293" i="1"/>
  <c r="T4293" i="1"/>
  <c r="N4294" i="1"/>
  <c r="O4294" i="1"/>
  <c r="P4294" i="1"/>
  <c r="N4295" i="1"/>
  <c r="O4295" i="1"/>
  <c r="P4295" i="1"/>
  <c r="T4295" i="1"/>
  <c r="N4298" i="1"/>
  <c r="O4298" i="1"/>
  <c r="P4298" i="1"/>
  <c r="T4298" i="1"/>
  <c r="N4299" i="1"/>
  <c r="O4299" i="1"/>
  <c r="P4299" i="1"/>
  <c r="T4299" i="1"/>
  <c r="N4300" i="1"/>
  <c r="O4300" i="1"/>
  <c r="P4300" i="1"/>
  <c r="T4300" i="1"/>
  <c r="N4301" i="1"/>
  <c r="O4301" i="1"/>
  <c r="P4301" i="1"/>
  <c r="T4301" i="1"/>
  <c r="N4302" i="1"/>
  <c r="O4302" i="1"/>
  <c r="P4302" i="1"/>
  <c r="T4302" i="1"/>
  <c r="N4304" i="1"/>
  <c r="O4304" i="1"/>
  <c r="P4304" i="1"/>
  <c r="T4304" i="1"/>
  <c r="N4305" i="1"/>
  <c r="O4305" i="1"/>
  <c r="P4305" i="1"/>
  <c r="T4305" i="1"/>
  <c r="N4306" i="1"/>
  <c r="O4306" i="1"/>
  <c r="P4306" i="1"/>
  <c r="T4306" i="1"/>
  <c r="N4307" i="1"/>
  <c r="O4307" i="1"/>
  <c r="P4307" i="1"/>
  <c r="T4307" i="1"/>
  <c r="N4308" i="1"/>
  <c r="O4308" i="1"/>
  <c r="P4308" i="1"/>
  <c r="T4308" i="1"/>
  <c r="N4309" i="1"/>
  <c r="O4309" i="1"/>
  <c r="P4309" i="1"/>
  <c r="T4309" i="1"/>
  <c r="N4310" i="1"/>
  <c r="O4310" i="1"/>
  <c r="P4310" i="1"/>
  <c r="T4310" i="1"/>
  <c r="N4311" i="1"/>
  <c r="O4311" i="1"/>
  <c r="P4311" i="1"/>
  <c r="T4311" i="1"/>
  <c r="N4312" i="1"/>
  <c r="O4312" i="1"/>
  <c r="P4312" i="1"/>
  <c r="T4312" i="1"/>
  <c r="N4313" i="1"/>
  <c r="O4313" i="1"/>
  <c r="P4313" i="1"/>
  <c r="T4313" i="1"/>
  <c r="N4315" i="1"/>
  <c r="O4315" i="1"/>
  <c r="P4315" i="1"/>
  <c r="T4315" i="1"/>
  <c r="N4316" i="1"/>
  <c r="O4316" i="1"/>
  <c r="P4316" i="1"/>
  <c r="T4316" i="1"/>
  <c r="N4317" i="1"/>
  <c r="O4317" i="1"/>
  <c r="P4317" i="1"/>
  <c r="T4317" i="1"/>
  <c r="N4318" i="1"/>
  <c r="O4318" i="1"/>
  <c r="P4318" i="1"/>
  <c r="T4318" i="1"/>
  <c r="N4319" i="1"/>
  <c r="O4319" i="1"/>
  <c r="P4319" i="1"/>
  <c r="T4319" i="1"/>
  <c r="N4320" i="1"/>
  <c r="O4320" i="1"/>
  <c r="P4320" i="1"/>
  <c r="T4320" i="1"/>
  <c r="N4321" i="1"/>
  <c r="O4321" i="1"/>
  <c r="P4321" i="1"/>
  <c r="T4321" i="1"/>
  <c r="N4322" i="1"/>
  <c r="O4322" i="1"/>
  <c r="P4322" i="1"/>
  <c r="T4322" i="1"/>
  <c r="N4324" i="1"/>
  <c r="O4324" i="1"/>
  <c r="P4324" i="1"/>
  <c r="T4324" i="1"/>
  <c r="N4325" i="1"/>
  <c r="O4325" i="1"/>
  <c r="P4325" i="1"/>
  <c r="T4325" i="1"/>
  <c r="N4326" i="1"/>
  <c r="O4326" i="1"/>
  <c r="P4326" i="1"/>
  <c r="T4326" i="1"/>
  <c r="N4327" i="1"/>
  <c r="O4327" i="1"/>
  <c r="P4327" i="1"/>
  <c r="T4327" i="1"/>
  <c r="N4330" i="1"/>
  <c r="O4330" i="1"/>
  <c r="P4330" i="1"/>
  <c r="T4330" i="1"/>
  <c r="N4331" i="1"/>
  <c r="O4331" i="1"/>
  <c r="P4331" i="1"/>
  <c r="T4331" i="1"/>
  <c r="N4333" i="1"/>
  <c r="O4333" i="1"/>
  <c r="P4333" i="1"/>
  <c r="T4333" i="1"/>
  <c r="N4334" i="1"/>
  <c r="O4334" i="1"/>
  <c r="P4334" i="1"/>
  <c r="T4334" i="1"/>
  <c r="N4335" i="1"/>
  <c r="O4335" i="1"/>
  <c r="P4335" i="1"/>
  <c r="T4335" i="1"/>
  <c r="N4336" i="1"/>
  <c r="O4336" i="1"/>
  <c r="P4336" i="1"/>
  <c r="T4336" i="1"/>
  <c r="N4337" i="1"/>
  <c r="O4337" i="1"/>
  <c r="P4337" i="1"/>
  <c r="T4337" i="1"/>
  <c r="N4338" i="1"/>
  <c r="O4338" i="1"/>
  <c r="P4338" i="1"/>
  <c r="T4338" i="1"/>
  <c r="N4341" i="1"/>
  <c r="O4341" i="1"/>
  <c r="P4341" i="1"/>
  <c r="T4341" i="1"/>
  <c r="N4342" i="1"/>
  <c r="O4342" i="1"/>
  <c r="P4342" i="1"/>
  <c r="T4342" i="1"/>
  <c r="N4343" i="1"/>
  <c r="O4343" i="1"/>
  <c r="P4343" i="1"/>
  <c r="T4343" i="1"/>
  <c r="N4344" i="1"/>
  <c r="O4344" i="1"/>
  <c r="P4344" i="1"/>
  <c r="T4344" i="1"/>
  <c r="N4345" i="1"/>
  <c r="O4345" i="1"/>
  <c r="P4345" i="1"/>
  <c r="T4345" i="1"/>
  <c r="N4346" i="1"/>
  <c r="O4346" i="1"/>
  <c r="P4346" i="1"/>
  <c r="T4346" i="1"/>
  <c r="N4347" i="1"/>
  <c r="O4347" i="1"/>
  <c r="P4347" i="1"/>
  <c r="T4347" i="1"/>
  <c r="N4348" i="1"/>
  <c r="O4348" i="1"/>
  <c r="P4348" i="1"/>
  <c r="T4348" i="1"/>
  <c r="N4349" i="1"/>
  <c r="O4349" i="1"/>
  <c r="P4349" i="1"/>
  <c r="T4349" i="1"/>
  <c r="N4352" i="1"/>
  <c r="O4352" i="1"/>
  <c r="P4352" i="1"/>
  <c r="T4352" i="1"/>
  <c r="N4353" i="1"/>
  <c r="O4353" i="1"/>
  <c r="P4353" i="1"/>
  <c r="T4353" i="1"/>
  <c r="N4354" i="1"/>
  <c r="O4354" i="1"/>
  <c r="P4354" i="1"/>
  <c r="T4354" i="1"/>
  <c r="N4355" i="1"/>
  <c r="O4355" i="1"/>
  <c r="P4355" i="1"/>
  <c r="T4355" i="1"/>
  <c r="N4356" i="1"/>
  <c r="O4356" i="1"/>
  <c r="P4356" i="1"/>
  <c r="T4356" i="1"/>
  <c r="N4357" i="1"/>
  <c r="O4357" i="1"/>
  <c r="P4357" i="1"/>
  <c r="T4357" i="1"/>
  <c r="N4358" i="1"/>
  <c r="O4358" i="1"/>
  <c r="P4358" i="1"/>
  <c r="T4358" i="1"/>
  <c r="N4359" i="1"/>
  <c r="O4359" i="1"/>
  <c r="P4359" i="1"/>
  <c r="T4359" i="1"/>
  <c r="N4360" i="1"/>
  <c r="O4360" i="1"/>
  <c r="P4360" i="1"/>
  <c r="T4360" i="1"/>
  <c r="N4361" i="1"/>
  <c r="O4361" i="1"/>
  <c r="P4361" i="1"/>
  <c r="T4361" i="1"/>
  <c r="N4362" i="1"/>
  <c r="O4362" i="1"/>
  <c r="P4362" i="1"/>
  <c r="T4362" i="1"/>
  <c r="N4363" i="1"/>
  <c r="O4363" i="1"/>
  <c r="P4363" i="1"/>
  <c r="T4363" i="1"/>
  <c r="N4364" i="1"/>
  <c r="O4364" i="1"/>
  <c r="P4364" i="1"/>
  <c r="T4364" i="1"/>
  <c r="N4365" i="1"/>
  <c r="O4365" i="1"/>
  <c r="P4365" i="1"/>
  <c r="T4365" i="1"/>
  <c r="N4366" i="1"/>
  <c r="O4366" i="1"/>
  <c r="P4366" i="1"/>
  <c r="T4366" i="1"/>
  <c r="N4367" i="1"/>
  <c r="O4367" i="1"/>
  <c r="P4367" i="1"/>
  <c r="T4367" i="1"/>
  <c r="N4369" i="1"/>
  <c r="O4369" i="1"/>
  <c r="P4369" i="1"/>
  <c r="T4369" i="1"/>
  <c r="N4370" i="1"/>
  <c r="O4370" i="1"/>
  <c r="P4370" i="1"/>
  <c r="T4370" i="1"/>
  <c r="N4371" i="1"/>
  <c r="O4371" i="1"/>
  <c r="P4371" i="1"/>
  <c r="T4371" i="1"/>
  <c r="N4372" i="1"/>
  <c r="O4372" i="1"/>
  <c r="P4372" i="1"/>
  <c r="T4372" i="1"/>
  <c r="N4373" i="1"/>
  <c r="O4373" i="1"/>
  <c r="P4373" i="1"/>
  <c r="T4373" i="1"/>
  <c r="N4374" i="1"/>
  <c r="O4374" i="1"/>
  <c r="P4374" i="1"/>
  <c r="T4374" i="1"/>
  <c r="N4375" i="1"/>
  <c r="O4375" i="1"/>
  <c r="P4375" i="1"/>
  <c r="T4375" i="1"/>
  <c r="N4376" i="1"/>
  <c r="O4376" i="1"/>
  <c r="P4376" i="1"/>
  <c r="T4376" i="1"/>
  <c r="N4377" i="1"/>
  <c r="O4377" i="1"/>
  <c r="P4377" i="1"/>
  <c r="T4377" i="1"/>
  <c r="N4378" i="1"/>
  <c r="O4378" i="1"/>
  <c r="P4378" i="1"/>
  <c r="T4378" i="1"/>
  <c r="N4379" i="1"/>
  <c r="O4379" i="1"/>
  <c r="P4379" i="1"/>
  <c r="T4379" i="1"/>
  <c r="N4380" i="1"/>
  <c r="O4380" i="1"/>
  <c r="P4380" i="1"/>
  <c r="T4380" i="1"/>
  <c r="N4381" i="1"/>
  <c r="O4381" i="1"/>
  <c r="P4381" i="1"/>
  <c r="T4381" i="1"/>
  <c r="N4382" i="1"/>
  <c r="O4382" i="1"/>
  <c r="P4382" i="1"/>
  <c r="T4382" i="1"/>
  <c r="N4384" i="1"/>
  <c r="O4384" i="1"/>
  <c r="P4384" i="1"/>
  <c r="T4384" i="1"/>
  <c r="N4385" i="1"/>
  <c r="O4385" i="1"/>
  <c r="P4385" i="1"/>
  <c r="T4385" i="1"/>
  <c r="N4386" i="1"/>
  <c r="O4386" i="1"/>
  <c r="P4386" i="1"/>
  <c r="T4386" i="1"/>
  <c r="N4387" i="1"/>
  <c r="O4387" i="1"/>
  <c r="P4387" i="1"/>
  <c r="T4387" i="1"/>
  <c r="N4388" i="1"/>
  <c r="O4388" i="1"/>
  <c r="P4388" i="1"/>
  <c r="T4388" i="1"/>
  <c r="N4389" i="1"/>
  <c r="O4389" i="1"/>
  <c r="P4389" i="1"/>
  <c r="T4389" i="1"/>
  <c r="N4390" i="1"/>
  <c r="O4390" i="1"/>
  <c r="P4390" i="1"/>
  <c r="T4390" i="1"/>
  <c r="N4391" i="1"/>
  <c r="O4391" i="1"/>
  <c r="P4391" i="1"/>
  <c r="T4391" i="1"/>
  <c r="N4392" i="1"/>
  <c r="O4392" i="1"/>
  <c r="P4392" i="1"/>
  <c r="T4392" i="1"/>
  <c r="N4393" i="1"/>
  <c r="O4393" i="1"/>
  <c r="P4393" i="1"/>
  <c r="T4393" i="1"/>
  <c r="N4394" i="1"/>
  <c r="O4394" i="1"/>
  <c r="P4394" i="1"/>
  <c r="T4394" i="1"/>
  <c r="N4395" i="1"/>
  <c r="O4395" i="1"/>
  <c r="P4395" i="1"/>
  <c r="T4395" i="1"/>
  <c r="N4396" i="1"/>
  <c r="O4396" i="1"/>
  <c r="P4396" i="1"/>
  <c r="T4396" i="1"/>
  <c r="N4398" i="1"/>
  <c r="O4398" i="1"/>
  <c r="P4398" i="1"/>
  <c r="T4398" i="1"/>
  <c r="N4399" i="1"/>
  <c r="O4399" i="1"/>
  <c r="P4399" i="1"/>
  <c r="T4399" i="1"/>
  <c r="N4400" i="1"/>
  <c r="O4400" i="1"/>
  <c r="P4400" i="1"/>
  <c r="T4400" i="1"/>
  <c r="N4401" i="1"/>
  <c r="O4401" i="1"/>
  <c r="P4401" i="1"/>
  <c r="T4401" i="1"/>
  <c r="N4402" i="1"/>
  <c r="O4402" i="1"/>
  <c r="P4402" i="1"/>
  <c r="T4402" i="1"/>
  <c r="N4403" i="1"/>
  <c r="O4403" i="1"/>
  <c r="P4403" i="1"/>
  <c r="T4403" i="1"/>
  <c r="N4404" i="1"/>
  <c r="O4404" i="1"/>
  <c r="P4404" i="1"/>
  <c r="T4404" i="1"/>
  <c r="N4405" i="1"/>
  <c r="O4405" i="1"/>
  <c r="P4405" i="1"/>
  <c r="T4405" i="1"/>
  <c r="N4406" i="1"/>
  <c r="O4406" i="1"/>
  <c r="P4406" i="1"/>
  <c r="T4406" i="1"/>
  <c r="N4407" i="1"/>
  <c r="O4407" i="1"/>
  <c r="P4407" i="1"/>
  <c r="T4407" i="1"/>
  <c r="N4408" i="1"/>
  <c r="O4408" i="1"/>
  <c r="P4408" i="1"/>
  <c r="T4408" i="1"/>
  <c r="N4409" i="1"/>
  <c r="O4409" i="1"/>
  <c r="P4409" i="1"/>
  <c r="T4409" i="1"/>
  <c r="N4410" i="1"/>
  <c r="O4410" i="1"/>
  <c r="P4410" i="1"/>
  <c r="T4410" i="1"/>
  <c r="N4413" i="1"/>
  <c r="O4413" i="1"/>
  <c r="P4413" i="1"/>
  <c r="T4413" i="1"/>
  <c r="N4414" i="1"/>
  <c r="O4414" i="1"/>
  <c r="P4414" i="1"/>
  <c r="T4414" i="1"/>
  <c r="N4415" i="1"/>
  <c r="O4415" i="1"/>
  <c r="P4415" i="1"/>
  <c r="T4415" i="1"/>
  <c r="N4416" i="1"/>
  <c r="O4416" i="1"/>
  <c r="P4416" i="1"/>
  <c r="T4416" i="1"/>
  <c r="N4417" i="1"/>
  <c r="O4417" i="1"/>
  <c r="P4417" i="1"/>
  <c r="T4417" i="1"/>
  <c r="N4418" i="1"/>
  <c r="O4418" i="1"/>
  <c r="P4418" i="1"/>
  <c r="T4418" i="1"/>
  <c r="N4419" i="1"/>
  <c r="O4419" i="1"/>
  <c r="P4419" i="1"/>
  <c r="T4419" i="1"/>
  <c r="N4420" i="1"/>
  <c r="O4420" i="1"/>
  <c r="P4420" i="1"/>
  <c r="T4420" i="1"/>
  <c r="N4422" i="1"/>
  <c r="O4422" i="1"/>
  <c r="P4422" i="1"/>
  <c r="T4422" i="1"/>
  <c r="N4423" i="1"/>
  <c r="O4423" i="1"/>
  <c r="P4423" i="1"/>
  <c r="T4423" i="1"/>
  <c r="N4424" i="1"/>
  <c r="O4424" i="1"/>
  <c r="P4424" i="1"/>
  <c r="T4424" i="1"/>
  <c r="N4425" i="1"/>
  <c r="O4425" i="1"/>
  <c r="P4425" i="1"/>
  <c r="T4425" i="1"/>
  <c r="N4426" i="1"/>
  <c r="O4426" i="1"/>
  <c r="P4426" i="1"/>
  <c r="T4426" i="1"/>
  <c r="N4427" i="1"/>
  <c r="O4427" i="1"/>
  <c r="P4427" i="1"/>
  <c r="T4427" i="1"/>
  <c r="N4429" i="1"/>
  <c r="O4429" i="1"/>
  <c r="P4429" i="1"/>
  <c r="T4429" i="1"/>
  <c r="N4430" i="1"/>
  <c r="O4430" i="1"/>
  <c r="P4430" i="1"/>
  <c r="T4430" i="1"/>
  <c r="N4431" i="1"/>
  <c r="O4431" i="1"/>
  <c r="P4431" i="1"/>
  <c r="T4431" i="1"/>
  <c r="N4432" i="1"/>
  <c r="O4432" i="1"/>
  <c r="P4432" i="1"/>
  <c r="T4432" i="1"/>
  <c r="N4433" i="1"/>
  <c r="O4433" i="1"/>
  <c r="P4433" i="1"/>
  <c r="T4433" i="1"/>
  <c r="N4434" i="1"/>
  <c r="O4434" i="1"/>
  <c r="P4434" i="1"/>
  <c r="T4434" i="1"/>
  <c r="N4435" i="1"/>
  <c r="O4435" i="1"/>
  <c r="P4435" i="1"/>
  <c r="T4435" i="1"/>
  <c r="N4437" i="1"/>
  <c r="O4437" i="1"/>
  <c r="P4437" i="1"/>
  <c r="T4437" i="1"/>
  <c r="N4438" i="1"/>
  <c r="O4438" i="1"/>
  <c r="P4438" i="1"/>
  <c r="T4438" i="1"/>
  <c r="N4439" i="1"/>
  <c r="O4439" i="1"/>
  <c r="P4439" i="1"/>
  <c r="T4439" i="1"/>
  <c r="N4440" i="1"/>
  <c r="O4440" i="1"/>
  <c r="P4440" i="1"/>
  <c r="T4440" i="1"/>
  <c r="N4441" i="1"/>
  <c r="O4441" i="1"/>
  <c r="P4441" i="1"/>
  <c r="T4441" i="1"/>
  <c r="N4442" i="1"/>
  <c r="O4442" i="1"/>
  <c r="P4442" i="1"/>
  <c r="T4442" i="1"/>
  <c r="N4443" i="1"/>
  <c r="O4443" i="1"/>
  <c r="P4443" i="1"/>
  <c r="T4443" i="1"/>
  <c r="N4444" i="1"/>
  <c r="O4444" i="1"/>
  <c r="P4444" i="1"/>
  <c r="T4444" i="1"/>
  <c r="N4445" i="1"/>
  <c r="O4445" i="1"/>
  <c r="P4445" i="1"/>
  <c r="T4445" i="1"/>
  <c r="N4446" i="1"/>
  <c r="O4446" i="1"/>
  <c r="P4446" i="1"/>
  <c r="T4446" i="1"/>
  <c r="N4447" i="1"/>
  <c r="O4447" i="1"/>
  <c r="P4447" i="1"/>
  <c r="T4447" i="1"/>
  <c r="N4448" i="1"/>
  <c r="O4448" i="1"/>
  <c r="P4448" i="1"/>
  <c r="T4448" i="1"/>
  <c r="N4449" i="1"/>
  <c r="O4449" i="1"/>
  <c r="P4449" i="1"/>
  <c r="T4449" i="1"/>
  <c r="N4451" i="1"/>
  <c r="O4451" i="1"/>
  <c r="P4451" i="1"/>
  <c r="T4451" i="1"/>
  <c r="N4452" i="1"/>
  <c r="O4452" i="1"/>
  <c r="P4452" i="1"/>
  <c r="T4452" i="1"/>
  <c r="N4453" i="1"/>
  <c r="O4453" i="1"/>
  <c r="P4453" i="1"/>
  <c r="T4453" i="1"/>
  <c r="N4454" i="1"/>
  <c r="O4454" i="1"/>
  <c r="P4454" i="1"/>
  <c r="T4454" i="1"/>
  <c r="N4455" i="1"/>
  <c r="O4455" i="1"/>
  <c r="P4455" i="1"/>
  <c r="T4455" i="1"/>
  <c r="N4456" i="1"/>
  <c r="O4456" i="1"/>
  <c r="P4456" i="1"/>
  <c r="T4456" i="1"/>
  <c r="N4457" i="1"/>
  <c r="O4457" i="1"/>
  <c r="P4457" i="1"/>
  <c r="T4457" i="1"/>
  <c r="N4458" i="1"/>
  <c r="O4458" i="1"/>
  <c r="P4458" i="1"/>
  <c r="T4458" i="1"/>
  <c r="N4459" i="1"/>
  <c r="O4459" i="1"/>
  <c r="P4459" i="1"/>
  <c r="T4459" i="1"/>
  <c r="N4460" i="1"/>
  <c r="O4460" i="1"/>
  <c r="P4460" i="1"/>
  <c r="T4460" i="1"/>
  <c r="N4461" i="1"/>
  <c r="O4461" i="1"/>
  <c r="P4461" i="1"/>
  <c r="T4461" i="1"/>
  <c r="N4463" i="1"/>
  <c r="O4463" i="1"/>
  <c r="P4463" i="1"/>
  <c r="T4463" i="1"/>
  <c r="N4464" i="1"/>
  <c r="O4464" i="1"/>
  <c r="P4464" i="1"/>
  <c r="T4464" i="1"/>
  <c r="N4465" i="1"/>
  <c r="O4465" i="1"/>
  <c r="P4465" i="1"/>
  <c r="T4465" i="1"/>
  <c r="N4466" i="1"/>
  <c r="O4466" i="1"/>
  <c r="P4466" i="1"/>
  <c r="T4466" i="1"/>
  <c r="N4467" i="1"/>
  <c r="O4467" i="1"/>
  <c r="P4467" i="1"/>
  <c r="T4467" i="1"/>
  <c r="N4468" i="1"/>
  <c r="O4468" i="1"/>
  <c r="P4468" i="1"/>
  <c r="T4468" i="1"/>
  <c r="N4469" i="1"/>
  <c r="O4469" i="1"/>
  <c r="P4469" i="1"/>
  <c r="T4469" i="1"/>
  <c r="N4470" i="1"/>
  <c r="O4470" i="1"/>
  <c r="P4470" i="1"/>
  <c r="T4470" i="1"/>
  <c r="N4471" i="1"/>
  <c r="O4471" i="1"/>
  <c r="P4471" i="1"/>
  <c r="T4471" i="1"/>
  <c r="N4472" i="1"/>
  <c r="O4472" i="1"/>
  <c r="P4472" i="1"/>
  <c r="T4472" i="1"/>
  <c r="N4473" i="1"/>
  <c r="O4473" i="1"/>
  <c r="P4473" i="1"/>
  <c r="T4473" i="1"/>
  <c r="N4474" i="1"/>
  <c r="O4474" i="1"/>
  <c r="P4474" i="1"/>
  <c r="T4474" i="1"/>
  <c r="N4476" i="1"/>
  <c r="O4476" i="1"/>
  <c r="P4476" i="1"/>
  <c r="T4476" i="1"/>
  <c r="N4477" i="1"/>
  <c r="O4477" i="1"/>
  <c r="P4477" i="1"/>
  <c r="T4477" i="1"/>
  <c r="N4478" i="1"/>
  <c r="O4478" i="1"/>
  <c r="P4478" i="1"/>
  <c r="T4478" i="1"/>
  <c r="N4479" i="1"/>
  <c r="O4479" i="1"/>
  <c r="P4479" i="1"/>
  <c r="T4479" i="1"/>
  <c r="N4480" i="1"/>
  <c r="O4480" i="1"/>
  <c r="P4480" i="1"/>
  <c r="T4480" i="1"/>
  <c r="N4481" i="1"/>
  <c r="O4481" i="1"/>
  <c r="P4481" i="1"/>
  <c r="T4481" i="1"/>
  <c r="N4482" i="1"/>
  <c r="O4482" i="1"/>
  <c r="P4482" i="1"/>
  <c r="T4482" i="1"/>
  <c r="N4483" i="1"/>
  <c r="O4483" i="1"/>
  <c r="P4483" i="1"/>
  <c r="T4483" i="1"/>
  <c r="N4484" i="1"/>
  <c r="O4484" i="1"/>
  <c r="P4484" i="1"/>
  <c r="T4484" i="1"/>
  <c r="N4486" i="1"/>
  <c r="O4486" i="1"/>
  <c r="P4486" i="1"/>
  <c r="T4486" i="1"/>
  <c r="N4487" i="1"/>
  <c r="O4487" i="1"/>
  <c r="P4487" i="1"/>
  <c r="T4487" i="1"/>
  <c r="N4488" i="1"/>
  <c r="O4488" i="1"/>
  <c r="P4488" i="1"/>
  <c r="T4488" i="1"/>
  <c r="N4489" i="1"/>
  <c r="O4489" i="1"/>
  <c r="P4489" i="1"/>
  <c r="T4489" i="1"/>
  <c r="N4490" i="1"/>
  <c r="O4490" i="1"/>
  <c r="P4490" i="1"/>
  <c r="T4490" i="1"/>
  <c r="N4491" i="1"/>
  <c r="O4491" i="1"/>
  <c r="P4491" i="1"/>
  <c r="T4491" i="1"/>
  <c r="N4492" i="1"/>
  <c r="O4492" i="1"/>
  <c r="P4492" i="1"/>
  <c r="T4492" i="1"/>
  <c r="N4493" i="1"/>
  <c r="O4493" i="1"/>
  <c r="P4493" i="1"/>
  <c r="T4493" i="1"/>
  <c r="N4494" i="1"/>
  <c r="O4494" i="1"/>
  <c r="P4494" i="1"/>
  <c r="T4494" i="1"/>
  <c r="N4495" i="1"/>
  <c r="O4495" i="1"/>
  <c r="P4495" i="1"/>
  <c r="T4495" i="1"/>
  <c r="N4496" i="1"/>
  <c r="O4496" i="1"/>
  <c r="P4496" i="1"/>
  <c r="T4496" i="1"/>
  <c r="N4497" i="1"/>
  <c r="O4497" i="1"/>
  <c r="P4497" i="1"/>
  <c r="T4497" i="1"/>
  <c r="N4499" i="1"/>
  <c r="O4499" i="1"/>
  <c r="P4499" i="1"/>
  <c r="T4499" i="1"/>
  <c r="N4500" i="1"/>
  <c r="O4500" i="1"/>
  <c r="P4500" i="1"/>
  <c r="T4500" i="1"/>
  <c r="N4502" i="1"/>
  <c r="O4502" i="1"/>
  <c r="P4502" i="1"/>
  <c r="T4502" i="1"/>
  <c r="N4503" i="1"/>
  <c r="O4503" i="1"/>
  <c r="P4503" i="1"/>
  <c r="T4503" i="1"/>
  <c r="N4504" i="1"/>
  <c r="O4504" i="1"/>
  <c r="P4504" i="1"/>
  <c r="T4504" i="1"/>
  <c r="N4505" i="1"/>
  <c r="O4505" i="1"/>
  <c r="P4505" i="1"/>
  <c r="T4505" i="1"/>
  <c r="N4506" i="1"/>
  <c r="O4506" i="1"/>
  <c r="P4506" i="1"/>
  <c r="T4506" i="1"/>
  <c r="N4507" i="1"/>
  <c r="O4507" i="1"/>
  <c r="P4507" i="1"/>
  <c r="T4507" i="1"/>
  <c r="N4508" i="1"/>
  <c r="O4508" i="1"/>
  <c r="P4508" i="1"/>
  <c r="T4508" i="1"/>
  <c r="N4509" i="1"/>
  <c r="O4509" i="1"/>
  <c r="P4509" i="1"/>
  <c r="T4509" i="1"/>
  <c r="N4511" i="1"/>
  <c r="O4511" i="1"/>
  <c r="P4511" i="1"/>
  <c r="T4511" i="1"/>
  <c r="N4512" i="1"/>
  <c r="O4512" i="1"/>
  <c r="P4512" i="1"/>
  <c r="T4512" i="1"/>
  <c r="N4514" i="1"/>
  <c r="O4514" i="1"/>
  <c r="P4514" i="1"/>
  <c r="T4514" i="1"/>
  <c r="N4515" i="1"/>
  <c r="O4515" i="1"/>
  <c r="P4515" i="1"/>
  <c r="T4515" i="1"/>
  <c r="N4516" i="1"/>
  <c r="O4516" i="1"/>
  <c r="P4516" i="1"/>
  <c r="T4516" i="1"/>
  <c r="N4517" i="1"/>
  <c r="O4517" i="1"/>
  <c r="P4517" i="1"/>
  <c r="T4517" i="1"/>
  <c r="N4518" i="1"/>
  <c r="O4518" i="1"/>
  <c r="P4518" i="1"/>
  <c r="T4518" i="1"/>
  <c r="N4519" i="1"/>
  <c r="O4519" i="1"/>
  <c r="P4519" i="1"/>
  <c r="T4519" i="1"/>
  <c r="N4520" i="1"/>
  <c r="O4520" i="1"/>
  <c r="P4520" i="1"/>
  <c r="T4520" i="1"/>
  <c r="N4522" i="1"/>
  <c r="O4522" i="1"/>
  <c r="P4522" i="1"/>
  <c r="T4522" i="1"/>
  <c r="N4523" i="1"/>
  <c r="O4523" i="1"/>
  <c r="P4523" i="1"/>
  <c r="T4523" i="1"/>
  <c r="N4525" i="1"/>
  <c r="O4525" i="1"/>
  <c r="P4525" i="1"/>
  <c r="N4529" i="1"/>
  <c r="O4529" i="1"/>
  <c r="P4529" i="1"/>
  <c r="T4529" i="1"/>
  <c r="N4530" i="1"/>
  <c r="O4530" i="1"/>
  <c r="P4530" i="1"/>
  <c r="T4530" i="1"/>
  <c r="N4532" i="1"/>
  <c r="O4532" i="1"/>
  <c r="P4532" i="1"/>
  <c r="T4532" i="1"/>
  <c r="N4533" i="1"/>
  <c r="O4533" i="1"/>
  <c r="P4533" i="1"/>
  <c r="T4533" i="1"/>
  <c r="N4534" i="1"/>
  <c r="O4534" i="1"/>
  <c r="P4534" i="1"/>
  <c r="T4534" i="1"/>
  <c r="N4536" i="1"/>
  <c r="O4536" i="1"/>
  <c r="P4536" i="1"/>
  <c r="T4536" i="1"/>
  <c r="N4539" i="1"/>
  <c r="O4539" i="1"/>
  <c r="P4539" i="1"/>
  <c r="T4539" i="1"/>
  <c r="N4540" i="1"/>
  <c r="O4540" i="1"/>
  <c r="P4540" i="1"/>
  <c r="T4540" i="1"/>
  <c r="N4543" i="1"/>
  <c r="O4543" i="1"/>
  <c r="P4543" i="1"/>
  <c r="T4543" i="1"/>
  <c r="N4544" i="1"/>
  <c r="O4544" i="1"/>
  <c r="P4544" i="1"/>
  <c r="T4544" i="1"/>
  <c r="N4545" i="1"/>
  <c r="O4545" i="1"/>
  <c r="P4545" i="1"/>
  <c r="T4545" i="1"/>
  <c r="N4546" i="1"/>
  <c r="O4546" i="1"/>
  <c r="P4546" i="1"/>
  <c r="T4546" i="1"/>
  <c r="N4549" i="1"/>
  <c r="O4549" i="1"/>
  <c r="P4549" i="1"/>
  <c r="T4549" i="1"/>
  <c r="N4550" i="1"/>
  <c r="O4550" i="1"/>
  <c r="P4550" i="1"/>
  <c r="T4550" i="1"/>
  <c r="N4551" i="1"/>
  <c r="O4551" i="1"/>
  <c r="P4551" i="1"/>
  <c r="T4551" i="1"/>
  <c r="N4552" i="1"/>
  <c r="O4552" i="1"/>
  <c r="P4552" i="1"/>
  <c r="T4552" i="1"/>
  <c r="N4553" i="1"/>
  <c r="O4553" i="1"/>
  <c r="P4553" i="1"/>
  <c r="T4553" i="1"/>
  <c r="N4554" i="1"/>
  <c r="O4554" i="1"/>
  <c r="P4554" i="1"/>
  <c r="T4554" i="1"/>
  <c r="N4555" i="1"/>
  <c r="O4555" i="1"/>
  <c r="P4555" i="1"/>
  <c r="T4555" i="1"/>
  <c r="N4556" i="1"/>
  <c r="O4556" i="1"/>
  <c r="P4556" i="1"/>
  <c r="T4556" i="1"/>
  <c r="N4557" i="1"/>
  <c r="O4557" i="1"/>
  <c r="P4557" i="1"/>
  <c r="T4557" i="1"/>
  <c r="N4558" i="1"/>
  <c r="O4558" i="1"/>
  <c r="P4558" i="1"/>
  <c r="T4558" i="1"/>
  <c r="N4560" i="1"/>
  <c r="O4560" i="1"/>
  <c r="P4560" i="1"/>
  <c r="N4561" i="1"/>
  <c r="O4561" i="1"/>
  <c r="P4561" i="1"/>
  <c r="T4561" i="1"/>
  <c r="N4562" i="1"/>
  <c r="O4562" i="1"/>
  <c r="P4562" i="1"/>
  <c r="N4563" i="1"/>
  <c r="O4563" i="1"/>
  <c r="P4563" i="1"/>
  <c r="N4564" i="1"/>
  <c r="O4564" i="1"/>
  <c r="P4564" i="1"/>
  <c r="T4564" i="1"/>
  <c r="N4566" i="1"/>
  <c r="O4566" i="1"/>
  <c r="P4566" i="1"/>
  <c r="T4566" i="1"/>
  <c r="N4567" i="1"/>
  <c r="O4567" i="1"/>
  <c r="P4567" i="1"/>
  <c r="T4567" i="1"/>
  <c r="N4568" i="1"/>
  <c r="O4568" i="1"/>
  <c r="P4568" i="1"/>
  <c r="T4568" i="1"/>
  <c r="N4571" i="1"/>
  <c r="O4571" i="1"/>
  <c r="P4571" i="1"/>
  <c r="T4571" i="1"/>
  <c r="N4572" i="1"/>
  <c r="O4572" i="1"/>
  <c r="P4572" i="1"/>
  <c r="T4572" i="1"/>
  <c r="N4574" i="1"/>
  <c r="O4574" i="1"/>
  <c r="P4574" i="1"/>
  <c r="T4574" i="1"/>
  <c r="N4575" i="1"/>
  <c r="O4575" i="1"/>
  <c r="P4575" i="1"/>
  <c r="T4575" i="1"/>
  <c r="N4576" i="1"/>
  <c r="O4576" i="1"/>
  <c r="P4576" i="1"/>
  <c r="T4576" i="1"/>
  <c r="N4577" i="1"/>
  <c r="O4577" i="1"/>
  <c r="P4577" i="1"/>
  <c r="T4577" i="1"/>
  <c r="N4578" i="1"/>
  <c r="O4578" i="1"/>
  <c r="P4578" i="1"/>
  <c r="N4580" i="1"/>
  <c r="O4580" i="1"/>
  <c r="P4580" i="1"/>
  <c r="T4580" i="1"/>
  <c r="N4581" i="1"/>
  <c r="O4581" i="1"/>
  <c r="P4581" i="1"/>
  <c r="T4581" i="1"/>
  <c r="N4582" i="1"/>
  <c r="O4582" i="1"/>
  <c r="P4582" i="1"/>
  <c r="T4582" i="1"/>
  <c r="N4583" i="1"/>
  <c r="O4583" i="1"/>
  <c r="P4583" i="1"/>
  <c r="T4583" i="1"/>
  <c r="N4584" i="1"/>
  <c r="O4584" i="1"/>
  <c r="P4584" i="1"/>
  <c r="T4584" i="1"/>
  <c r="N4585" i="1"/>
  <c r="O4585" i="1"/>
  <c r="P4585" i="1"/>
  <c r="T4585" i="1"/>
  <c r="N4586" i="1"/>
  <c r="O4586" i="1"/>
  <c r="P4586" i="1"/>
  <c r="T4586" i="1"/>
  <c r="N4588" i="1"/>
  <c r="O4588" i="1"/>
  <c r="P4588" i="1"/>
  <c r="T4588" i="1"/>
  <c r="N4589" i="1"/>
  <c r="O4589" i="1"/>
  <c r="P4589" i="1"/>
  <c r="T4589" i="1"/>
  <c r="N4590" i="1"/>
  <c r="O4590" i="1"/>
  <c r="P4590" i="1"/>
  <c r="T4590" i="1"/>
  <c r="N4591" i="1"/>
  <c r="O4591" i="1"/>
  <c r="P4591" i="1"/>
  <c r="T4591" i="1"/>
  <c r="N4592" i="1"/>
  <c r="O4592" i="1"/>
  <c r="P4592" i="1"/>
  <c r="T4592" i="1"/>
  <c r="N4593" i="1"/>
  <c r="O4593" i="1"/>
  <c r="P4593" i="1"/>
  <c r="T4593" i="1"/>
  <c r="N4594" i="1"/>
  <c r="O4594" i="1"/>
  <c r="P4594" i="1"/>
  <c r="T4594" i="1"/>
</calcChain>
</file>

<file path=xl/sharedStrings.xml><?xml version="1.0" encoding="utf-8"?>
<sst xmlns="http://schemas.openxmlformats.org/spreadsheetml/2006/main" count="21950" uniqueCount="14675">
  <si>
    <t>20.07.2026</t>
  </si>
  <si>
    <t>ООО "Издательский Дом "Проф-Пресс"</t>
  </si>
  <si>
    <t>Номер</t>
  </si>
  <si>
    <t>Код</t>
  </si>
  <si>
    <t>Наименование</t>
  </si>
  <si>
    <t>Артикул</t>
  </si>
  <si>
    <t>Маркировка</t>
  </si>
  <si>
    <t>Стандарт Паллеты</t>
  </si>
  <si>
    <t>Стандарт коробки</t>
  </si>
  <si>
    <t>Стандарт спайки</t>
  </si>
  <si>
    <t>Кол-во на складах</t>
  </si>
  <si>
    <t>Минимальный Заказ</t>
  </si>
  <si>
    <t>Цена</t>
  </si>
  <si>
    <t>ЗАКАЗ</t>
  </si>
  <si>
    <t>Сумма заказа</t>
  </si>
  <si>
    <t>Масса</t>
  </si>
  <si>
    <t>Объем</t>
  </si>
  <si>
    <t>Новинка</t>
  </si>
  <si>
    <t>Штрихкод</t>
  </si>
  <si>
    <t>Ставка НДС</t>
  </si>
  <si>
    <t>Картинка на сайте</t>
  </si>
  <si>
    <t>ШК (справочно)</t>
  </si>
  <si>
    <t>01. Издательский Дом Проф-Пресс  КАНЦ</t>
  </si>
  <si>
    <t xml:space="preserve">   ЧЕРНЕЕ ЧЕРНОГО</t>
  </si>
  <si>
    <t>Альбомы</t>
  </si>
  <si>
    <t>ПП-00258171</t>
  </si>
  <si>
    <t>8000044887 Альбом д/рис 24л Милые пушистики скрепка (Проф-Пресс):4/60 (!)</t>
  </si>
  <si>
    <t>А24-7798</t>
  </si>
  <si>
    <t>4670159277989</t>
  </si>
  <si>
    <t>10%</t>
  </si>
  <si>
    <t>ЛИКВИДАЦИЯ ОСТАТКОВ</t>
  </si>
  <si>
    <t>ПП-00272836</t>
  </si>
  <si>
    <t>8000113175 Альбом для рисования 24л Питомцы в асс (Проф-Пресс):4/64 (!)</t>
  </si>
  <si>
    <t>А24-1556</t>
  </si>
  <si>
    <t>4670159315568</t>
  </si>
  <si>
    <t xml:space="preserve">РАСПРОДАЖА </t>
  </si>
  <si>
    <t>ПП-00274236</t>
  </si>
  <si>
    <t>8000130247 Альбом для рисования А4 12л на скрепке микс (ПрофПресс):8/64 (!)</t>
  </si>
  <si>
    <t>А12-2045</t>
  </si>
  <si>
    <t>ПП-00274145</t>
  </si>
  <si>
    <t>8000130265 Альбом для рисования А4 20л ЖИВОТНЫЕ микс (ПрофПресс):8/64 (!)</t>
  </si>
  <si>
    <t>А20-2048</t>
  </si>
  <si>
    <t>ПП-00274237</t>
  </si>
  <si>
    <t>8000130266 Альбом для рис А4 20л МАШИНЫ/МОТОЦИКЛ микс (ПрофПресс):8/64 (!)</t>
  </si>
  <si>
    <t>А20-2027</t>
  </si>
  <si>
    <t>ПП-00274235</t>
  </si>
  <si>
    <t>8000130269 Альбом для рисования А4 20л на скрепке микс (ПрофПресс):8/64</t>
  </si>
  <si>
    <t>А20-2047</t>
  </si>
  <si>
    <t>ПП-00274238</t>
  </si>
  <si>
    <t>8000130270 Альбом для рисования А4 40л спираль микс (ПрофПресс):8/32 (!)</t>
  </si>
  <si>
    <t>А40-2046</t>
  </si>
  <si>
    <t>4670159320463</t>
  </si>
  <si>
    <t>ПП-00229061</t>
  </si>
  <si>
    <t>Альбом для рисования А4 12л. УЖАСНЫЕ И СМЕШНЫЕ (12-7355) скрепка, цвет. мелованная обл.</t>
  </si>
  <si>
    <t>12-7355</t>
  </si>
  <si>
    <t>4670159173557</t>
  </si>
  <si>
    <t>ПП-00221278</t>
  </si>
  <si>
    <t>Альбом для рисования А4 24л. ВНЕДОРОЖНИК (24-2313) скрепка, мелов. обл., офсет СПАЙКА 2</t>
  </si>
  <si>
    <t>24-2313</t>
  </si>
  <si>
    <t>4670159123132</t>
  </si>
  <si>
    <t>ПП-00178476</t>
  </si>
  <si>
    <t>Альбом для рисования А4 24л. ЗАБАВНЫЕ ЁЖИКИ МИКС (24-9646) 2диз скрепка, мелов. обл., офсет СПАЙКА 2</t>
  </si>
  <si>
    <t>24-9646</t>
  </si>
  <si>
    <t>4610144896467</t>
  </si>
  <si>
    <t>ПП-00178478</t>
  </si>
  <si>
    <t>Альбом для рисования А4 24л. КАРТИНКИ ДЛЯ МАЛЬЧИКОВ МИКС (24-9647)2 диз скр,мелов.обл,офсет СПАЙКА 2</t>
  </si>
  <si>
    <t>24-9647</t>
  </si>
  <si>
    <t>4610144896474</t>
  </si>
  <si>
    <t>ПП-00228511</t>
  </si>
  <si>
    <t>Альбом для рисования А4 40л. ЛОДКИ НА КАНАЛЕ (40-7154) отрывная склейка с жесткой подложкой</t>
  </si>
  <si>
    <t>40-7154</t>
  </si>
  <si>
    <t>4670159171546</t>
  </si>
  <si>
    <t>4630079154685</t>
  </si>
  <si>
    <t>ПП-00217839</t>
  </si>
  <si>
    <t>Альбом для рисования А4 48л. ДРУЗЬЯ НАВСЕГДА - 1 (48-6986)КБС, мат. лам, выб. лак, 2диз в сп СПАЙКА2</t>
  </si>
  <si>
    <t>48-6986</t>
  </si>
  <si>
    <t>4670159117797</t>
  </si>
  <si>
    <t>ПП-00217842</t>
  </si>
  <si>
    <t>Альбом для рисования А4 48л. СОВРЕМЕННЫЕ ТЕХНОЛОГИИ (48-6985)КБС, мат лам,выб лак,2диз в сп  СПАЙКА2</t>
  </si>
  <si>
    <t>48-6985</t>
  </si>
  <si>
    <t>4670159117803</t>
  </si>
  <si>
    <t>ПП-00229063</t>
  </si>
  <si>
    <t>Альбом для рисования А4 8л. ИГРИВЫЕ КОТЫ (08-7351) скреп., мелов. обл.,блок-офс</t>
  </si>
  <si>
    <t>08-7351</t>
  </si>
  <si>
    <t>4670159173519</t>
  </si>
  <si>
    <t>ПП-00229062</t>
  </si>
  <si>
    <t>Альбом для рисования А4 8л. СМЕШНЫЕ СОБАЧКИ (08-7352) скреп., мелов. обл.,блок-офс</t>
  </si>
  <si>
    <t>08-7352</t>
  </si>
  <si>
    <t>4670159173526</t>
  </si>
  <si>
    <t>Блокноты, записные книжки</t>
  </si>
  <si>
    <t>ПП-00274115</t>
  </si>
  <si>
    <t>8000130274 Блокнот А5 80л на гребне в асс (ПрофПресс):8/48 (!)</t>
  </si>
  <si>
    <t>Б80-2041</t>
  </si>
  <si>
    <t>22%</t>
  </si>
  <si>
    <t>ПП-00191180</t>
  </si>
  <si>
    <t>Блокнот 72л. Funny Book-Авангардизм - 2 (72-7899) КБС,круг.углы.160х195,обл. мат.лам,блок 4+4</t>
  </si>
  <si>
    <t>72-7899</t>
  </si>
  <si>
    <t>4610144878999</t>
  </si>
  <si>
    <t>ПП-00191183</t>
  </si>
  <si>
    <t>Блокнот 72л. Funny Book-Авангардизм (72-7893) КБС,круг.углы.160х195,обл. мат.лам,блок 4+4</t>
  </si>
  <si>
    <t>72-7893</t>
  </si>
  <si>
    <t>4610144878937</t>
  </si>
  <si>
    <t>ПП-00189789</t>
  </si>
  <si>
    <t>Блокнот 72л. Funny Book-Культовые фильмы- 2 (72-7903) КБС,круг.углы.160х195,обл. мат.лам,блок 4+4</t>
  </si>
  <si>
    <t>72-7903</t>
  </si>
  <si>
    <t>4610144879033</t>
  </si>
  <si>
    <t>ПП-00180269</t>
  </si>
  <si>
    <t>Блокнот Schoolformat А6 40 л. кл. ЖИЗНЬ БУЛЬДОГА скреп. мел. карт. спл. УФ-лак, БЛ6-ЖБ</t>
  </si>
  <si>
    <t>БЛ6-ЖБ</t>
  </si>
  <si>
    <t>4602723150671</t>
  </si>
  <si>
    <t>ПП-00272827</t>
  </si>
  <si>
    <t>Блокнот А5 40л. Микс ассорти, на гребне, цвет.мелов.обл, блок-офсет (Б40-1547)</t>
  </si>
  <si>
    <t>Б40-1547</t>
  </si>
  <si>
    <t>4670159315476</t>
  </si>
  <si>
    <t>ПП-00196800</t>
  </si>
  <si>
    <t>БЛОКНОТ А6 40л. на гребне ИЗУЧЕНИЕ КОСМОСА (Б40-6151) ассорти, цвет.мел.обл, офсет, клетка СПАЙКА 4</t>
  </si>
  <si>
    <t>Б40-6151/4</t>
  </si>
  <si>
    <t>ПП-00274359</t>
  </si>
  <si>
    <t>Блокнот А7 40л. на гребне МИКС (Б40-2070) обл.-мел.кар, бл-офс,в клетку (!)</t>
  </si>
  <si>
    <t>Б40-2070</t>
  </si>
  <si>
    <t>4670159320708</t>
  </si>
  <si>
    <t>ПП-00110428</t>
  </si>
  <si>
    <t>Дневничок для девочки А5, 64л. ОЧАРОВАТЕЛЬНАЯ РУСАЛКА (64-6026) 7БЦ, глиттер, цвет.мелов.обл.</t>
  </si>
  <si>
    <t>64-6026</t>
  </si>
  <si>
    <t>4665306160269</t>
  </si>
  <si>
    <t>ПП-00188818</t>
  </si>
  <si>
    <t>ЗАПИСНАЯ КНИЖКА А6 48л. ПАТТЕРН С ТУКАНАМИ (48-6160) 7БЦ, глянц.ламин., цвет.мелов.обл</t>
  </si>
  <si>
    <t>48-6160</t>
  </si>
  <si>
    <t>4620129761604</t>
  </si>
  <si>
    <t>ПП-00178473</t>
  </si>
  <si>
    <t>Записная книжка ДЛЯ ДЕВОЧЕК А5 80л. ПАРА АВОКАДО (80-5226) перепл.7БЦ, твин-лак, холодная фольга (!)</t>
  </si>
  <si>
    <t>80-5226</t>
  </si>
  <si>
    <t>4610144852265</t>
  </si>
  <si>
    <t>ПП-00199217</t>
  </si>
  <si>
    <t>Записная книжка ДЛЯ МАЛЬЧИКОВ А5 80л. ТИ-РЕКС ПАНК (80-6483) перепл.7БЦ, глянц.ламинация</t>
  </si>
  <si>
    <t>80-6483</t>
  </si>
  <si>
    <t>4620129764834</t>
  </si>
  <si>
    <t>ПП-00248893</t>
  </si>
  <si>
    <t>Позитивный блокнот, 56л. (Б56-5529) КБС, мат. лам., выб.лак. капибары</t>
  </si>
  <si>
    <t>Б56-5529</t>
  </si>
  <si>
    <t>4670159255291</t>
  </si>
  <si>
    <t>ПП-00185969</t>
  </si>
  <si>
    <t>Скетчбук 20л. ОПАСНЫЙ ДИНОЗАВР (20-3791)греб,гл.лам,микроп на отрыв,твин-лак,хол.фольга 160х160мм</t>
  </si>
  <si>
    <t>20-3791</t>
  </si>
  <si>
    <t>МНОГО</t>
  </si>
  <si>
    <t>4610144837910</t>
  </si>
  <si>
    <t>ПП-00144452</t>
  </si>
  <si>
    <t>Скетчбук 40л. ВЕСЁЛЫЙ ГУСЬ (40-5658) на гребне, блок- мелов.бум.150г/м2, жест.подл, 190х190</t>
  </si>
  <si>
    <t>40-5658</t>
  </si>
  <si>
    <t>4630079156580</t>
  </si>
  <si>
    <t>ПП-00220254</t>
  </si>
  <si>
    <t>Скетчбук 48л. МИКС-1 7БЦ, матовая ламинация, ляссе, лен, резинка, 165х165мм (!)</t>
  </si>
  <si>
    <t>без артикула</t>
  </si>
  <si>
    <t>4680088405728</t>
  </si>
  <si>
    <t>ПП-00272829</t>
  </si>
  <si>
    <t>Скетчбук А4, 40л, МИКС на цв. спирали сверху, мяг.обл. б/о с жесткой подложкой (СБ40-1548)</t>
  </si>
  <si>
    <t>СБ40-1548</t>
  </si>
  <si>
    <t>4670159315483</t>
  </si>
  <si>
    <t>ПП-00145110</t>
  </si>
  <si>
    <t>Скетчбук А5, 20л. ЧЕРНО-БЕЛЫЙ ЛЕОПАРД  (20-5663) греб, обл.мелов.картон, черный блок, жестк.подл</t>
  </si>
  <si>
    <t>20-5663</t>
  </si>
  <si>
    <t>4630079156634</t>
  </si>
  <si>
    <t>ПП-00210590</t>
  </si>
  <si>
    <t>Скетчбук А5, 80л, WEDNESDAY WHITE (80-5078), на спирали, обл. - целлюлозн. картон</t>
  </si>
  <si>
    <t>80-5078</t>
  </si>
  <si>
    <t>4670159050780</t>
  </si>
  <si>
    <t>ПП-00167829</t>
  </si>
  <si>
    <t>Скетчбук А5, 80л, ПОЛЕТ ВОЗДУШНЫХ ШАРОВ (80-2356), книжн., 7БЦ, глянц. лам. (!)</t>
  </si>
  <si>
    <t>80-2356</t>
  </si>
  <si>
    <t>4610144803595</t>
  </si>
  <si>
    <t>ПП-00185987</t>
  </si>
  <si>
    <t>Скетчбук А5+, 40л. НЕВЕРОЯТНЫЕ ЦВЕТЫ (40-5547) тетрадная сшивка, твин-лак, холодная фольга</t>
  </si>
  <si>
    <t>40-5547</t>
  </si>
  <si>
    <t>ПП-00185988</t>
  </si>
  <si>
    <t>Скетчбук А5+, 40л. РАЗНОЦВЕТНЫЙ КАРП (40-5546) тетрадная сшивка, твин-лак, холодная фольга МП</t>
  </si>
  <si>
    <t>40-5546</t>
  </si>
  <si>
    <t>ПП-00272812</t>
  </si>
  <si>
    <t>Скетчбук А6 40л, МИКС на цв. спирали сверху, мяг.обл. б/о с жесткой подложкой (СБ40-1541)</t>
  </si>
  <si>
    <t>СБ40-1541</t>
  </si>
  <si>
    <t>4670159315414</t>
  </si>
  <si>
    <t>ПП-00193513</t>
  </si>
  <si>
    <t>Скетчбук с пошаговыми эскизами ЭЛЕГАНТНАЯ СТРОГОСТЬ(РТ-1670)7БЦ,КБС с рез80л бл-краф бум,крафт,в.л</t>
  </si>
  <si>
    <t>РТ-1670</t>
  </si>
  <si>
    <t>4620129716703</t>
  </si>
  <si>
    <t>ПП-00167833</t>
  </si>
  <si>
    <t>Скетчбуки А5, 48л, (48-0495/ракеты), КБС, отрывная склейка (!)</t>
  </si>
  <si>
    <t>48-0495/ракеты</t>
  </si>
  <si>
    <t>4610144859523</t>
  </si>
  <si>
    <t>ПП-00257467</t>
  </si>
  <si>
    <t xml:space="preserve">Скетчбуки А6, 40л, МИКС на цв. спирали сверху, (СБ40-7566) мяг.обл. б/о с жесткой подложкой </t>
  </si>
  <si>
    <t>СБ40-7566</t>
  </si>
  <si>
    <t>4670159275664</t>
  </si>
  <si>
    <t>Детское творчество</t>
  </si>
  <si>
    <t>ПП-00177842</t>
  </si>
  <si>
    <t>"IQ-блокнот" ВКУСНОЕ И ПОЛЕЗНОЕ (РБ16-6925) 215*215, полноцв16л+обл,бл/офс100г обл/мел/карт,гребе</t>
  </si>
  <si>
    <t>РБ16-6925</t>
  </si>
  <si>
    <t>4610144869256</t>
  </si>
  <si>
    <t>ПП-00185742</t>
  </si>
  <si>
    <t>"IQ-блокнот" ФОРМИРУЕМ НАВЫКИ ЧТЕНИЯ И ПИСЬМА (РТ-1676) 32стр,бл.офс100г,обл цел к190-200г,скр</t>
  </si>
  <si>
    <t>РТ-1676</t>
  </si>
  <si>
    <t>4620129716765</t>
  </si>
  <si>
    <t>ПП-00199063</t>
  </si>
  <si>
    <t>4000096073 Книга Рабочая тетрадь с наклейками (Проф-Пресс):10/50</t>
  </si>
  <si>
    <t>РТ-8107/8108</t>
  </si>
  <si>
    <t>ПП-00203212</t>
  </si>
  <si>
    <t>My exclusive scetchbook с обложкой-раскраской ЖИРАФ(120-8339)черно-бел.блок120г,194х194,48л,греб.МП</t>
  </si>
  <si>
    <t>120-8339</t>
  </si>
  <si>
    <t>4620129783392</t>
  </si>
  <si>
    <t>ПП-00262921</t>
  </si>
  <si>
    <t>Акриловые краски для рисования (АК-9967) 18 цветов Проф-Пресс</t>
  </si>
  <si>
    <t>АК-9967</t>
  </si>
  <si>
    <t>4670159199670</t>
  </si>
  <si>
    <t>ПП-00150879</t>
  </si>
  <si>
    <t>Блокнот КАЛЛИГР,ЛЕТТЕРИНГ,МОНОГРАММЫ,УЗОРЫ-1 А5 64л.РЛ-0001/64-3210 7БЦ,мат лам,выб.лак,бл офс,цв.</t>
  </si>
  <si>
    <t>64-3210</t>
  </si>
  <si>
    <t>4680088463759</t>
  </si>
  <si>
    <t>ПП-00180731</t>
  </si>
  <si>
    <t>Игрушка-набор для дет твор"УМЕЛЫЕ РУЧКИ"ОРИГАМИ.НОВЫЙ ГОД(16-7905)16л.обл4+0,бл4+4,скр195х276</t>
  </si>
  <si>
    <t>16-7905</t>
  </si>
  <si>
    <t>4610144879057</t>
  </si>
  <si>
    <t>ПП-00214415</t>
  </si>
  <si>
    <t>Карандаши цветн пластик.2М,набор,гексаг.12цв.ЗОМБИ ЕДА (КЦ-2545) гриф.d=3мм,в карт.кор,кр 12</t>
  </si>
  <si>
    <t>КЦ-2545</t>
  </si>
  <si>
    <t>4670159025450</t>
  </si>
  <si>
    <t>ПП-00180717</t>
  </si>
  <si>
    <t>Набор 3 шт.Альбом-раскраска с наклейками(Р-9931/Р-9932/Р-9933)полноц бл мел115г обл мел карт скр (!)</t>
  </si>
  <si>
    <t>НР-001</t>
  </si>
  <si>
    <t>ПП-00185878</t>
  </si>
  <si>
    <t>Набор 5 шт. Наклейки в пакете А5 (НН-7409/НН-7411/НН-7412/НН-7414/НН-7416)без отд с хедером незап(!)</t>
  </si>
  <si>
    <t>НН-01</t>
  </si>
  <si>
    <t>ПП-00186301</t>
  </si>
  <si>
    <t>Настольное покрытие для лепки А3, ЦВЕТУЩИЕ КАКТУСЫ (НПД-5111) пластик (!)</t>
  </si>
  <si>
    <t>НПД-5111</t>
  </si>
  <si>
    <t>4630079151110</t>
  </si>
  <si>
    <t>ПП-00069832</t>
  </si>
  <si>
    <t>ПЕРЬЯ ДЕКОРАТИВНЫЕ ПУШИСТЫЕ (ТХ-9053), набор 30шт</t>
  </si>
  <si>
    <t>ТХ-9053</t>
  </si>
  <si>
    <t>4665301890536</t>
  </si>
  <si>
    <t>ПП-00206887</t>
  </si>
  <si>
    <t>Пластилиновая "раскраска" ДЛЯ САМЫХ ЛЮБОЗНАТЕЛЬНЫХ (АКТ-8891) 6л,обл.-целл.к,уф-лак,бл-офс,полноц</t>
  </si>
  <si>
    <t>АКТ-8891</t>
  </si>
  <si>
    <t>4620129788915</t>
  </si>
  <si>
    <t>ПП-00199197</t>
  </si>
  <si>
    <t>Рабочая тетрадь 6+. ЕДЕТ, ПЛЫВЕТ, ЛЕТИТ(РТ-4905)полноцв.8л.бл офс.100г,обл мел карт,гл лам,195*276</t>
  </si>
  <si>
    <t>РТ-4905</t>
  </si>
  <si>
    <t>4620129749053</t>
  </si>
  <si>
    <t>ПП-00218774</t>
  </si>
  <si>
    <t>Развив. брошюра МИКС (РТ-0057/РТ-0058/РТ-0059/РТ-0060) А4,8л,бл.офс,обл.цел.к,уф-лак,скрепка</t>
  </si>
  <si>
    <t>РТ-06</t>
  </si>
  <si>
    <t>ПП-00217606</t>
  </si>
  <si>
    <t>Развив. брошюра с накл. FAIRIES (РТ-1740) А5,4л,цв.обл цел кар,глян.лам,бл.офс полноцв,скр</t>
  </si>
  <si>
    <t>РТ-1740</t>
  </si>
  <si>
    <t>4620129717403</t>
  </si>
  <si>
    <t>ПП-00213249</t>
  </si>
  <si>
    <t>Раскраска "Магия черного" 32л МИКС черн.греб 7БЦ обл хол.фольга,мат.лам,твин-лак.черный блок</t>
  </si>
  <si>
    <t>4620129725279</t>
  </si>
  <si>
    <t>ПП-00207002</t>
  </si>
  <si>
    <t>Раскраска А4 "ДЕТЕКТИВНАЯ РАСКРАСКА С СЕКРЕТОМ" МИКС</t>
  </si>
  <si>
    <t>ПП-00135332</t>
  </si>
  <si>
    <t>Раскраска А4 Микс-23 Девочки (МВ-7953)</t>
  </si>
  <si>
    <t>МВ-7953</t>
  </si>
  <si>
    <t>ПП-00201061</t>
  </si>
  <si>
    <t>Раскраска-перевёртыш В УЗОРНОМ МИРЕ (Р-7766) 215х215,24л,КБС отр,обл-целл.к,твин-лак,бл-офс120г</t>
  </si>
  <si>
    <t>Р-7766</t>
  </si>
  <si>
    <t>4620129777667</t>
  </si>
  <si>
    <t>ПП-00199011</t>
  </si>
  <si>
    <t xml:space="preserve">Учимся вырезать и клеить А5 СКАЗОЧНЫЕ ДЖУНГЛИ (АПЛ-4715) 24л, бл офс, обл цел.карт, скрепка </t>
  </si>
  <si>
    <t>АПЛ-4715</t>
  </si>
  <si>
    <t>4620129747158</t>
  </si>
  <si>
    <t>ПП-00199014</t>
  </si>
  <si>
    <t xml:space="preserve">Учимся вырезать и клеить А5 ТРАНСПОРТ (АПЛ-4719) 24л, бл офс, обл цел.карт, скрепка </t>
  </si>
  <si>
    <t>АПЛ-4719</t>
  </si>
  <si>
    <t>4620129747196</t>
  </si>
  <si>
    <t>Бумага художественная</t>
  </si>
  <si>
    <t>ПП-00176887</t>
  </si>
  <si>
    <t xml:space="preserve"> Папка ДЛЯ АКВАРЕЛИ А4 ДЕРЕВЕНСКИЙ ПЕЙЗАЖ (10-7133) цветная обл., 10л. 180г/м2 (!)</t>
  </si>
  <si>
    <t>10-7133</t>
  </si>
  <si>
    <t>4665302671332</t>
  </si>
  <si>
    <t>ПП-00217624</t>
  </si>
  <si>
    <t xml:space="preserve"> ПАПКА ДЛЯ ЧЕРЧЕНИЯ  А3, 20л. ЧЕРТЕЖ МЕХАНИЗМА-5 (20-5815) цв.обл., 200г/м2 (!)</t>
  </si>
  <si>
    <t>20-5815</t>
  </si>
  <si>
    <t>4620129758154</t>
  </si>
  <si>
    <t>ПП-00219459</t>
  </si>
  <si>
    <t xml:space="preserve"> ПАПКА ДЛЯ ЧЕРЧЕНИЯ  А4, 20л. ЧЕРТЕЖ МЕХАНИЗМА-8 (20-5818) цв.обл., 200г/м2 (!)</t>
  </si>
  <si>
    <t>20-5818</t>
  </si>
  <si>
    <t>ПП-00231044</t>
  </si>
  <si>
    <t>Альбом для черчения А4 40 л. ДОМ (40-1380) КБС, целл.картон,офсет (!)</t>
  </si>
  <si>
    <t>40-1380</t>
  </si>
  <si>
    <t>4665297813809</t>
  </si>
  <si>
    <t>ПП-00182590</t>
  </si>
  <si>
    <t>ПАПКА  ДЛЯ ЧЕРЧЕНИЯ  А3, 10л. СИНЯЯ (арт.482439) цв.обл., с вертик.рамкой, 160г/м2 (!)</t>
  </si>
  <si>
    <t>482439</t>
  </si>
  <si>
    <t>9785378024391</t>
  </si>
  <si>
    <t>Развивающие брошюры</t>
  </si>
  <si>
    <t>ПП-00182145</t>
  </si>
  <si>
    <t>МОДНЫЙ АЛЬБОМ МИКС (А-2884, А-2885, А-2886, А-2887) А4,полноц,4л+4л.накл,обл.-целл.карт,фольга,тв-л</t>
  </si>
  <si>
    <t>ПП-00150681</t>
  </si>
  <si>
    <t>Набор 2 шт. ВК-0001/ПОЛОВИНКИ "КАРТИНКИ-ПОЛОВИНКИ" (Р-5129/Р-5127)</t>
  </si>
  <si>
    <t>ВК-0001/ПОЛОВИНКИ</t>
  </si>
  <si>
    <t>4680088463568</t>
  </si>
  <si>
    <t>ПП-00179955</t>
  </si>
  <si>
    <t>Набор 4 штуки.Многоразовая раскраска-пропись (Р-2682/Р-2683/Р-2684/Р-2685)А4,полноцв,4л</t>
  </si>
  <si>
    <t>Р-001</t>
  </si>
  <si>
    <t>ПП-00205649</t>
  </si>
  <si>
    <t>Набор для дет.творч. ФАСТ ФУД, ЛАПКИ, ОБРАЗ (НДТ-1542) А5 альб.,12л+разворот самоклейки</t>
  </si>
  <si>
    <t>НДТ-1542</t>
  </si>
  <si>
    <t>4670159015420</t>
  </si>
  <si>
    <t>ПП-00180670</t>
  </si>
  <si>
    <t>Цв. бумага, цв. картон</t>
  </si>
  <si>
    <t>ПП-00191548</t>
  </si>
  <si>
    <t xml:space="preserve"> НАБОР ДЛЯ ДЕТ.ТВОР.Бумага цветная 3 шт(08-3728/08-9317/08-9737)</t>
  </si>
  <si>
    <t>НБ-25</t>
  </si>
  <si>
    <t>ПП-00274242</t>
  </si>
  <si>
    <t>8000130570 Цветная бумага А4 8л/8цв односторонняя микс (ПрофПресс):8/48 (!)</t>
  </si>
  <si>
    <t>08-2039</t>
  </si>
  <si>
    <t>ПП-00274239</t>
  </si>
  <si>
    <t>8000130572 Цветной картон А4 8л/8цв в папке в асс (ПрофПресс):8/48 (!)</t>
  </si>
  <si>
    <t>08-2028</t>
  </si>
  <si>
    <t>4670159320289</t>
  </si>
  <si>
    <t>ПП-00157626</t>
  </si>
  <si>
    <t>TM"Profit" НАБОР ДЛЯ ТВОРЧЕСТВА 442 (НДТ-0442) цветная бумага+картон+альбом</t>
  </si>
  <si>
    <t>НДТ-0442</t>
  </si>
  <si>
    <t>4610144804424</t>
  </si>
  <si>
    <t>ПП-00238248</t>
  </si>
  <si>
    <t>НАБОР ДЛЯ ДЕТ.ТВОР. Бумага цв, карт.цв,карт. бел(08-4429/08-7676/08-7238) 8л,8цв.</t>
  </si>
  <si>
    <t>КБ-03</t>
  </si>
  <si>
    <t>ПП-00181119</t>
  </si>
  <si>
    <t>Набор4шт.Бумага цв.16л одн,Картон бел.8л,Картон уз.5л,Бумага цв.16л(16-4448/08-7899/05-4452/08-9129)</t>
  </si>
  <si>
    <t>НБ-10</t>
  </si>
  <si>
    <t>Дневники</t>
  </si>
  <si>
    <t>ПП-00254557</t>
  </si>
  <si>
    <t xml:space="preserve"> Дневник школьный 40л. МИКС (Д40-6878) универсальный,7БЦ,софт-тач, без резинки (!)</t>
  </si>
  <si>
    <t>Д40-6878</t>
  </si>
  <si>
    <t>ПП-00179288</t>
  </si>
  <si>
    <t xml:space="preserve"> Дневник школьный 40л. НЕОНОВЫЕ ЭМОДЖИ (Д40-1310) универсальный, 7БЦ, холодная фольга</t>
  </si>
  <si>
    <t>Д40-1310</t>
  </si>
  <si>
    <t>4620129713108</t>
  </si>
  <si>
    <t>ПП-00274244</t>
  </si>
  <si>
    <t>8000130282 Дневник школьный 48л для 1-4кл перепл в асс (ПрофПресс):8/48 (!)</t>
  </si>
  <si>
    <t>Д48-2030</t>
  </si>
  <si>
    <t>4670159320302</t>
  </si>
  <si>
    <t>ПП-00274246</t>
  </si>
  <si>
    <t>8000130295 Дневник школьный 48л скрепка в асс (ПрофПресс):8/48 (!)</t>
  </si>
  <si>
    <t>Д48-2029</t>
  </si>
  <si>
    <t>НОВИНКА</t>
  </si>
  <si>
    <t>4670159320296</t>
  </si>
  <si>
    <t>ПП-00173248</t>
  </si>
  <si>
    <t>Дневник  школьный 40л. КОТИКИ В РОЖКЕ (Д40-8148) универсальный, на скрепке, без обработки</t>
  </si>
  <si>
    <t>Д40-8148</t>
  </si>
  <si>
    <t>4610144881487</t>
  </si>
  <si>
    <t>ПП-00127776</t>
  </si>
  <si>
    <t>Дневник школьный,  Infolio Study, 170х215 мм, 48 л., интеграл. переплет. Коллекция "Skater", мальчик</t>
  </si>
  <si>
    <t>N1800</t>
  </si>
  <si>
    <t>ПП-00217629</t>
  </si>
  <si>
    <t>Дневник-мотиватор школьника УЧИТЬСЯ - КРУТО! (ДН-8895) А5, 48л.,7БЦ, греб, гл. лам, блок офс</t>
  </si>
  <si>
    <t>ДН-8895</t>
  </si>
  <si>
    <t>4620129788953</t>
  </si>
  <si>
    <t>ПП-00217630</t>
  </si>
  <si>
    <t>Дневник-мотиватор школьника УЧУСЬ ЛЕГКО! (ДН-8894) А5, 48л., 7БЦ, греб, глянц. лам, блок офс</t>
  </si>
  <si>
    <t>ДН-8894</t>
  </si>
  <si>
    <t>4620129788946</t>
  </si>
  <si>
    <t>ПП-00217631</t>
  </si>
  <si>
    <t>Дневник-мотиватор школьника Я МОЛОДЕЦ! (ДН-8893) А5, 48л., 7БЦ, греб, глянц. лам, блок офс</t>
  </si>
  <si>
    <t>ДН-8893</t>
  </si>
  <si>
    <t>4620129788939</t>
  </si>
  <si>
    <t>ПП-00217632</t>
  </si>
  <si>
    <t>Дневник-мотиватор школьника Я СУПЕР! (ДН-8892) А5, 48л., 7БЦ, греб, глянц. лам, блок офс,полноцв</t>
  </si>
  <si>
    <t>ДН-8892</t>
  </si>
  <si>
    <t>4620129788922</t>
  </si>
  <si>
    <t>Канцелярия</t>
  </si>
  <si>
    <t>Готовальни</t>
  </si>
  <si>
    <t>ПП-00218970</t>
  </si>
  <si>
    <t>Готовальня (ГТ-4061) (4 предмета) МП</t>
  </si>
  <si>
    <t>ГТ-4061</t>
  </si>
  <si>
    <t>4665307740613</t>
  </si>
  <si>
    <t>Доски для лепки</t>
  </si>
  <si>
    <t>ПП-00137620</t>
  </si>
  <si>
    <t xml:space="preserve"> TM"Profit" ДОСКА ДЛЯ ЛЕПКИ С ВЫЕМКАМИ А4 ассорти -2 (ДЛ-5418), стикер, СПАЙКА 4</t>
  </si>
  <si>
    <t>ДЛ-5418</t>
  </si>
  <si>
    <t>Клей</t>
  </si>
  <si>
    <t>ПП-00223981</t>
  </si>
  <si>
    <t xml:space="preserve">    "Profit" Клей ПВА 150 г. (КЛ-3342) </t>
  </si>
  <si>
    <t>КЛ-3342</t>
  </si>
  <si>
    <t>4670159133421</t>
  </si>
  <si>
    <t>ПП-00145778</t>
  </si>
  <si>
    <t>Клей СИЛИКАТНЫЙ 50 г. (ККР-6630) РОЛЛЕР, в шоубоксе, кратно 12</t>
  </si>
  <si>
    <t>ККР-6630</t>
  </si>
  <si>
    <t>4665308166306</t>
  </si>
  <si>
    <t>Линейки</t>
  </si>
  <si>
    <t>ПП-00226183</t>
  </si>
  <si>
    <t>TM "Legend"Линейка стальная (Л-1605) 30 см, толщина 0,3 мм, в пвх чехле, кратно 20 СПАЙКА4</t>
  </si>
  <si>
    <t>Л-1605</t>
  </si>
  <si>
    <t>4665303516052</t>
  </si>
  <si>
    <t>Ножницы</t>
  </si>
  <si>
    <t>ПП-00235888</t>
  </si>
  <si>
    <t>Ножницы канцелярские 19,5 см (НЖ-1092) титан. лезв.,двухцв.прорезин. кольца,в карт. блист, кр 12 (!)</t>
  </si>
  <si>
    <t>НЖ-1092</t>
  </si>
  <si>
    <t>4670159110927</t>
  </si>
  <si>
    <t>Палитра</t>
  </si>
  <si>
    <t>ПП-00254648</t>
  </si>
  <si>
    <t>8000037652 Палитра художника белая пластик (Проф-Пресс):11/44 (!)</t>
  </si>
  <si>
    <t>РП-6052</t>
  </si>
  <si>
    <t>Папки</t>
  </si>
  <si>
    <t>ПП-00222914</t>
  </si>
  <si>
    <t xml:space="preserve"> Папка детская на шнурке А4 МИКС-2 пластик</t>
  </si>
  <si>
    <t>ПП-00169867</t>
  </si>
  <si>
    <t>Набор первоклассника "Папка-конверт на кнопке А4"  (ПП-5486) с наполнением</t>
  </si>
  <si>
    <t>ПП-5486</t>
  </si>
  <si>
    <t>4610144868020</t>
  </si>
  <si>
    <t>ПП-00235880</t>
  </si>
  <si>
    <t>Папка-уголок, А4, 180мкм, КАПИБАРБИ (ПК-2847) СПАЙКА3</t>
  </si>
  <si>
    <t>ПК-2847</t>
  </si>
  <si>
    <t>Письменные принадлежности</t>
  </si>
  <si>
    <t>ПП-00218401</t>
  </si>
  <si>
    <t xml:space="preserve">    TM"Profit"Ручка шариковая "КРИСТАЛЛ" СИНЯЯ (РШ-4535) d=0,7, с прозрачным корпус,КРАТНО 12 шт (!)</t>
  </si>
  <si>
    <t>РШ-4535/12</t>
  </si>
  <si>
    <t>ПП-00118009</t>
  </si>
  <si>
    <t xml:space="preserve"> TM"Profit"Ручка гелевая СИНЯЯ (РГ-6832) d=0,5, с прозрачным корпусом, кратно 36 (!)</t>
  </si>
  <si>
    <t>РГ-6832</t>
  </si>
  <si>
    <t>4665302668400</t>
  </si>
  <si>
    <t>ПП-00123012</t>
  </si>
  <si>
    <t xml:space="preserve"> TM"Profit"Ручка гелевая СИНЯЯ."ВЕСЕННЯЯ ВЕТОЧКА" (РГ-4237)  цвета микс, d=0,5,кратно 48,инд.ШК</t>
  </si>
  <si>
    <t>РГ- 4237</t>
  </si>
  <si>
    <t>4665307742372</t>
  </si>
  <si>
    <t>ПП-00123615</t>
  </si>
  <si>
    <t>TM "Profit" Набор маркеров перманетных (МП-4561), 4 цв., 2,5мм, кратно 50</t>
  </si>
  <si>
    <t>МП-4561</t>
  </si>
  <si>
    <t>4665307745618</t>
  </si>
  <si>
    <t>ПП-00259648</t>
  </si>
  <si>
    <t>АКЦИЯ TM"Legend" Набор ручек гелевых 6шт (РГ-1077) белый целлофановый пакет</t>
  </si>
  <si>
    <t>РГ-1077</t>
  </si>
  <si>
    <t>4670159010777</t>
  </si>
  <si>
    <t>ПП-00184241</t>
  </si>
  <si>
    <t>АКЦИЯ Маркер -краска КРАСНЫЙ  (МП-3089), 2мм, кратно 12</t>
  </si>
  <si>
    <t>МП-3089</t>
  </si>
  <si>
    <t>4665306130897</t>
  </si>
  <si>
    <t>ПП-00184243</t>
  </si>
  <si>
    <t>АКЦИЯ Маркер -краска СИНИЙ  (МП-3088), 2мм, кратно 12</t>
  </si>
  <si>
    <t>МП-3088</t>
  </si>
  <si>
    <t>4665306130880</t>
  </si>
  <si>
    <t>ПП-00245615</t>
  </si>
  <si>
    <t>Набор ручек капиллярных 36 цв. ISTANBUL (НР-4746) гексагональный корпус, d=0,4 мм, кр 12 к</t>
  </si>
  <si>
    <t>НР-4746</t>
  </si>
  <si>
    <t>4620129747462</t>
  </si>
  <si>
    <t>ПП-00203276</t>
  </si>
  <si>
    <t>Набор ручек капиллярных 48 цв. AMSTERDAM (НР-4747) гексагональный корпус, d=0,4 мм, кр 12 (!)</t>
  </si>
  <si>
    <t>НР-4747</t>
  </si>
  <si>
    <t>4620129747479</t>
  </si>
  <si>
    <t>ПП-00208159</t>
  </si>
  <si>
    <t>Ручка гелевая стираемая, СИНЯЯ, PATTERN (РГ-1443)2диз корп микс,d=0,5,12шт/цв. пл.к,иг.нак,кр12</t>
  </si>
  <si>
    <t>РГ-1443</t>
  </si>
  <si>
    <t>Стакан-непроливайка</t>
  </si>
  <si>
    <t>ПП-00226435</t>
  </si>
  <si>
    <t xml:space="preserve"> TM"Profit"Стакан для ручек ПОЛУПРОЗРАЧНЫЙ АССОРТИ (СП-5452)</t>
  </si>
  <si>
    <t>СП-5452</t>
  </si>
  <si>
    <t>4665302654526</t>
  </si>
  <si>
    <t>Треугольники</t>
  </si>
  <si>
    <t>ПП-00220415</t>
  </si>
  <si>
    <t>Треугольник с окруж-ми ЦВЕТНОЕ ПРОЗРАЧНОЕ АССОРТИ (Л-6215) отлив.шкала 19 см. 30гр. кр. 20 СПАЙКА 4</t>
  </si>
  <si>
    <t>Л-6215</t>
  </si>
  <si>
    <t>4607978062151</t>
  </si>
  <si>
    <t>ПП-00220416</t>
  </si>
  <si>
    <t>Треугольник с транспортиром ЦВ.ПРОЗРАЧНОЕ АССОРТИ (Л-6209)16 см.30 отл.шкала, кратно 20 СПАЙКА 4</t>
  </si>
  <si>
    <t>Л-6209</t>
  </si>
  <si>
    <t>4607978062090</t>
  </si>
  <si>
    <t>ПП-00221859</t>
  </si>
  <si>
    <t>Треугольник ЦВЕТНОЕ АССОРТИ (Л-6201) 7 см 45гр. СПАЙКА 4</t>
  </si>
  <si>
    <t>Л-6201</t>
  </si>
  <si>
    <t>ПП-00220417</t>
  </si>
  <si>
    <t>Треугольник ЦВЕТНОЕ АССОРТИ (Л-6207) 16 см. 45гр. СПАЙКА 4</t>
  </si>
  <si>
    <t>Л-6207</t>
  </si>
  <si>
    <t>4607978062076</t>
  </si>
  <si>
    <t>ПП-00221858</t>
  </si>
  <si>
    <t>Треугольник ЦВЕТНОЕ АССОРТИ (Л-6213) 18 см. 30гр. СПАЙКА 4</t>
  </si>
  <si>
    <t>Л-6213</t>
  </si>
  <si>
    <t>Продукция для планирования</t>
  </si>
  <si>
    <t>ПП-00219516</t>
  </si>
  <si>
    <t>Ежедневник А5, 64л, ВСЁ УСПЕВАЮ! (ЕЖ-7807) 7БЦ,мат.лам, выб.лак, бл. офсет80г, 150х204</t>
  </si>
  <si>
    <t>ЕЖ-7807</t>
  </si>
  <si>
    <t>ПП-00217772</t>
  </si>
  <si>
    <t>ЕЖЕДНЕВНИК А5, 80л. ФИГУРА (80-5947) (7БЦ,глянц.ламин., цвет.мелов обл., недатиров.)</t>
  </si>
  <si>
    <t>80-5947</t>
  </si>
  <si>
    <t>4670159059974</t>
  </si>
  <si>
    <t>ПП-00153166</t>
  </si>
  <si>
    <t>ЕЖЕДНЕВНИК А5,136л. МОРСКОЙ КОНЕК-2(КРАСНЫЙ)(136-7428)7БЦ,гл.лам,обл.силикон,траф.печать,недат,ляссе</t>
  </si>
  <si>
    <t>136-7428</t>
  </si>
  <si>
    <t>4680088474281</t>
  </si>
  <si>
    <t>ПП-00153160</t>
  </si>
  <si>
    <t>ЕЖЕДНЕВНИК А5,136л. СТРЕКОЗА-2 (СИРЕНЕВЫЙ)(136-7426)7БЦ,гл.лам,обл.силикон,траф.печать,недат,с ляссе</t>
  </si>
  <si>
    <t>136-7426</t>
  </si>
  <si>
    <t>4680088474267</t>
  </si>
  <si>
    <t>ПП-00220447</t>
  </si>
  <si>
    <t>Ежедневник А6, 48л, БЕЗМЯТЕЖНОСТЬ (48-1554) 7БЦ,мат.лам, выб.лак, бл. офсет80г полноцв., 105х144 МП</t>
  </si>
  <si>
    <t>48-1554</t>
  </si>
  <si>
    <t>4670159015543</t>
  </si>
  <si>
    <t>ПП-00220484</t>
  </si>
  <si>
    <t>Ежедневник А6, 48л, ЭКЗОТИЧЕСКИЕ ЦВЕТ (48-1556) 7БЦ,мат.лам, выб.лак,бл.офсет80г полноцв.,105х144</t>
  </si>
  <si>
    <t>48-1556</t>
  </si>
  <si>
    <t>4670159015567</t>
  </si>
  <si>
    <t>ПП-00197249</t>
  </si>
  <si>
    <t>ТМ"Collezione" ЕЖЕДНЕВНИК А5,80л. ВЛЮБЛЕННЫЙ КОТИК (80-8280)7БЦ,софт-тач,ламинац,фольга перлам,нед</t>
  </si>
  <si>
    <t>80-8280</t>
  </si>
  <si>
    <t>4620129752800</t>
  </si>
  <si>
    <t>Сопутствующая продукция</t>
  </si>
  <si>
    <t>ПП-00036929</t>
  </si>
  <si>
    <t>Диплом 8-20-0090</t>
  </si>
  <si>
    <t>8-20-0090</t>
  </si>
  <si>
    <t>4665309193424</t>
  </si>
  <si>
    <t>4665295510021</t>
  </si>
  <si>
    <t>ПП-00048857</t>
  </si>
  <si>
    <t>Конфетти " Праздничный торт" (14 гр.) К-1261</t>
  </si>
  <si>
    <t>К-1261/у</t>
  </si>
  <si>
    <t>4665295512612</t>
  </si>
  <si>
    <t>ПП-00239037</t>
  </si>
  <si>
    <t>Настольное покрытие для лепки А4+ (Микс-6382) МИКС</t>
  </si>
  <si>
    <t>Микс-6382</t>
  </si>
  <si>
    <t>Текстильная продукция</t>
  </si>
  <si>
    <t>Мешки для обуви и шопперы</t>
  </si>
  <si>
    <t>ПП-00214800</t>
  </si>
  <si>
    <t>Сумка на молнии, А4, CATS LOVE, синий меланж (П-0825) 40х28х4,5 см</t>
  </si>
  <si>
    <t>П-0825</t>
  </si>
  <si>
    <t>4670159008255</t>
  </si>
  <si>
    <t>ПП-00214796</t>
  </si>
  <si>
    <t>Сумка-рюкзак для бассейна БОЖЬЯ КОРОВКА (МО-0740) 45х35х7 см</t>
  </si>
  <si>
    <t>МО-0740</t>
  </si>
  <si>
    <t>4670159008408</t>
  </si>
  <si>
    <t>ПП-00235577</t>
  </si>
  <si>
    <t>Сумка-шоппер  АНГЛИЙСКИЙ И ЖИВОТНЫЕ - 1 (СМ-7371) ПУ, 36х30 см</t>
  </si>
  <si>
    <t>СМ-7371</t>
  </si>
  <si>
    <t>4670159173700</t>
  </si>
  <si>
    <t>ПП-00235578</t>
  </si>
  <si>
    <t>Сумка-шоппер  АНГЛИЙСКИЙ И ЖИВОТНЫЕ - 2 (СМ-7372) ПУ, 36х30 см</t>
  </si>
  <si>
    <t>СМ-7372</t>
  </si>
  <si>
    <t>4670159173717</t>
  </si>
  <si>
    <t>ПП-00235579</t>
  </si>
  <si>
    <t>Сумка-шоппер  АНГЛИЙСКИЙ И ЖИВОТНЫЕ - 3 (СМ-7373) ПУ, 36х30 см</t>
  </si>
  <si>
    <t>СМ-7373</t>
  </si>
  <si>
    <t>4670159173724</t>
  </si>
  <si>
    <t>ПП-00235576</t>
  </si>
  <si>
    <t>Сумка-шоппер  АНГЛИЙСКИЙ И ЖИВОТНЫЕ (СМ-7370) ПУ, 36х30 см</t>
  </si>
  <si>
    <t>СМ-7370</t>
  </si>
  <si>
    <t>4670159173694</t>
  </si>
  <si>
    <t>ПП-00190972</t>
  </si>
  <si>
    <t>Сумка-шоппер LOVE (СМ-0723) на молнии, кожзам, внеш, внут карм 34.5х31 см</t>
  </si>
  <si>
    <t>СМ-0723</t>
  </si>
  <si>
    <t>4620129707237</t>
  </si>
  <si>
    <t>ПП-00198173</t>
  </si>
  <si>
    <t>Сумка-шоппер NATURE (СМ-1119) силикон, инд.ШК, 30,5х38 см</t>
  </si>
  <si>
    <t>СМ-1119</t>
  </si>
  <si>
    <t>4620129711197</t>
  </si>
  <si>
    <t>ПП-00190973</t>
  </si>
  <si>
    <t>Сумка-шоппер АБСТРАКЦИЯ (СМ-0720) на молнии, кожзам, внеш, внут карм  34.5х31 см</t>
  </si>
  <si>
    <t>СМ-0720</t>
  </si>
  <si>
    <t>4620129707206</t>
  </si>
  <si>
    <t>ПП-00190974</t>
  </si>
  <si>
    <t>Сумка-шоппер ГОРОД (СМ-0721) на молнии, кожзам, внеш, внут карм 34.5х31 см</t>
  </si>
  <si>
    <t>СМ-0721</t>
  </si>
  <si>
    <t>4620129707213</t>
  </si>
  <si>
    <t>ПП-00198177</t>
  </si>
  <si>
    <t>Сумка-шоппер СЛОНЫ (СМ-1120) силикон, инд.ШК, 30,5х38 см</t>
  </si>
  <si>
    <t>СМ-1120</t>
  </si>
  <si>
    <t>4620129711203</t>
  </si>
  <si>
    <t>ПП-00190975</t>
  </si>
  <si>
    <t>Сумка-шоппер ЦИТРУС (СМ-0722) на молнии, кожзам, внеш, внут карм 34.5х31 см</t>
  </si>
  <si>
    <t>СМ-0722</t>
  </si>
  <si>
    <t>4620129707220</t>
  </si>
  <si>
    <t>ПП-00156956</t>
  </si>
  <si>
    <t>ТМ "Workmate" Мешок для обуви МИКС 330х400</t>
  </si>
  <si>
    <t>ПП-00174591</t>
  </si>
  <si>
    <t xml:space="preserve"> Папка детская на шнурке А4 КОНТУРНЫЙ ПОРТРЕТ (ПТ-8927) пластик</t>
  </si>
  <si>
    <t>ПТ-8927</t>
  </si>
  <si>
    <t>4610144889278</t>
  </si>
  <si>
    <t>ПП-00220139</t>
  </si>
  <si>
    <t>ПП-00201476</t>
  </si>
  <si>
    <t>TM"Profit" Папка  для рисования А4, 20л. АНТИЧНЫЙ ПРОФИЛЬ-1 (20-4122) цветная обл. вн.блок 120г/м2!</t>
  </si>
  <si>
    <t>20-4122</t>
  </si>
  <si>
    <t>4620129741224</t>
  </si>
  <si>
    <t>ПП-00217848</t>
  </si>
  <si>
    <t xml:space="preserve">Папка для тетрадей на молнии сверху А4 PSY ART (ПТ-9603) печать на ткани </t>
  </si>
  <si>
    <t>ПТ-9603</t>
  </si>
  <si>
    <t>4620129796033</t>
  </si>
  <si>
    <t>ПП-00217853</t>
  </si>
  <si>
    <t>Папка для тетрадей на молнии сверху А4 ПАРКУР - 1 ( ПТ-0609) печать на ткани</t>
  </si>
  <si>
    <t>ПТ-0609</t>
  </si>
  <si>
    <t>4670159006091</t>
  </si>
  <si>
    <t>ПП-00254572</t>
  </si>
  <si>
    <t>Папки детские на шнурке А4 (Микс-6898) пластик (!)</t>
  </si>
  <si>
    <t>Микс-6898</t>
  </si>
  <si>
    <t>ПП-00254573</t>
  </si>
  <si>
    <t>Папки для тетрадей на молнии сверху А5 (Микс-6899) картон + пластик (!)</t>
  </si>
  <si>
    <t>Микс-6899</t>
  </si>
  <si>
    <t>Пеналы</t>
  </si>
  <si>
    <t>ПП-00202614</t>
  </si>
  <si>
    <t xml:space="preserve"> Пенал 1-секц, большой БИГ ПРИНТ (ПН-4975) 190х115, гладь (!)</t>
  </si>
  <si>
    <t>ПН-4975</t>
  </si>
  <si>
    <t>4610144889759</t>
  </si>
  <si>
    <t>ПП-00202599</t>
  </si>
  <si>
    <t xml:space="preserve"> Пенал 1-секц, большой ЦВЕТЫ малиновый (ПН-4972) 190х115, гладь (!)</t>
  </si>
  <si>
    <t>ПН-4972</t>
  </si>
  <si>
    <t>4610144889728</t>
  </si>
  <si>
    <t>ПП-00202608</t>
  </si>
  <si>
    <t xml:space="preserve"> Пенал 1-секц, большой ЦВЕТЫ фиолетовый (ПН-4973) 190х115, гладь (!)</t>
  </si>
  <si>
    <t>ПН-4973</t>
  </si>
  <si>
    <t>4610144889735</t>
  </si>
  <si>
    <t>ПП-00118213</t>
  </si>
  <si>
    <t xml:space="preserve"> Пенал 2-секц. СИРЕНЕВЫЙ. РУСАЛОЧКА (ПН-5015) 190х115, с аппликацией </t>
  </si>
  <si>
    <t>ПН-5015</t>
  </si>
  <si>
    <t>4630079150151</t>
  </si>
  <si>
    <t>ПП-00051007</t>
  </si>
  <si>
    <t xml:space="preserve"> ТМ "Profit" Пенал 1-секц, большой НАРИСОВАННЫЙ ЦВЕТОЧЕК (ПН-0383) 190х115, ламинированный картон</t>
  </si>
  <si>
    <t>ПН-0383</t>
  </si>
  <si>
    <t>4665299603835</t>
  </si>
  <si>
    <t>ПП-00218098</t>
  </si>
  <si>
    <t xml:space="preserve"> ТМ "Profit" Пенал 2-секц, большой BE BEAUTIFUL (ПН-1734) 190х105, ламинированный картон</t>
  </si>
  <si>
    <t>ПН-1734</t>
  </si>
  <si>
    <t>4670159117346</t>
  </si>
  <si>
    <t>ПП-00178963</t>
  </si>
  <si>
    <t>Пенал 1-секц на молнии с вышивкой БАНАНЧИК (ПН-2103), инд.ШК, кожзам, 21х11 см</t>
  </si>
  <si>
    <t>ПН-2103</t>
  </si>
  <si>
    <t>4620129711036</t>
  </si>
  <si>
    <t>ПП-00178966</t>
  </si>
  <si>
    <t>Пенал 1-секц на молнии с вышивкой ИНОПЛАНЕТЯНИН (ПН-2105) PU, инд.ШК, 21х11 см</t>
  </si>
  <si>
    <t>ПН-2105</t>
  </si>
  <si>
    <t>4620129711050</t>
  </si>
  <si>
    <t>ПП-00205900</t>
  </si>
  <si>
    <t>Пенал 1-секц на молнии с вышивкой КЛУБНИЧКА (ПН-2102) кожзам, инд.ШК, 21х11 см</t>
  </si>
  <si>
    <t>ПН-2102</t>
  </si>
  <si>
    <t>4620129711029</t>
  </si>
  <si>
    <t>ПП-00219611</t>
  </si>
  <si>
    <t>Пенал 1-секц, большой ИНОПЛАНЕТНЫЙ КОТИК (ПН-4952) 190х115, глянц.ламинир.,твин-лак, хол. фольга</t>
  </si>
  <si>
    <t>ПН-4952</t>
  </si>
  <si>
    <t>4670159049524</t>
  </si>
  <si>
    <t>ПП-00202622</t>
  </si>
  <si>
    <t>Пенал 1-секц, большой ЛЕОПАРД оранжевый (ПН-4978) 190х115, капля (!)</t>
  </si>
  <si>
    <t>ПН-4978</t>
  </si>
  <si>
    <t>4610144889780</t>
  </si>
  <si>
    <t>ПП-00219529</t>
  </si>
  <si>
    <t>Пенал 1-секц, большой МОДНОЕ ПРИВИДЕНИЕ (ПН-4954) 190х115, глянц.ламинир.,твин-лак, хол. фольга</t>
  </si>
  <si>
    <t>ПН-4954</t>
  </si>
  <si>
    <t>4670159049548</t>
  </si>
  <si>
    <t>ПП-00219638</t>
  </si>
  <si>
    <t>Пенал 1-секц, большой ЦВЕТНОЙ СМАЙЛИК (ПН-4957) 190х115, глянц.ламинир.,твин-лак, хол. фольга</t>
  </si>
  <si>
    <t>ПН-4957</t>
  </si>
  <si>
    <t>4670159049579</t>
  </si>
  <si>
    <t>ПП-00223994</t>
  </si>
  <si>
    <t>Пенал 1-секц, большой, с отк.планкой НЕДОВОЛЬНЫЙ КОТ (ПН-2065)(190х115)лам.к</t>
  </si>
  <si>
    <t>ПН-2065</t>
  </si>
  <si>
    <t>4670159119753</t>
  </si>
  <si>
    <t>ПП-00203765</t>
  </si>
  <si>
    <t>Пенал 1-секц, средний ПИКСЕЛЬНЫЕ ГЕРОИ (ПН-2406) 190х90, ламинированный картон</t>
  </si>
  <si>
    <t>ПН-2406</t>
  </si>
  <si>
    <t>4670159004066</t>
  </si>
  <si>
    <t>ПП-00171896</t>
  </si>
  <si>
    <t>Пенал 1-секц, средний ПУМА-СОЛДАТ (ПН-7445) 190х90, ламинированный картон</t>
  </si>
  <si>
    <t>ПН-7445</t>
  </si>
  <si>
    <t>4610144874458</t>
  </si>
  <si>
    <t>ПП-00070045</t>
  </si>
  <si>
    <t>Пенал 1-секц, средний ЩЕНОК НА ПОЛОСАТОМ ФОНЕ (ПН-5927) (190х90) (печать на ткани)</t>
  </si>
  <si>
    <t>ПН-5927</t>
  </si>
  <si>
    <t>4665302659279</t>
  </si>
  <si>
    <t>ПП-00190276</t>
  </si>
  <si>
    <t>Пенал 2-секц, большой ДЕРЗКОЕ ГРАФФИТИ-6 (ПН-3844) 190х115, ламинированный картон (!)</t>
  </si>
  <si>
    <t>ПН-3844</t>
  </si>
  <si>
    <t>4620129728447</t>
  </si>
  <si>
    <t>ПП-00201085</t>
  </si>
  <si>
    <t>Пенал 2-секц, большой ЕЖИК С ЯБЛОКОМ (ПН-1360) 190х115, софт-тач (!)</t>
  </si>
  <si>
    <t>ПН-1360</t>
  </si>
  <si>
    <t>4620129713603</t>
  </si>
  <si>
    <t>ПП-00177884</t>
  </si>
  <si>
    <t>Пенал 2-секц, большой МАЛЫШ-ДИНОЗАВРИК (ПН-4432) 190х115, ламинированный картон</t>
  </si>
  <si>
    <t>ПН-4432</t>
  </si>
  <si>
    <t>4620129704328</t>
  </si>
  <si>
    <t>ПП-00206927</t>
  </si>
  <si>
    <t>Пенал 2-секц, большой ПИТАЙЯ (ПН-4832) 190х115, ламинированный картон, твин-лак, хол.фол</t>
  </si>
  <si>
    <t>ПН-4832</t>
  </si>
  <si>
    <t>4620129748322</t>
  </si>
  <si>
    <t>ПП-00201091</t>
  </si>
  <si>
    <t>Пенал 2-секц, большой ЩЕНОЧЕК С НАУШНИКАМИ (ПН-1362) 190х115, софт-тач (!)</t>
  </si>
  <si>
    <t>ПН-1362</t>
  </si>
  <si>
    <t>4620129713627</t>
  </si>
  <si>
    <t>ПП-00024774</t>
  </si>
  <si>
    <t>Пенал 2-секц, печать на ткани БУКЕТ И ЗЕЛЁНАЯ ЛЕНТА (ПН-4699) (190х110)</t>
  </si>
  <si>
    <t>ПН-4699</t>
  </si>
  <si>
    <t>9785378146994</t>
  </si>
  <si>
    <t>ПП-00226207</t>
  </si>
  <si>
    <t>Пенал 2-секц, печать на ткани ЗЕЛЕНОГЛАЗАЯ ЛИСИЧКА (ПН-7666) (190х115)</t>
  </si>
  <si>
    <t>ПН-7666</t>
  </si>
  <si>
    <t>4620129776660</t>
  </si>
  <si>
    <t>ПП-00142216</t>
  </si>
  <si>
    <t>Пенал 3-секц, печать на ткани МОНСТРИКИ- 2 (ПН-1252) (190х115)</t>
  </si>
  <si>
    <t>ПН-1252</t>
  </si>
  <si>
    <t>4680088412474</t>
  </si>
  <si>
    <t>ПП-00090418</t>
  </si>
  <si>
    <t>Пенал МОНСТРИК (ПН-2818) с аппликацией и пленкой</t>
  </si>
  <si>
    <t>ПН-2818</t>
  </si>
  <si>
    <t>4665303528185</t>
  </si>
  <si>
    <t>ПП-00177904</t>
  </si>
  <si>
    <t>Пенал на молнии АППЕТИТНОЕ МОРОЖЕНОЕ-1 (ПН-4448) печать, искусст. кожа, 10х21см</t>
  </si>
  <si>
    <t>ПН-4448</t>
  </si>
  <si>
    <t>4620129704489</t>
  </si>
  <si>
    <t>ПП-00177905</t>
  </si>
  <si>
    <t>Пенал на молнии ДОСКА ДЛЯ СЕРФИНГА (ПН-4449) печать, искусст. кожа, 10х21см</t>
  </si>
  <si>
    <t>ПН-4449</t>
  </si>
  <si>
    <t>4620129704496</t>
  </si>
  <si>
    <t>ПП-00192443</t>
  </si>
  <si>
    <t>Пенал на молнии ЛЮБИМЫЙ ФАСТФУД (ПН-7741) печать, искусст. кожа, 10х21см</t>
  </si>
  <si>
    <t>ПН-7741</t>
  </si>
  <si>
    <t>4620129777414</t>
  </si>
  <si>
    <t>ПП-00192445</t>
  </si>
  <si>
    <t>Пенал на молнии НЕУДЕРЖИМЫЙ СКЕЙТЕР (ПН-7743) печать, искусст. кожа, 10х21см</t>
  </si>
  <si>
    <t>ПН-7743</t>
  </si>
  <si>
    <t>4620129777438</t>
  </si>
  <si>
    <t>ПП-00179045</t>
  </si>
  <si>
    <t>Пенал на молнии со шнурком КОСМИЧЕСКИЙ ПРИШЕЛЕЦ (ПН-3142) искусственная кожа, инд.ШК, 7,5х21 см</t>
  </si>
  <si>
    <t>ПН-3142</t>
  </si>
  <si>
    <t>4620129711425</t>
  </si>
  <si>
    <t>ПП-00179048</t>
  </si>
  <si>
    <t>Пенал на молнии со шнурком МИЛЫЙ ЛИСЕНОК (ПН-3145) искусственная кожа, инд.ШК, 7,5х21 см</t>
  </si>
  <si>
    <t>ПН-3145</t>
  </si>
  <si>
    <t>4620129711456</t>
  </si>
  <si>
    <t>ПП-00179046</t>
  </si>
  <si>
    <t>Пенал на молнии со шнурком РАЙСКИЕ ПТИЦЫ (ПН-3143) искусственная кожа, инд.ШК, 7,5х21 см</t>
  </si>
  <si>
    <t>ПН-3143</t>
  </si>
  <si>
    <t>4620129711432</t>
  </si>
  <si>
    <t>ПП-00179047</t>
  </si>
  <si>
    <t>Пенал на молнии со шнурком СКЕЛЕТОН (ПН-3144) искусственная кожа, инд.ШК, 7,5х21 см</t>
  </si>
  <si>
    <t>ПН-3144</t>
  </si>
  <si>
    <t>4620129711449</t>
  </si>
  <si>
    <t>ПП-00177909</t>
  </si>
  <si>
    <t>Пенал на молнии УЗОР С АВОКАДО (ПН-4453) печать, искусст. кожа, 200х95х20 мм</t>
  </si>
  <si>
    <t>ПН-4453</t>
  </si>
  <si>
    <t>4620129704533</t>
  </si>
  <si>
    <t>ПП-00192442</t>
  </si>
  <si>
    <t>Пенал на молнии ФИТНЕС АВОКАДО (ПН-7740) печать, искусст. кожа, 10х21см</t>
  </si>
  <si>
    <t>ПН-7740</t>
  </si>
  <si>
    <t>4620129777407</t>
  </si>
  <si>
    <t>ПП-00192444</t>
  </si>
  <si>
    <t>Пенал на молнии ЯРКИЙ ФРЕШ (ПН-7742) печать, искусст. кожа, 10х21см</t>
  </si>
  <si>
    <t>ПН-7742</t>
  </si>
  <si>
    <t>4620129777421</t>
  </si>
  <si>
    <t>ПП-00090424</t>
  </si>
  <si>
    <t>Пенал ПОНИ (ПН-2822) с аппликацией и пленкой</t>
  </si>
  <si>
    <t>ПН-2822</t>
  </si>
  <si>
    <t>4665303528222</t>
  </si>
  <si>
    <t>ПП-00230601</t>
  </si>
  <si>
    <t>Пенал с прозр окошком ВЕСЕЛЫЙ АКВАЛАНГИСТ (ПН-2100), инд.ШК 20x9.5x5.5 см !</t>
  </si>
  <si>
    <t>ПН-2100</t>
  </si>
  <si>
    <t>4620129711005</t>
  </si>
  <si>
    <t>ПП-00230953</t>
  </si>
  <si>
    <t>Пенал с прозр окошком ИНОПЛАНЕТНЫЙ ДРУГ (ПН-2098), инд.ШК, 20x9.5x5.5 см !</t>
  </si>
  <si>
    <t>ПН-2098</t>
  </si>
  <si>
    <t>4620129710985</t>
  </si>
  <si>
    <t>ПП-00230956</t>
  </si>
  <si>
    <t>Пенал с прозр окошком КОТ ЛИМОН (ПН-2099) 20x9.5x5.5 см !</t>
  </si>
  <si>
    <t>ПН-2099</t>
  </si>
  <si>
    <t>4620129710992</t>
  </si>
  <si>
    <t>ПП-00230957</t>
  </si>
  <si>
    <t>Пенал с прозр окошком МИЛЫЕ БУКАШКИ (ПН-2101), инд.ШК, 20x9.5x5.5 см !</t>
  </si>
  <si>
    <t>ПН-2101</t>
  </si>
  <si>
    <t>4620129711012</t>
  </si>
  <si>
    <t>ПП-00126084</t>
  </si>
  <si>
    <t xml:space="preserve">Пенал- стакан СТЕГАНЫЙ ПЕРЛАМУТР-1 (ПН-1008) </t>
  </si>
  <si>
    <t>ПН-1008</t>
  </si>
  <si>
    <t>4630097510081</t>
  </si>
  <si>
    <t>ПП-00115978</t>
  </si>
  <si>
    <t>Пенал- тубус БЛЕСТЯЩАЯ ГЕОМЕТРИЯ, ГОЛУБОЙ И РОЗОВЫЙ (ПН-6844) ломаная ткань</t>
  </si>
  <si>
    <t>ПН-6844</t>
  </si>
  <si>
    <t>4607978068443</t>
  </si>
  <si>
    <t>ПП-00143081</t>
  </si>
  <si>
    <t>Пенал- тубус БЛЕСТЯЩАЯ ГЕОМЕТРИЯ, ЧЁРНЫЙ И МАЛИНОВЫЙ (ПН-6843) ломанная ткань</t>
  </si>
  <si>
    <t>ПН-6843</t>
  </si>
  <si>
    <t>4607978068436</t>
  </si>
  <si>
    <t>ПП-00114764</t>
  </si>
  <si>
    <t>Пенал-косметичка мягкая БЛЕСТКИ БОРДО (ПН-6654) комбинир. материал</t>
  </si>
  <si>
    <t>ПН-6654</t>
  </si>
  <si>
    <t>4607978066548</t>
  </si>
  <si>
    <t>ПП-00181573</t>
  </si>
  <si>
    <t>Пенал-косметичка мягкая ЗВЕЗДЫ МЯТНЫЕ (ПН-9864) комбинир. материал</t>
  </si>
  <si>
    <t>ПН-9864</t>
  </si>
  <si>
    <t>4610144878647</t>
  </si>
  <si>
    <t>ПП-00181574</t>
  </si>
  <si>
    <t>Пенал-косметичка мягкая ЗВЕЗДЫ РОЗОВЫЕ (ПН-9865) комбинир. материал</t>
  </si>
  <si>
    <t>ПН-9865</t>
  </si>
  <si>
    <t>4610144878654</t>
  </si>
  <si>
    <t>ПП-00115752</t>
  </si>
  <si>
    <t>Пенал-косметичка ОЧКИ-ЗВЕЗДОЧКИ (ПН-6794) аппликация, прозрачный ПВХ</t>
  </si>
  <si>
    <t>ПН-6794</t>
  </si>
  <si>
    <t>4607978067941</t>
  </si>
  <si>
    <t>ПП-00115761</t>
  </si>
  <si>
    <t>Пенал-косметичка ОЧКИ-СЕРДЕЧКИ (ПН-6798) аппликация, прозрачный ПВХ</t>
  </si>
  <si>
    <t>ПН-6798</t>
  </si>
  <si>
    <t>4607978067989</t>
  </si>
  <si>
    <t>ПП-00115765</t>
  </si>
  <si>
    <t>Пенал-косметичка ОЧКИ-СЕРДЕЧКИ-3 (ПН-6801) аппликация, кожзам</t>
  </si>
  <si>
    <t>ПН-6801</t>
  </si>
  <si>
    <t>4607978068016</t>
  </si>
  <si>
    <t>ПП-00112455</t>
  </si>
  <si>
    <t>Пенал-косметичка с бубоном ЖЕЛТЫЙ И ОРАНЖЕВЫЙ (ПМ-6276) прозрачный пластик</t>
  </si>
  <si>
    <t>ПМ-6276</t>
  </si>
  <si>
    <t>4607978062762</t>
  </si>
  <si>
    <t>ПП-00191408</t>
  </si>
  <si>
    <t>Пенал-косметичка СОВА (ПН-2806) мордочки с печатью</t>
  </si>
  <si>
    <t>ПН-2806</t>
  </si>
  <si>
    <t>4665303528062</t>
  </si>
  <si>
    <t>ПП-00152412</t>
  </si>
  <si>
    <t>Пенал-косметичка торба. Флористика (сиреневый\жёлтый) (ПН-6160)</t>
  </si>
  <si>
    <t>ПН-6160</t>
  </si>
  <si>
    <t>4680088461601</t>
  </si>
  <si>
    <t>ПП-00116348</t>
  </si>
  <si>
    <t>Пенал-косметичка ФИОЛЕТОВЫЙ И МАЛИНОВЫЙ (ПН-6862)</t>
  </si>
  <si>
    <t>ПН-6862</t>
  </si>
  <si>
    <t>4607978068627</t>
  </si>
  <si>
    <t>ПП-00112471</t>
  </si>
  <si>
    <t>Пенал-косметичка ФИОЛЕТОТВЫЙ, СИРЕНЕВЫЕ ЗВЕЗДЫ (ПМ-6289) тракторная молния, перламутр</t>
  </si>
  <si>
    <t>ПМ-6289</t>
  </si>
  <si>
    <t>4607978062748</t>
  </si>
  <si>
    <t>ПП-00115732</t>
  </si>
  <si>
    <t>Пенал-косметичка ЧЕШУЙКИ  (ПН-6790) ткань ПВХ</t>
  </si>
  <si>
    <t>ПН-6790</t>
  </si>
  <si>
    <t>4607978067903</t>
  </si>
  <si>
    <t>ПП-00115733</t>
  </si>
  <si>
    <t>Пенал-косметичка ЧЕШУЙКИ-1  (ПН-6791) ткань ПВХ</t>
  </si>
  <si>
    <t>ПН-6791</t>
  </si>
  <si>
    <t>4607978067910</t>
  </si>
  <si>
    <t>ПП-00115735</t>
  </si>
  <si>
    <t>Пенал-косметичка ЧЕШУЙКИ-2  (ПН-6792) ткань ПВХ</t>
  </si>
  <si>
    <t>ПН-6792</t>
  </si>
  <si>
    <t>4607978067927</t>
  </si>
  <si>
    <t>ПП-00143099</t>
  </si>
  <si>
    <t>ПП-00184187</t>
  </si>
  <si>
    <t>Пенал-косметичка ЧЕШУЙКИ-2  (ПН-6792) ткань ПВХ (!)</t>
  </si>
  <si>
    <t>4620129734615</t>
  </si>
  <si>
    <t>ПП-00115737</t>
  </si>
  <si>
    <t>Пенал-косметичка ЧЕШУЙКИ-3  (ПН-6793) ткань ПВХ</t>
  </si>
  <si>
    <t>ПН-6793</t>
  </si>
  <si>
    <t>4607978067934</t>
  </si>
  <si>
    <t>ПП-00126552</t>
  </si>
  <si>
    <t>Пенал-кошелек ПОНЧИК (КО-4638), 12х9х4,5 см, кожзам, цвет ассорти</t>
  </si>
  <si>
    <t>КО-4638</t>
  </si>
  <si>
    <t>4665307746387</t>
  </si>
  <si>
    <t>ПП-00126554</t>
  </si>
  <si>
    <t>Пенал-кошелек СЛАДКАЯ КАРАМЕЛЬ (КО-4640), 12х9х4,5 см, кожзам, цвет ассорти</t>
  </si>
  <si>
    <t>КО-4640</t>
  </si>
  <si>
    <t>4665307746400</t>
  </si>
  <si>
    <t>ПП-00126550</t>
  </si>
  <si>
    <t>Пенал-кошелек ТРОПИЧЕСКИЕ ФРУКТЫ (КО-4636), 12х9х4,5 см, кожзам, цвет ассорти</t>
  </si>
  <si>
    <t>КО-4636</t>
  </si>
  <si>
    <t>4665307746363</t>
  </si>
  <si>
    <t>ПП-00126548</t>
  </si>
  <si>
    <t>Пенал-кошелек ФРУКТОВЫЙ САД (КО-4635), 12х9х4,5 см, кожзам, цвет ассорти</t>
  </si>
  <si>
    <t>КО-4635</t>
  </si>
  <si>
    <t>4665307746356</t>
  </si>
  <si>
    <t>ПП-00114970</t>
  </si>
  <si>
    <t>Пенал-сумочка ЗЕЛЕНАЯ РЫБКА (ПН-6692), пайетки</t>
  </si>
  <si>
    <t>ПН-6692</t>
  </si>
  <si>
    <t>4607978066883</t>
  </si>
  <si>
    <t>ПП-00221951</t>
  </si>
  <si>
    <t>Пенал-тубус мягкий на молнии ВДОХНОВЕНИЕ МОЛОДЁЖИ - 1 (ПН-2085) полная печ, пвх, инд.ШК, 210х75х75</t>
  </si>
  <si>
    <t>ПН-2085</t>
  </si>
  <si>
    <t>4670159020851</t>
  </si>
  <si>
    <t>ПП-00221972</t>
  </si>
  <si>
    <t>Пенал-тубус мягкий на молнии ГРАФФИТИ С МИШКОЙ (ПН-2082) полная печать, пвх, инд.ШК, 210х75х75</t>
  </si>
  <si>
    <t>ПН-2082</t>
  </si>
  <si>
    <t>4670159020820</t>
  </si>
  <si>
    <t>ПП-00221973</t>
  </si>
  <si>
    <t>Пенал-тубус мягкий на молнии ДЕВЧОНКА В ОЧКАХ (ПН-2081) полная печать, пвх, инд.ШК, 210х75х75</t>
  </si>
  <si>
    <t>ПН-2081</t>
  </si>
  <si>
    <t>4670159020813</t>
  </si>
  <si>
    <t>ПП-00222803</t>
  </si>
  <si>
    <t>ТМ "Profit" Пенал 1-секц, большой АНИМЕ-ДЕВОЧКА С КОТИКОМ (ПН-1921) 190х115, ламинированный картон</t>
  </si>
  <si>
    <t>ПН-1921</t>
  </si>
  <si>
    <t>4670159119210</t>
  </si>
  <si>
    <t>ПП-00222806</t>
  </si>
  <si>
    <t>ТМ "Profit" Пенал 1-секц, большой ДЕВУШКА СТАЙЛ (ПН-1927) 190х115, ламинированный картон</t>
  </si>
  <si>
    <t>ПН-1927</t>
  </si>
  <si>
    <t>4670159119272</t>
  </si>
  <si>
    <t>ПП-00198139</t>
  </si>
  <si>
    <t>ТМ "Profit" Пенал 1-секц, большой, с отк.планкой КЛЕВЫЕ ФРУКТЫ (ПН-7475)(190х115)лам.к</t>
  </si>
  <si>
    <t>ПН-7475</t>
  </si>
  <si>
    <t>4610144874755</t>
  </si>
  <si>
    <t>ПП-00171927</t>
  </si>
  <si>
    <t>ТМ "Profit" Пенал 1-секц, большой, с отк.планкой ПОВЕРЬ В ЕДИНОРОГОВ-2 (ПН-7473)(190х115)лам.к</t>
  </si>
  <si>
    <t>ПН-7473</t>
  </si>
  <si>
    <t>4610144874731</t>
  </si>
  <si>
    <t>ПП-00192381</t>
  </si>
  <si>
    <t>ТМ "Profit" Пенал 1-секц, большой, с отк.планкой СОН СОБАЧКИ (ПН-7691)(190х115)лам.к</t>
  </si>
  <si>
    <t>ПН-7691</t>
  </si>
  <si>
    <t>4620129776912</t>
  </si>
  <si>
    <t>ПП-00200116</t>
  </si>
  <si>
    <t>ПП-00192401</t>
  </si>
  <si>
    <t>ТМ "Profit" Пенал 1-секц, малый  ЗОМБИ-ПИЦЦА (ПН-7703) 190х65, ламинированный картон</t>
  </si>
  <si>
    <t>ПН-7703</t>
  </si>
  <si>
    <t>4620129777032</t>
  </si>
  <si>
    <t>ПП-00192390</t>
  </si>
  <si>
    <t>ТМ "Profit" Пенал 1-секц, малый  ЦВЕТУЩИЕ КАКТУСЫ - 4 (ПН-7695) 190х65, ламинированный картон</t>
  </si>
  <si>
    <t>ПН-7695</t>
  </si>
  <si>
    <t>4620129776950</t>
  </si>
  <si>
    <t>ПП-00220515</t>
  </si>
  <si>
    <t>ТМ "Profit" Пенал 1-секц, малый ЛАПКИ-ЦАРАПКИ (ПН-1566) 190х65, ламинированный картон</t>
  </si>
  <si>
    <t>ПН-1566</t>
  </si>
  <si>
    <t>4670159115663</t>
  </si>
  <si>
    <t>ПП-00218071</t>
  </si>
  <si>
    <t>ТМ "Profit" Пенал 1-секц, средний ЖЁЛТЫЕ НАУШНИКИ (ПН-1718) 190х90, ламинированный картон</t>
  </si>
  <si>
    <t>ПН-1718</t>
  </si>
  <si>
    <t>4670159117186</t>
  </si>
  <si>
    <t>ПП-00218068</t>
  </si>
  <si>
    <t>ТМ "Profit" Пенал 1-секц, средний ЛУЧШИЕ ДРУЗЬЯ (ПН-1716) 190х90, ламинированный картон</t>
  </si>
  <si>
    <t>ПН-1716</t>
  </si>
  <si>
    <t>4670159117162</t>
  </si>
  <si>
    <t>ПП-00171835</t>
  </si>
  <si>
    <t>Чехол для кистей СЕРЫЙ (ЧК-0341) 335х118, ткань (!)</t>
  </si>
  <si>
    <t>ЧК-0341</t>
  </si>
  <si>
    <t>4665297803411</t>
  </si>
  <si>
    <t>Рюкзаки</t>
  </si>
  <si>
    <t>ПП-00214801</t>
  </si>
  <si>
    <t>Сумка на молнии, А4, SWEET RABBITS, серый меланж (П-0826) 40х28х4,5см.</t>
  </si>
  <si>
    <t>П-0826</t>
  </si>
  <si>
    <t>4670159008262</t>
  </si>
  <si>
    <t>Тетради</t>
  </si>
  <si>
    <t>ПП-00199639</t>
  </si>
  <si>
    <t xml:space="preserve"> TM"Profit" Тетрадь КЛЕТКА 12л. МИЛЫЕ РУСАЛОЧКИ (12-5230) цвет. мелов.обл. ,5 диз в сп-ке</t>
  </si>
  <si>
    <t>12-5230</t>
  </si>
  <si>
    <t>4630079152308</t>
  </si>
  <si>
    <t>ПП-00138182</t>
  </si>
  <si>
    <t xml:space="preserve"> TM"Profit"Тетрадь КЛЕТКА 96л. ЛЕНИВЕЦ-1  (96-6975)  (обл. - мелов.картон) СПАЙКА 4</t>
  </si>
  <si>
    <t>96-6975</t>
  </si>
  <si>
    <t>ПП-00190837</t>
  </si>
  <si>
    <t xml:space="preserve"> Тетрадь КЛЕТКА 12л. ЗВЕРЯТА-ДРУЗЬЯ (12-5853) цвет.мелов.обл.,5 дизайнов в спайке СПАЙКА 20</t>
  </si>
  <si>
    <t>12-5853</t>
  </si>
  <si>
    <t>ПП-00261051</t>
  </si>
  <si>
    <t xml:space="preserve"> Тетрадь КЛЕТКА 12л. КАПИВЕНСДЕЙ (Т12-3772) цвет. мел.обл. ,5 диз в сп-ке(!)</t>
  </si>
  <si>
    <t>Т12-3772</t>
  </si>
  <si>
    <t>4670159137726</t>
  </si>
  <si>
    <t>ПП-00142172</t>
  </si>
  <si>
    <t xml:space="preserve"> Тетрадь КЛЕТКА 12л. КЛАССИКА (ГОЛУБАЯ) (12-9210) цвет.мелов.обл.,1дизайн СПАЙКА 20</t>
  </si>
  <si>
    <t>12-9210</t>
  </si>
  <si>
    <t>4665297792104</t>
  </si>
  <si>
    <t>ПП-00185257</t>
  </si>
  <si>
    <t xml:space="preserve"> Тетрадь КЛЕТКА 12л. КЛАССИКА РОЗОВАЯ (12-3136) цвет.мелов.обл., 1 дизайн в спайке СПАЙКА 10</t>
  </si>
  <si>
    <t>12-3136</t>
  </si>
  <si>
    <t>ПП-00181769</t>
  </si>
  <si>
    <t xml:space="preserve"> Тетрадь КЛЕТКА 12л. МИЛАЯ КОАЛА (12-4343) цвет.мелов.обл., 5 дизайнов в спайке СПАЙКА 10</t>
  </si>
  <si>
    <t>12-4343</t>
  </si>
  <si>
    <t>ПП-00244131</t>
  </si>
  <si>
    <t xml:space="preserve"> Тетрадь КЛЕТКА 12л. НАРИСОВАННЫЕ ЗВЕРЯТА (Т12-2354) цвет. мел.обл. ,5 диз в сп-ке</t>
  </si>
  <si>
    <t>Т12-2354</t>
  </si>
  <si>
    <t>ПП-00227973</t>
  </si>
  <si>
    <t xml:space="preserve"> Тетрадь КОСАЯ ЛИНИЯ 12л. СКОРОСТНЫЕ ТАЧКИ цвет.мел.обл.,хол.фольга,твин-лак,5 диз. в спайке </t>
  </si>
  <si>
    <t>12-7010</t>
  </si>
  <si>
    <t>4670159170105</t>
  </si>
  <si>
    <t>ПП-00227974</t>
  </si>
  <si>
    <t xml:space="preserve"> Тетрадь КРУПНАЯ КЛЕТКА 12л. СКОРОСТНЫЕ ТАЧКИ цвет.мел.обл.,хол.фольга,твин-лак,5 диз. в спайке </t>
  </si>
  <si>
    <t>12-7011</t>
  </si>
  <si>
    <t>4670159170112</t>
  </si>
  <si>
    <t>ПП-00217998</t>
  </si>
  <si>
    <t>TM "Legend" Тетрадь КЛЕТКА 18 л. ГЕЙМПАД МОНСТРА (18-5377) цвет.мелов.обл.,4 дизайна в коробСПАЙКА10</t>
  </si>
  <si>
    <t>18-5377</t>
  </si>
  <si>
    <t>ПП-00218001</t>
  </si>
  <si>
    <t>TM "Legend" Тетрадь КЛЕТКА 18 л. СТИЛЬНЫЕ ПРИЧЁСКИ (18-5376) цвет.мелов.обл.,4дизайна в короСПАЙКА10</t>
  </si>
  <si>
    <t>18-5376</t>
  </si>
  <si>
    <t>ПП-00261057</t>
  </si>
  <si>
    <t>TM "Legend" Тетрадь ЛИНИЯ 12 л. СОБИРАЕМСЯ В ШКОЛУ (12-4653) цвет.мелов.обл., 4 дизайна в короб (!)</t>
  </si>
  <si>
    <t>12-4653</t>
  </si>
  <si>
    <t>4665306146539</t>
  </si>
  <si>
    <t>ПП-00205734</t>
  </si>
  <si>
    <t>TM"Profit" Тетрадь КЛЕТКА 12л. МИКС цвет. мелов.обл. ,5 диз в сп-ке</t>
  </si>
  <si>
    <t>ПП-00205735</t>
  </si>
  <si>
    <t>TM"Profit" Тетрадь ЛИНИЯ 12л. МИКС цвет. мелов.обл. ,5 диз в сп-ке</t>
  </si>
  <si>
    <t>ПП-00163150</t>
  </si>
  <si>
    <t>TМ"Profit" Тетрадь КРУПНАЯ КЛЕТКА 12л. ШКОЛЬНАЯ КЛАССИКА(12-9122)цв. мелов. об,5диз. в кор СПАЙКА 10</t>
  </si>
  <si>
    <t>12-9122</t>
  </si>
  <si>
    <t>4665297791220</t>
  </si>
  <si>
    <t>ПП-00185304</t>
  </si>
  <si>
    <t>TМ"Profit"Тетрадь КЛЕТКА 18л. УЧУСЬ НА "ОТЛИЧНО-2" (18-0039) обл.-мел. картон, 5 диз в сп СПАЙКА 10</t>
  </si>
  <si>
    <t>18-0039</t>
  </si>
  <si>
    <t>ПП-00255100</t>
  </si>
  <si>
    <t>TМ"Profit"Тетрадь КЛЕТКА 24л. НАЗАД В ШКОЛУ-5 (Т24-7025) обл.-мелов. картон (!)</t>
  </si>
  <si>
    <t>Т24-7025</t>
  </si>
  <si>
    <t>4670159270256</t>
  </si>
  <si>
    <t>ПП-00255102</t>
  </si>
  <si>
    <t>TМ"Profit"Тетрадь КЛЕТКА 24л. СОВЫ В ПЕРЬЯХ (Т24-7027) обл.-мелов.картон (!)</t>
  </si>
  <si>
    <t>Т24-7027</t>
  </si>
  <si>
    <t>4670159270270</t>
  </si>
  <si>
    <t>ПП-00247677</t>
  </si>
  <si>
    <t>TМ"Profit"Тетрадь КЛЕТКА 96л. АБСТРАКЦИЯ В ПАСТЕЛЬНЫХ ТОНАХ (96-2525/96-2526)</t>
  </si>
  <si>
    <t>96-2525/96-2526</t>
  </si>
  <si>
    <t>4670159250449</t>
  </si>
  <si>
    <t>ПП-00162907</t>
  </si>
  <si>
    <t>TМ"Profit"Тетрадь КОСАЯ ЛИНИЯ 12л. КОСМИЧЕСКОЕ ПУТЕШЕСТВИЕ(12-4379)обл.-цв.мелов,5диз.в сп СПАЙКА 10</t>
  </si>
  <si>
    <t>12-4379</t>
  </si>
  <si>
    <t>ПП-00261078</t>
  </si>
  <si>
    <t>TМ"Remix" Тетрадь КЛЕТКА 48л. ИГРИВЫЕ КОТИКИ (48-3943) обл-цвет. мелов., второй блок (!)</t>
  </si>
  <si>
    <t>48-3943</t>
  </si>
  <si>
    <t>4680088439433</t>
  </si>
  <si>
    <t>ПП-00238660</t>
  </si>
  <si>
    <t>Тетрадь А4 КЛЕТКА  120л. Лёд (120-1791) (на кольцах)4+4,обл.350г,холст,ВД-лак,блок1+1,кругл.углы (!)</t>
  </si>
  <si>
    <t>120-1791</t>
  </si>
  <si>
    <t>4670159217916</t>
  </si>
  <si>
    <t>ПП-00236364</t>
  </si>
  <si>
    <t>Тетрадь А4 КЛЕТКА 96л. (96-0640/96-0641) на гребне СПАЙКА2</t>
  </si>
  <si>
    <t>96-0640/96-0641</t>
  </si>
  <si>
    <t>ПП-00236371</t>
  </si>
  <si>
    <t>Тетрадь А4 КЛЕТКА 96л. КАПЛИ ВОДЫ (96-0643) на гребне</t>
  </si>
  <si>
    <t>96-0643</t>
  </si>
  <si>
    <t>4670159206439</t>
  </si>
  <si>
    <t>ПП-00236368</t>
  </si>
  <si>
    <t xml:space="preserve">Тетрадь А4 КЛЕТКА 96л. РАЗВОДЫ НА СИНЕМ (96-0640) на гребне </t>
  </si>
  <si>
    <t>96-0640</t>
  </si>
  <si>
    <t>4670159206408</t>
  </si>
  <si>
    <t>ПП-00236369</t>
  </si>
  <si>
    <t>Тетрадь А4 КЛЕТКА 96л. РАЗВОДЫ НА ЧЕРНОМ (96-0641) на гребне</t>
  </si>
  <si>
    <t>96-0641</t>
  </si>
  <si>
    <t>4670159206415</t>
  </si>
  <si>
    <t>ПП-00236370</t>
  </si>
  <si>
    <t>Тетрадь А4 КЛЕТКА 96л. СИНЕЕ МОРЕ (96-0642) на гребне</t>
  </si>
  <si>
    <t>96-0642</t>
  </si>
  <si>
    <t>4670159206422</t>
  </si>
  <si>
    <t>ПП-00274361</t>
  </si>
  <si>
    <t>Тетрадь КЛЕТКА 12л. Микс (Т12-2074) цвет. мел.обл. ,10 диз в сп-ке (!)</t>
  </si>
  <si>
    <t>Т12-2074</t>
  </si>
  <si>
    <t>4670159320746</t>
  </si>
  <si>
    <t>ПП-00217877</t>
  </si>
  <si>
    <t>Тетрадь КЛЕТКА 12л.МИКС  Fresh Line(Т12-5998/Т12-5999/Т12-6000/Т12-6001/Т12-6002) СПАЙКА 10</t>
  </si>
  <si>
    <t>Т12клетка-FreshLine</t>
  </si>
  <si>
    <t>ПП-00155638</t>
  </si>
  <si>
    <t>Тетрадь КЛЕТКА 18л. ВЕЛИКОЛЕПНО! ПЯТЕРКА! (ЗЕЛЕНАЯ) (Т-05/18-0512) офсет, кругление углов СПАЙКА 20</t>
  </si>
  <si>
    <t>Т-05/18-0512</t>
  </si>
  <si>
    <t>ПП-00199221</t>
  </si>
  <si>
    <t>Тетрадь КЛЕТКА 18л. ЖИЗНЬ АВОКАДО-1 (18-2747) цвет.мелов.обл.,5 дизайнов в спайке СПАЙКА 15</t>
  </si>
  <si>
    <t>18-2747</t>
  </si>
  <si>
    <t>4620129727471</t>
  </si>
  <si>
    <t>ПП-00199222</t>
  </si>
  <si>
    <t>Тетрадь КЛЕТКА 18л. ЖИЗНЬ КОТЯТ (18-2748) цвет.мелов.обл.,5 дизайнов в спайке СПАЙКА 15</t>
  </si>
  <si>
    <t>18-2748</t>
  </si>
  <si>
    <t>4620129727488</t>
  </si>
  <si>
    <t>ПП-00223095</t>
  </si>
  <si>
    <t>Тетрадь КЛЕТКА 18л. КЛАССИКА NEW СИРЕНЕВАЯ (18-9261) цвет.мелов.обл.,1 дизайн в спайке СПАЙКА10</t>
  </si>
  <si>
    <t>18-9261</t>
  </si>
  <si>
    <t>ПП-00271738</t>
  </si>
  <si>
    <t>Тетрадь КЛЕТКА 18л. проз.пласт.обл. (Т18-1100) ассорти 10 цветов Монеточка шоу бокс</t>
  </si>
  <si>
    <t>Т18-1100</t>
  </si>
  <si>
    <t>4670159311003</t>
  </si>
  <si>
    <t>ПП-00223551</t>
  </si>
  <si>
    <t>Тетрадь КЛЕТКА 48л. (48-4799) ИСТОРИЯ ОТЕЧЕСТВА</t>
  </si>
  <si>
    <t>48-4799</t>
  </si>
  <si>
    <t>4670159147824</t>
  </si>
  <si>
    <t>ПП-00213840</t>
  </si>
  <si>
    <t>Тетрадь КЛЕТКА 48л. Fresh Line ЧЕРНИКА (Т48-6027) 80г/м2, цв мел обл. СПАЙКА 5</t>
  </si>
  <si>
    <t>Т48-6027</t>
  </si>
  <si>
    <t>4620129760270</t>
  </si>
  <si>
    <t>ПП-00274677</t>
  </si>
  <si>
    <t>Тетрадь КЛЕТКА 48л. АЛГЕБРА "ШКОЛА МАГИИ" (Т48-2131) стандарт,спл UV-лак(4+1) (!)</t>
  </si>
  <si>
    <t>Т48-2131</t>
  </si>
  <si>
    <t>4670159321316</t>
  </si>
  <si>
    <t>ПП-00274690</t>
  </si>
  <si>
    <t>Тетрадь КЛЕТКА 48л. АНГЛИЙСКИЙ ЯЗЫК "ШКОЛА МАГИИ" (Т48-2133) стандарт,спл UV-лак(4+1) (!)</t>
  </si>
  <si>
    <t>Т48-2133</t>
  </si>
  <si>
    <t>4670159321330</t>
  </si>
  <si>
    <t>ПП-00274692</t>
  </si>
  <si>
    <t>Тетрадь КЛЕТКА 48л. БИОЛОГИЯ "ШКОЛА МАГИИ" (Т48-2134) стандарт,спл UV-лак(4+1) (!)</t>
  </si>
  <si>
    <t>Т48-2134</t>
  </si>
  <si>
    <t>4670159321347</t>
  </si>
  <si>
    <t>ПП-00211562</t>
  </si>
  <si>
    <t>Тетрадь КЛЕТКА 48л. БЛЮДО ИЗ СПАГЕТТИ (48-2418) твин-лак, цвет.мелов.обл., 5 диз в спайкеСПАЙКА 5(!)</t>
  </si>
  <si>
    <t>48-2418</t>
  </si>
  <si>
    <t>4670159024187</t>
  </si>
  <si>
    <t>ПП-00274698</t>
  </si>
  <si>
    <t>Тетрадь КЛЕТКА 48л. ГЕОГРАФИЯ "ШКОЛА МАГИИ" (Т48-2139) стандарт,спл UV-лак(4+1) (!)</t>
  </si>
  <si>
    <t>Т48-2139</t>
  </si>
  <si>
    <t>4670159321392</t>
  </si>
  <si>
    <t>ПП-00274689</t>
  </si>
  <si>
    <t>Тетрадь КЛЕТКА 48л. ГЕОМЕТРИЯ "ШКОЛА МАГИИ" (Т48-2132) стандарт,спл UV-лак(4+1) (!)</t>
  </si>
  <si>
    <t>Т48-2132</t>
  </si>
  <si>
    <t>4670159321323</t>
  </si>
  <si>
    <t>ПП-00274700</t>
  </si>
  <si>
    <t>Тетрадь КЛЕТКА 48л. ИНФОРМАТИКА "ШКОЛА МАГИИ" (Т48-2140) стандарт,спл UV-лак(4+1) (!)</t>
  </si>
  <si>
    <t>Т48-2140</t>
  </si>
  <si>
    <t>4670159321408</t>
  </si>
  <si>
    <t>ПП-00274693</t>
  </si>
  <si>
    <t>Тетрадь КЛЕТКА 48л. ИСТОРИЯ "ШКОЛА МАГИИ" (Т48-2135) стандарт,спл UV-лак(4+1) (!)</t>
  </si>
  <si>
    <t>Т48-2135</t>
  </si>
  <si>
    <t>4670159321354</t>
  </si>
  <si>
    <t>ПП-00201095</t>
  </si>
  <si>
    <t>Тетрадь КЛЕТКА 48л. МОТО-ЭКСТРИМ (48-2272) обложка - крафт, 5 диз. в спайке СПАЙКА 5</t>
  </si>
  <si>
    <t>48-2272</t>
  </si>
  <si>
    <t>4610144812726</t>
  </si>
  <si>
    <t>ПП-00274697</t>
  </si>
  <si>
    <t>Тетрадь КЛЕТКА 48л. ОБЩЕСТВОЗНАНИЕ "ШКОЛА МАГИИ" (Т48-2138) стандарт,спл UV-лак(4+1) (!)</t>
  </si>
  <si>
    <t>Т48-2138</t>
  </si>
  <si>
    <t>4670159321385</t>
  </si>
  <si>
    <t>ПП-00274695</t>
  </si>
  <si>
    <t>Тетрадь КЛЕТКА 48л. ФИЗИКА "ШКОЛА МАГИИ" (Т48-2137) стандарт,спл UV-лак(4+1) (!)</t>
  </si>
  <si>
    <t>Т48-2137</t>
  </si>
  <si>
    <t>4670159321378</t>
  </si>
  <si>
    <t>ПП-00274694</t>
  </si>
  <si>
    <t>Тетрадь КЛЕТКА 48л. ХИМИЯ "ШКОЛА МАГИИ" (Т48-2136) стандарт,спл UV-лак(4+1) (!)</t>
  </si>
  <si>
    <t>Т48-2136</t>
  </si>
  <si>
    <t>4670159321361</t>
  </si>
  <si>
    <t>ПП-00231874</t>
  </si>
  <si>
    <t>Тетрадь КЛЕТКА А4 96л. АБСТРАКТНАЯ ПОЛОСА/ЯРКИЙ ИНЖИР на гребне, цвет.мелов.обложка СП2</t>
  </si>
  <si>
    <t>96-5146/96-5153</t>
  </si>
  <si>
    <t>ПП-00232446</t>
  </si>
  <si>
    <t>Тетрадь КЛЕТКА А4 96л. АВТОМОБИЛЬНАЯ ТЕМАТИКА (96-8357) гребень, 4+4 тиснение холст (!)</t>
  </si>
  <si>
    <t>96-8357</t>
  </si>
  <si>
    <t>ПП-00231878</t>
  </si>
  <si>
    <t>Тетрадь КЛЕТКА А4 96л. БРЮНЕТКА С КОФЕ/ДИКАЯ КОШЕЧКА на гребне, цвет.мелов.обложка СП2</t>
  </si>
  <si>
    <t>96-5152/96-5149</t>
  </si>
  <si>
    <t>ПП-00232484</t>
  </si>
  <si>
    <t>Тетрадь КЛЕТКА А4 96л. МИКС (96-8364,96-8361) гребень, твин-лак СПАЙКА 2</t>
  </si>
  <si>
    <t>96-8364/96-8361</t>
  </si>
  <si>
    <t>4670159183648</t>
  </si>
  <si>
    <t>ПП-00232456</t>
  </si>
  <si>
    <t>Тетрадь КЛЕТКА А4 96л. ТЕМАТИКА ГРАФФИТИ (96-8358) гребень, 4+4 тиснение холст (!)</t>
  </si>
  <si>
    <t>96-8358</t>
  </si>
  <si>
    <t>ПП-00274513</t>
  </si>
  <si>
    <t>Тетрадь КЛЕТКА А4, 96л. гребень, Микс обработок (!)</t>
  </si>
  <si>
    <t>ПП-00185667</t>
  </si>
  <si>
    <t>Тетрадь КЛЕТКА А5 80л. ЗАХВАТЫВАЮЩИЙ АВТОСПОРТ (80-5535) гребень, цвет.мелов.обложка СПАЙКА 2</t>
  </si>
  <si>
    <t>80-5535</t>
  </si>
  <si>
    <t>ПП-00205916</t>
  </si>
  <si>
    <t>Тетрадь КЛЕТКА А5, 48л. МИКС цветная спираль, цвет. мелов. обложка</t>
  </si>
  <si>
    <t>ПП-00155958</t>
  </si>
  <si>
    <t>Тетрадь КЛЕТКА А5,48л.КОШАЧИЙ УЮТ(Т-23/48-6145)цветная спир,цвет.мелов.обложка СПАЙКА4</t>
  </si>
  <si>
    <t>Т-23/48-6145</t>
  </si>
  <si>
    <t>ПП-00274515</t>
  </si>
  <si>
    <t>Тетрадь КЛЕТКА И ЛИНИЯ 12л. КЛАССИКА (ЧЁРНАЯ)  цвет.мелов.обл.,1 дизаин в спайке (!)</t>
  </si>
  <si>
    <t>ПП-00182447</t>
  </si>
  <si>
    <t>Тетрадь КОСАЯ ЛИНИЯ 12л. КЛЕВЫЙ СЕРФИНГ (12-1647) цвет.мелов.обл.,5 дизаинов в спайке СПАЙКА 20</t>
  </si>
  <si>
    <t>12-1647</t>
  </si>
  <si>
    <t>ПП-00222580</t>
  </si>
  <si>
    <t>Тетрадь ЛИНИЯ 12л. CRAZY SMILE (Т12-2356) цвет.мелов.обл.,5 дизайнов в спайке СПАЙКА10</t>
  </si>
  <si>
    <t>Т12-2356</t>
  </si>
  <si>
    <t>ПП-00219392</t>
  </si>
  <si>
    <t>Тетрадь ЛИНИЯ 12л. ВНЕДОРОЖНИК (Т12-2305) цвет.мелов.обл.,5 дизайнов в спайкеСПАЙКА10</t>
  </si>
  <si>
    <t>Т12-2305</t>
  </si>
  <si>
    <t>ПП-00222583</t>
  </si>
  <si>
    <t>Тетрадь ЛИНИЯ 12л. ЗОМБИ ЕДА (Т12-2362) цвет.мелов.обл.,5 дизайнов в спайке СПАЙКА10</t>
  </si>
  <si>
    <t>Т12-2362</t>
  </si>
  <si>
    <t>ПП-00142376</t>
  </si>
  <si>
    <t>Тетрадь ЛИНИЯ 12л. КЛАССИКА БЕЗ СЛОВ-3 (12-3120) цвет.мелов.обл.,1 дизаин в спайкеСПАЙКА 10</t>
  </si>
  <si>
    <t>12-3120</t>
  </si>
  <si>
    <t>4665299631203</t>
  </si>
  <si>
    <t>ПП-00181773</t>
  </si>
  <si>
    <t>Тетрадь ЛИНИЯ 12л. РОЖОК С ЦВЕТАМИ (12-4358) цвет.мелов.обл.,5 дизайнов в спайке СПАЙКА 20</t>
  </si>
  <si>
    <t>12-4358</t>
  </si>
  <si>
    <t>4680088433660</t>
  </si>
  <si>
    <t>ПП-00185302</t>
  </si>
  <si>
    <t>Тетрадь ЛИНИЯ 12л. УЧУСЬ НА "ОТЛИЧНО"-2 (12-9496) цвет.мелов.обл.,5 дизайнов в коробке СПАЙКА 10</t>
  </si>
  <si>
    <t>12-9496</t>
  </si>
  <si>
    <t>ПП-00156583</t>
  </si>
  <si>
    <t>Тетрадь ЛИНИЯ 18л. ВЕЛИКОЛЕПНО! ПЯТЕРКА! (ЗЕЛЕНАЯ) (18-0513) офсет, кругление углов СПАЙКА 20</t>
  </si>
  <si>
    <t>18-0513</t>
  </si>
  <si>
    <t>ПП-00217903</t>
  </si>
  <si>
    <t>Тетрадь ЛИНИЯ 24л. Fresh Line МЯТА (Т24-1761) 80г/м2, цвет.мелов.обл.СПАЙКА10</t>
  </si>
  <si>
    <t>Т24-1761</t>
  </si>
  <si>
    <t>ПП-00217904</t>
  </si>
  <si>
    <t>Тетрадь ЛИНИЯ 24л. Fresh Line ЧЕРНИКА (Т24-1762) 80г/м2, цвет.мелов.обл.СПАЙКА10</t>
  </si>
  <si>
    <t>Т24-1762</t>
  </si>
  <si>
    <t>ПП-00165903</t>
  </si>
  <si>
    <t>Тетрадь ЛИНИЯ 24л. ДЕВОЧКИ-АНИМЕ (24-0115) цвет.мелов.обл.,5 дизайнов в спайке СПАЙКА 10</t>
  </si>
  <si>
    <t>24-0115</t>
  </si>
  <si>
    <t>ПП-00184185</t>
  </si>
  <si>
    <t>ПП-00226762</t>
  </si>
  <si>
    <t>Тетрадь ЛИНИЯ 24л. ЗАБАВНЫЙ КОТ И ФРАЗЫ (24-5799) цвет.мелов.обл.,5 дизайнов в спайке СПАЙКА10</t>
  </si>
  <si>
    <t>24-5799</t>
  </si>
  <si>
    <t>ПП-00217894</t>
  </si>
  <si>
    <t>Тетрадь ЛИНИЯ 24л.МИКС  Fresh Line(Т24-1758/Т24-1759/Т24-1760/Т24-1761/Т24-1762) СПАЙКА10</t>
  </si>
  <si>
    <t>Т24линия-FreshLine</t>
  </si>
  <si>
    <t>ПП-00274703</t>
  </si>
  <si>
    <t>Тетрадь ЛИНИЯ 48л. ЛИТЕРАТУРА "ШКОЛА МАГИИ" (Т48-2142) стандарт,спл UV-лак(4+1) (!)</t>
  </si>
  <si>
    <t>Т48-2142</t>
  </si>
  <si>
    <t>4670159321422</t>
  </si>
  <si>
    <t>ПП-00273674</t>
  </si>
  <si>
    <t>Тетрадь ЛИНИЯ 48л. ЛИТЕРАТУРА проз.пласт.обл. (Т48-1737) (!)</t>
  </si>
  <si>
    <t>Т48-1737</t>
  </si>
  <si>
    <t>4670159317371</t>
  </si>
  <si>
    <t>ПП-00274702</t>
  </si>
  <si>
    <t>Тетрадь ЛИНИЯ 48л. РУССКИЙ ЯЗЫК "ШКОЛА МАГИИ" (Т48-2141) стандарт,спл UV-лак(4+1) (!)</t>
  </si>
  <si>
    <t>Т48-2141</t>
  </si>
  <si>
    <t>4670159321415</t>
  </si>
  <si>
    <t>ПП-00273673</t>
  </si>
  <si>
    <t>Тетрадь ЛИНИЯ 48л. РУССКИЙ ЯЗЫК проз.пласт.обл. (Т48-1736) (!)</t>
  </si>
  <si>
    <t>Т48-1736</t>
  </si>
  <si>
    <t>4670159317364</t>
  </si>
  <si>
    <t>ПП-00249609</t>
  </si>
  <si>
    <t xml:space="preserve">Тетрадь на 4-х кольцах А5 КЛЕТКА (Т80-5849) 80л. с перфорацией,интегр.обл.4+4 мат.лам.,холст </t>
  </si>
  <si>
    <t>Т80-5849</t>
  </si>
  <si>
    <t>4670159258490</t>
  </si>
  <si>
    <t>ПП-00236614</t>
  </si>
  <si>
    <t>Тетрадь общая 48 л, Хиджаб-9 (цветы), уф-лак, 48-0001</t>
  </si>
  <si>
    <t>48-0001</t>
  </si>
  <si>
    <t>4607042619656</t>
  </si>
  <si>
    <t>ПП-00265680</t>
  </si>
  <si>
    <t>Тетрадь общая, 96 листов, в клетку, БЕЛЫЕ ЛИСТЫ, обл.мел. картон, спираль, микс, 578-180</t>
  </si>
  <si>
    <t>578-180</t>
  </si>
  <si>
    <t>4670159296126</t>
  </si>
  <si>
    <t>ПП-00227769</t>
  </si>
  <si>
    <t>ТМ"Collezione"Тетрадь КЛЕТКА А5, 48л. АБСТРАКТНОСТЬ ФИГУР (48-6530) цв спир,цвет.мел.обл СП2</t>
  </si>
  <si>
    <t>48-6530</t>
  </si>
  <si>
    <t>01. БУМАГА ДЛЯ ОФИСНОЙ ТЕХНИКИ</t>
  </si>
  <si>
    <t>Бумага форматная цветная</t>
  </si>
  <si>
    <t>Бумага форматная цветная neon</t>
  </si>
  <si>
    <t>ПП-00202444</t>
  </si>
  <si>
    <t>Цветная бумага для офисной техники neon mix (Б-0607) А4, 100 л. (5 цветов 20л.) 75 г</t>
  </si>
  <si>
    <t>Б-0607</t>
  </si>
  <si>
    <t>4670159006077</t>
  </si>
  <si>
    <t>Бумага цветная 12, 20, 24л</t>
  </si>
  <si>
    <t>ПП-00273829</t>
  </si>
  <si>
    <t>Бумага цв. А4 КОРАБЛИКИ (20-1818) 20 цв. 20 л., 80г/м2 тонированная в массе</t>
  </si>
  <si>
    <t>20-1818</t>
  </si>
  <si>
    <t>4670159318187</t>
  </si>
  <si>
    <t>ПП-00273830</t>
  </si>
  <si>
    <t>Бумага цв. А4 КОТИК-2 (24-1819) 12 цв. 24 л., 80г/м2 тонированная в массе</t>
  </si>
  <si>
    <t>24-1819</t>
  </si>
  <si>
    <t>4670159318194</t>
  </si>
  <si>
    <t>Бумага цветная INTENSIVE</t>
  </si>
  <si>
    <t>ПП-00062079</t>
  </si>
  <si>
    <t xml:space="preserve">  Бумага  цветная INTENSIVE ЖЕЛТЫЙ (Б-3559) А4 80 г/м2., 50л.</t>
  </si>
  <si>
    <t>Б-3559</t>
  </si>
  <si>
    <t>4665299635591</t>
  </si>
  <si>
    <t>ПП-00062081</t>
  </si>
  <si>
    <t xml:space="preserve">  Бумага  цветная INTENSIVE ЗЕЛЕНЫЙ (Б-3561) А4 80 г/м2., 50л.</t>
  </si>
  <si>
    <t>Б-3561</t>
  </si>
  <si>
    <t>4665299635614</t>
  </si>
  <si>
    <t>ПП-00062078</t>
  </si>
  <si>
    <t xml:space="preserve">  Бумага  цветная INTENSIVE КРАСНЫЙ (Б-3558) А4 80 г/м2., 50л.</t>
  </si>
  <si>
    <t>Б-3558</t>
  </si>
  <si>
    <t>4665299635584</t>
  </si>
  <si>
    <t>ПП-00062080</t>
  </si>
  <si>
    <t xml:space="preserve">  Бумага  цветная INTENSIVE ОРАНЖЕВЫЙ (Б-3560) А4 80 г/м2., 50л.</t>
  </si>
  <si>
    <t>Б-3560</t>
  </si>
  <si>
    <t>4665299635607</t>
  </si>
  <si>
    <t>ПП-00062077</t>
  </si>
  <si>
    <t xml:space="preserve">  Бумага  цветная INTENSIVE СИНИЙ (Б-3557) А4 80 г/м2., 50л.</t>
  </si>
  <si>
    <t>Б-3557</t>
  </si>
  <si>
    <t>4665299635577</t>
  </si>
  <si>
    <t>ПП-00062082</t>
  </si>
  <si>
    <t xml:space="preserve">  Бумага цветная INTENSIVE АССОРТИ 5цв. (Б-3562) А4 80 г/м2., 50л.</t>
  </si>
  <si>
    <t>Б-3562</t>
  </si>
  <si>
    <t>4665299635621</t>
  </si>
  <si>
    <t>ПП-00073375</t>
  </si>
  <si>
    <t xml:space="preserve"> Бумага  цветная INTENSIVE ЗЕЛЕНЫЙ (Б-5746) А4 80 г/м2., 100л.</t>
  </si>
  <si>
    <t>Б-5746</t>
  </si>
  <si>
    <t>4665302657466</t>
  </si>
  <si>
    <t>ПП-00072237</t>
  </si>
  <si>
    <t xml:space="preserve"> Бумага цветная INTENSIVE ОРАНЖЕВЫЙ (Б-5745) А4 80 г/м2., 100л.</t>
  </si>
  <si>
    <t>Б-5745</t>
  </si>
  <si>
    <t>4665302657459</t>
  </si>
  <si>
    <t>ПП-00073376</t>
  </si>
  <si>
    <t>Бумага  цветная INTENSIVE MIX (Б-5747) А4 80 г/м2., 100л.</t>
  </si>
  <si>
    <t>Б-5747</t>
  </si>
  <si>
    <t>4665302657473</t>
  </si>
  <si>
    <t>ПП-00237444</t>
  </si>
  <si>
    <t>Бумага  цветная INTENSIVE MIX (Б-5747) А4 80 г/м2., 100л. !</t>
  </si>
  <si>
    <t>ПП-00217560</t>
  </si>
  <si>
    <t>Бумага цв. 100 листов, 10 цветов (5 цветов пастель + 5 цветов интенсив), формат А4, НБ-0705</t>
  </si>
  <si>
    <t>НБ-0705</t>
  </si>
  <si>
    <t>4670159107057</t>
  </si>
  <si>
    <t>ПП-00273832</t>
  </si>
  <si>
    <t>Бумага цв. А4 ЖУРАВЛИК (48-1817) 12 цв. 48л.(пастель+интенсив) 80г/м2 тонированная в массе</t>
  </si>
  <si>
    <t>48-1817</t>
  </si>
  <si>
    <t>4670159318170</t>
  </si>
  <si>
    <t>ПП-00273831</t>
  </si>
  <si>
    <t>Бумага цв. А4 ЛИСИЧКА (40-1820) 40 л. 20 цв.(паст+интенс+неон+медиум) 80г/м2 тонир в массе</t>
  </si>
  <si>
    <t>40-1820</t>
  </si>
  <si>
    <t>4670159318200</t>
  </si>
  <si>
    <t>ПП-00273834</t>
  </si>
  <si>
    <t>Бумага цв. А4 ЦВЕТНАЯ ФИГУРА - 1 (120-1816) 120л,24цв (паст+интенс+неон+медиум) 80г/м2 тонир в массе</t>
  </si>
  <si>
    <t>120-1816</t>
  </si>
  <si>
    <t>4670159318163</t>
  </si>
  <si>
    <t>ПП-00273833</t>
  </si>
  <si>
    <t>Бумага цв. А4 ЦВЕТНАЯ ФИГУРА (100-1815) 100 л.,10 цв (5 паст+5 интенс) 80г/м2 тонированная в массе</t>
  </si>
  <si>
    <t>100-1815</t>
  </si>
  <si>
    <t>4670159318156</t>
  </si>
  <si>
    <t>Бумага цветная PALE</t>
  </si>
  <si>
    <t>ПП-00062091</t>
  </si>
  <si>
    <t xml:space="preserve"> Бумага цветная PALE ПАСТЕЛЬ-АССОРТИ 5цв. (Б-3568) А4 80 г/м2., 50л.</t>
  </si>
  <si>
    <t>Б-3568</t>
  </si>
  <si>
    <t>4665299635683</t>
  </si>
  <si>
    <t>ПП-00072238</t>
  </si>
  <si>
    <t>Бумага  цветная PALE ПАСТЕЛЬ-ГОЛУБОЙ (Б-5748) А4 80 г/м2., 100л.</t>
  </si>
  <si>
    <t>Б-5748</t>
  </si>
  <si>
    <t>4665302657480</t>
  </si>
  <si>
    <t>ПП-00072242</t>
  </si>
  <si>
    <t>Бумага  цветная PALE ПАСТЕЛЬ-ЖЕЛТЫЙ (Б-5750) А4 80 г/м2., 100л.</t>
  </si>
  <si>
    <t>Б-5750</t>
  </si>
  <si>
    <t>4665302657503</t>
  </si>
  <si>
    <t>ПП-00072241</t>
  </si>
  <si>
    <t>Бумага  цветная PALE ПАСТЕЛЬ-РОЗОВЫЙ (Б-5749) А4 80 г/м2., 100л.</t>
  </si>
  <si>
    <t>Б-5749</t>
  </si>
  <si>
    <t>4665302657497</t>
  </si>
  <si>
    <t>ПП-00072244</t>
  </si>
  <si>
    <t>Бумага  цветная PALE ПАСТЕЛЬ-САЛАТОВЫЙ (Б-5752) А4 80 г/м2., 100л.</t>
  </si>
  <si>
    <t>Б-5752</t>
  </si>
  <si>
    <t>4665302657527</t>
  </si>
  <si>
    <t>ПП-00072234</t>
  </si>
  <si>
    <t>Бумага цветная PALE ПАСТЕЛЬ-АССОРТИ 5цв. (Б-5753) А4 80 г/м2., 100л.</t>
  </si>
  <si>
    <t>Б-5753</t>
  </si>
  <si>
    <t>4665302657534</t>
  </si>
  <si>
    <t xml:space="preserve">Фотобумага </t>
  </si>
  <si>
    <t>ПП-00240451</t>
  </si>
  <si>
    <t>Фотобумага. Глянцевая, для принтера, формат А4 (21х29,7cm), плотность 230г/м2, 100 листов, ФБ-2136</t>
  </si>
  <si>
    <t>ФБ-2136</t>
  </si>
  <si>
    <t>4670159221364</t>
  </si>
  <si>
    <t>ПП-00240453</t>
  </si>
  <si>
    <t>Фотобумага. Глянцевая, для принтера, формат А4(21х29,7cm), плотность 180 гр/м2, 100 листов, ФБ-2138</t>
  </si>
  <si>
    <t>ФБ-2138</t>
  </si>
  <si>
    <t>4670159221388</t>
  </si>
  <si>
    <t>03. Канцелярия</t>
  </si>
  <si>
    <t>01. ОФИСНЫЕ ПРИНАДЛЕЖНОСТИ</t>
  </si>
  <si>
    <t>01.Бумажная продукция</t>
  </si>
  <si>
    <t>Бумага для заметок</t>
  </si>
  <si>
    <t>Блоки для записей</t>
  </si>
  <si>
    <t>ПП-00014455</t>
  </si>
  <si>
    <t>Куб-блок 90х90х50 (МАЛ.) ЧИСТЫЙ</t>
  </si>
  <si>
    <t>БЗ-6409</t>
  </si>
  <si>
    <t>4607978064094</t>
  </si>
  <si>
    <t>Блоки самоклеящиеся</t>
  </si>
  <si>
    <t>ПП-00084551</t>
  </si>
  <si>
    <t xml:space="preserve">    ТМ"Legend" Бумага для заметок с клеевым краем ЖЕЛТАЯ(ЗБ-1556) 76х76 мм,80л,терм.пленка, кратно12</t>
  </si>
  <si>
    <t>ЗБ-1556</t>
  </si>
  <si>
    <t>4665303515567</t>
  </si>
  <si>
    <t>ПП-00072445</t>
  </si>
  <si>
    <t xml:space="preserve">   ТМ"Profit" Бумага для заметок с клеевым краем ГОЛУБАЯ (ЗБ-5570) 51х75 мм, 100л, инд.ШК, кратно 12</t>
  </si>
  <si>
    <t>ЗБ-5570</t>
  </si>
  <si>
    <t>4665302655707</t>
  </si>
  <si>
    <t>ПП-00072422</t>
  </si>
  <si>
    <t xml:space="preserve">   ТМ"Profit" Бумага для заметок с клеевым краем ЖЕЛТАЯ (ЗБ-5568), инд.ШК, 51х75 мм, 100л, кратно 12</t>
  </si>
  <si>
    <t>ЗБ-5568</t>
  </si>
  <si>
    <t>4665302655684</t>
  </si>
  <si>
    <t>ПП-00072446</t>
  </si>
  <si>
    <t xml:space="preserve">   ТМ"Profit"Бумага для заметок с клеевым краем РОЗОВАЯ (ЗБ-5571), инд.ШК, 51х75 мм, 100л, кратно 12</t>
  </si>
  <si>
    <t>ЗБ-5571</t>
  </si>
  <si>
    <t>4665302655714</t>
  </si>
  <si>
    <t>ПП-00072449</t>
  </si>
  <si>
    <t xml:space="preserve">  ТМ"Profit" Бумага для заметок с клеевым краем ГОЛУБАЯ (ЗБ-5574), инд.ШК, 75х75 мм, 100л, кратно 12</t>
  </si>
  <si>
    <t>ЗБ-5574</t>
  </si>
  <si>
    <t>4665302655745</t>
  </si>
  <si>
    <t>ПП-00072448</t>
  </si>
  <si>
    <t xml:space="preserve">  ТМ"Profit" Бумага для заметок с клеевым краем ЗЕЛЕНАЯ (ЗБ-5573), инд.ШК, 75х75 мм, 100л, кратно 12</t>
  </si>
  <si>
    <t>ЗБ-5573</t>
  </si>
  <si>
    <t>4665302655738</t>
  </si>
  <si>
    <t>ПП-00072450</t>
  </si>
  <si>
    <t xml:space="preserve">  ТМ"Profit" Бумага для заметок с клеевым краем РОЗОВАЯ (ЗБ-5575), инд.ШК, 75х75 мм, 100л, кратно 12</t>
  </si>
  <si>
    <t>ЗБ-5575</t>
  </si>
  <si>
    <t>4665302655752</t>
  </si>
  <si>
    <t>ПП-00072451</t>
  </si>
  <si>
    <t xml:space="preserve">  ТМ"Profit"Бумага для заметок с клеев.краем 4 ЦВЕТА (ЗБ-5576),инд.ШК, 76х76 мм, 100л, неон, кр. 12</t>
  </si>
  <si>
    <t>ЗБ-5576</t>
  </si>
  <si>
    <t>4665302655769</t>
  </si>
  <si>
    <t>ПП-00084560</t>
  </si>
  <si>
    <t>11. ТМ"Profit"Бумага для заметок с клеевым краем 4 ЦВЕТА(ЗС-1561) 76х76 мм, 100л, пастель, кратно 12</t>
  </si>
  <si>
    <t>ЗС-1561</t>
  </si>
  <si>
    <t>4665303515611</t>
  </si>
  <si>
    <t>ПП-00125785</t>
  </si>
  <si>
    <t>26. Бумага для заметок с клеевым краем ГОЛУБАЯ (ЗБ-4587) пастель, 101Х76 мм, 100л, кратно 12</t>
  </si>
  <si>
    <t>ЗБ-4587</t>
  </si>
  <si>
    <t>4665307745878</t>
  </si>
  <si>
    <t>ПП-00125793</t>
  </si>
  <si>
    <t>29. Бумага для заметок с клеевым краем РОЗОВАЯ (ЗБ-4588),инд.ШК, пастель, 101Х76 мм, 100л, кратно 12</t>
  </si>
  <si>
    <t>ЗБ-4588</t>
  </si>
  <si>
    <t>4665307745885</t>
  </si>
  <si>
    <t>ПП-00125801</t>
  </si>
  <si>
    <t>Бумага     для заметок с клеевым краем ЛИСТИК .ЗЕЛЁНАЯ (ЗБ-4591), инд.ШК,  пастель, 50 л, кратно 12</t>
  </si>
  <si>
    <t>ЗБ-4591</t>
  </si>
  <si>
    <t>4665307745915</t>
  </si>
  <si>
    <t>ПП-00125773</t>
  </si>
  <si>
    <t>Бумага  для заметок с клеевым краем ГОЛУБАЯ (ЗБ-4583), инд.ШК, пастель,  51х51 мм, 100л, кратно 12</t>
  </si>
  <si>
    <t>ЗБ-4583</t>
  </si>
  <si>
    <t>4665307745830</t>
  </si>
  <si>
    <t>ПП-00125764</t>
  </si>
  <si>
    <t>Бумага  для заметок с клеевым краем ЖЕЛТАЯ (ЗБ-4581), инд.ШК, пастель,  51х51 мм, 100л, кратно 12</t>
  </si>
  <si>
    <t>ЗБ-4581</t>
  </si>
  <si>
    <t>4665307745816</t>
  </si>
  <si>
    <t>ПП-00125768</t>
  </si>
  <si>
    <t>Бумага  для заметок с клеевым краем ЗЕЛЁНАЯ (ЗБ-4582), инд.ШК, пастель,  51х51 мм, 100л, кратно 12</t>
  </si>
  <si>
    <t>ЗБ-4582</t>
  </si>
  <si>
    <t>4665307745823</t>
  </si>
  <si>
    <t>ПП-00125774</t>
  </si>
  <si>
    <t>Бумага  для заметок с клеевым краем РОЗОВАЯ (ЗБ-4584), инд.ШК, пастель,  51х51 мм, 100л, кратно 12</t>
  </si>
  <si>
    <t>ЗБ-4584</t>
  </si>
  <si>
    <t>4665307745847</t>
  </si>
  <si>
    <t>ПП-00084562</t>
  </si>
  <si>
    <t>Бумага для заметок с клеевым краем 4 ЦВЕТА (ЗС-1563), инд.ШК, 76х76 мм,  по 100л,пастель, кратно 4</t>
  </si>
  <si>
    <t>ЗС-1563</t>
  </si>
  <si>
    <t>4665303515635</t>
  </si>
  <si>
    <t>ПП-00084561</t>
  </si>
  <si>
    <t>Бумага для заметок с клеевым краем 4 ЦВЕТА по 100л (ЗБ-1562), инд.ШК, 76х76 мм, 400л, неон, кратно 4</t>
  </si>
  <si>
    <t>ЗБ-1562</t>
  </si>
  <si>
    <t>4665303515628</t>
  </si>
  <si>
    <t>ПП-00084549</t>
  </si>
  <si>
    <t>Бумага для заметок с клеевым краем ГОЛУБАЯ (ЗБ-1554), инд.ШК, 76х76 мм, 100л, кратно 12</t>
  </si>
  <si>
    <t>ЗБ-1554</t>
  </si>
  <si>
    <t>4665303515543</t>
  </si>
  <si>
    <t>ПП-00084547</t>
  </si>
  <si>
    <t>Бумага для заметок с клеевым краем ЖЕЛТАЯ (ЗБ-1552), инд.ШК, 76х76 мм, 100л, кратно 12</t>
  </si>
  <si>
    <t>ЗБ-1552</t>
  </si>
  <si>
    <t>4665303515529</t>
  </si>
  <si>
    <t>ПП-00125796</t>
  </si>
  <si>
    <t>Бумага для заметок с клеевым краем СЕРДЕЧКО (ЗБ-4589) 5 цветов, неон., 100л, кратно 12</t>
  </si>
  <si>
    <t>ЗБ-4589</t>
  </si>
  <si>
    <t>4665307745892</t>
  </si>
  <si>
    <t>ПП-00125800</t>
  </si>
  <si>
    <t>Бумага для заметок с клеевым краем СТРЕЛОЧКА (ЗБ-4590) 4 цвета, пастель., 100л, кратно 12</t>
  </si>
  <si>
    <t>ЗБ-4590</t>
  </si>
  <si>
    <t>4665307745908</t>
  </si>
  <si>
    <t>Бумага для заметок, закладки детские</t>
  </si>
  <si>
    <t>Блоки для записей детские в силиконовой обложке</t>
  </si>
  <si>
    <t>ПП-00197564</t>
  </si>
  <si>
    <t>ТМ"Profit" Блок для записи круглый  8,8 см, "CUPCAKE" (БЗ-0322) в силик.обложке, диам.8,5см, 80 лист</t>
  </si>
  <si>
    <t>БЗ-0322</t>
  </si>
  <si>
    <t>4670159003229</t>
  </si>
  <si>
    <t>ПП-00197568</t>
  </si>
  <si>
    <t>ТМ"Profit" Блокнот для записи 7х11 см, "UNICORN" (БЗ-0326) в силик.обложке, 80 листов</t>
  </si>
  <si>
    <t>БЗ-0326</t>
  </si>
  <si>
    <t>4670159003267</t>
  </si>
  <si>
    <t>Закладки детские</t>
  </si>
  <si>
    <t>ПП-00185674</t>
  </si>
  <si>
    <t xml:space="preserve">  ТМ"Profit"Набор бум.закл. с клеев краем СЛАДКИХ СНОВ (ЗС-5161) 8,5х14,2мм,на кар.под,по15л,4д,кр80</t>
  </si>
  <si>
    <t>ЗС-5161</t>
  </si>
  <si>
    <t>4620129741613</t>
  </si>
  <si>
    <t>Закладки самоклеящиеся</t>
  </si>
  <si>
    <t>Закладки бумажные</t>
  </si>
  <si>
    <t>ПП-00084555</t>
  </si>
  <si>
    <t xml:space="preserve">  ТМ"Profit"Набор самоклеящихся этикеток-закладок (ЗС-1559) 50х20 мм, 4 цв.блока по 20л.неон,крат 24</t>
  </si>
  <si>
    <t>ЗС-1559</t>
  </si>
  <si>
    <t>4665303515598</t>
  </si>
  <si>
    <t>ПП-00084552</t>
  </si>
  <si>
    <t>Набор самоклеящихся этикеток-закладок (ЗС-1557), инд.ШК, 50х20 мм, 4 цв. блока по 40л.неон, крат 24</t>
  </si>
  <si>
    <t>ЗС-1557</t>
  </si>
  <si>
    <t>4665303515574</t>
  </si>
  <si>
    <t>ПП-00084553</t>
  </si>
  <si>
    <t>Набор самоклеящихся этикеток-закладок (ЗС-1558), инд.ШК, 50х20 мм, 4 цв. блока по 40л.пастель, кр 24</t>
  </si>
  <si>
    <t>ЗС-1558</t>
  </si>
  <si>
    <t>4665303515581</t>
  </si>
  <si>
    <t>Закладки пластиковые</t>
  </si>
  <si>
    <t>ПП-00087649</t>
  </si>
  <si>
    <t xml:space="preserve"> TM"Legend"Закладки пластиковые (ЗС-1878), инд.ШК, 45х12мм, 4 цвета по 20 листов, кратно 72</t>
  </si>
  <si>
    <t>ЗС-1878</t>
  </si>
  <si>
    <t>4665303518780</t>
  </si>
  <si>
    <t>ПП-00136581</t>
  </si>
  <si>
    <t xml:space="preserve"> TM"Legend"Закладки пластиковые со стрелочкой (ЗС-8204) 45х12мм, 4 цвета по 20 листов, кратно 72</t>
  </si>
  <si>
    <t>ЗС-8204</t>
  </si>
  <si>
    <t>4665307782040</t>
  </si>
  <si>
    <t>ПП-00087647</t>
  </si>
  <si>
    <t>TM"Profit"Закладки пластиковые (ЗС-1875), инд.ШК, 45х6мм, 8 цветов по 25 листов, кратно 72</t>
  </si>
  <si>
    <t>ЗС-1875</t>
  </si>
  <si>
    <t>4665303518759</t>
  </si>
  <si>
    <t>ПП-00087648</t>
  </si>
  <si>
    <t>TM"Profit"Закладки пластиковые (ЗС-1877), инд.ШК, 45х12мм, 5 цветов по 20 листов, кратно 72</t>
  </si>
  <si>
    <t>ЗС-1877</t>
  </si>
  <si>
    <t>4665303518773</t>
  </si>
  <si>
    <t>ПП-00087644</t>
  </si>
  <si>
    <t>Закладки пластиковые (ЗС-1873), инд.ШК, 45х12мм, 7 цветов по 25 листов, кратно 50</t>
  </si>
  <si>
    <t>ЗС-1873</t>
  </si>
  <si>
    <t>4665303518735</t>
  </si>
  <si>
    <t>ПП-00087646</t>
  </si>
  <si>
    <t>Закладки пластиковые (ЗС-1876), инд.ШК, 45х12мм, 5 цветов по 25 листов, кратно 72</t>
  </si>
  <si>
    <t>ЗС-1876</t>
  </si>
  <si>
    <t>4665303518766</t>
  </si>
  <si>
    <t>02. Дыроколы</t>
  </si>
  <si>
    <t>ПП-00182062</t>
  </si>
  <si>
    <t>Дырокол (ДР-2775), на 10л., пластик./к в карт. коробке, зеленый</t>
  </si>
  <si>
    <t>ДР-2775</t>
  </si>
  <si>
    <t>4620129727754</t>
  </si>
  <si>
    <t>ПП-00182063</t>
  </si>
  <si>
    <t>Дырокол (ДР-2776), на 20л., пластик./к в карт. коробке, зеленый</t>
  </si>
  <si>
    <t>ДР-2776</t>
  </si>
  <si>
    <t>4620129727761</t>
  </si>
  <si>
    <t>ПП-00182064</t>
  </si>
  <si>
    <t>Дырокол (ДР-2779), на 10л., пластик./к в карт. коробке, т.синий</t>
  </si>
  <si>
    <t>ДР-2779</t>
  </si>
  <si>
    <t>4620129727792</t>
  </si>
  <si>
    <t>ПП-00182066</t>
  </si>
  <si>
    <t>Дырокол (ДР-2780), на 20л., пластик./к в карт. коробке, т.синий</t>
  </si>
  <si>
    <t>ДР-2780</t>
  </si>
  <si>
    <t>4620129727808</t>
  </si>
  <si>
    <t>ПП-00204444</t>
  </si>
  <si>
    <t>Дырокол (ДР-2780), на 20л., пластик./к в карт. коробке, т.синий (!)</t>
  </si>
  <si>
    <t>ПП-00182067</t>
  </si>
  <si>
    <t>Дырокол (ДР-2783), на 10л., метал./к в карт. коробке, оранжевый</t>
  </si>
  <si>
    <t>ДР-2783</t>
  </si>
  <si>
    <t>4620129727839</t>
  </si>
  <si>
    <t>ПП-00182068</t>
  </si>
  <si>
    <t>Дырокол (ДР-2784), на 20л., метал./к в карт. коробке, оранжевый</t>
  </si>
  <si>
    <t>ДР-2784</t>
  </si>
  <si>
    <t>4620129727846</t>
  </si>
  <si>
    <t>ПП-00182069</t>
  </si>
  <si>
    <t>Дырокол (ДР-2785), на 30л., метал./к в карт. коробке, оранжевый</t>
  </si>
  <si>
    <t>ДР-2785</t>
  </si>
  <si>
    <t>4620129727853</t>
  </si>
  <si>
    <t>ПП-00204450</t>
  </si>
  <si>
    <t>Дырокол (ДР-2785), на 30л., метал./к в карт. коробке, оранжевый (!)</t>
  </si>
  <si>
    <t>ПП-00182070</t>
  </si>
  <si>
    <t>Дырокол (ДР-2787), на 10л., метал./к в карт. коробке, синий (василек)</t>
  </si>
  <si>
    <t>ДР-2787</t>
  </si>
  <si>
    <t>4620129727877</t>
  </si>
  <si>
    <t>ПП-00182071</t>
  </si>
  <si>
    <t>Дырокол (ДР-2788), на 20л., метал./к в карт. коробке, синий (василек)</t>
  </si>
  <si>
    <t>ДР-2788</t>
  </si>
  <si>
    <t>4620129727884</t>
  </si>
  <si>
    <t>ПП-00205444</t>
  </si>
  <si>
    <t>Дырокол (ДР-2789), на 30л., метал./к в карт. коробке, василек (!)</t>
  </si>
  <si>
    <t>ДР-2789</t>
  </si>
  <si>
    <t>4620129727891</t>
  </si>
  <si>
    <t>ПП-00182074</t>
  </si>
  <si>
    <t>Дырокол (ДР-2789), на 30л., метал./к в карт. коробке, синий (василек)</t>
  </si>
  <si>
    <t>ПП-00068862</t>
  </si>
  <si>
    <t>Дырокол (ДР-4186), на 10л., метал./к в карт. коробке</t>
  </si>
  <si>
    <t>ДР-4186</t>
  </si>
  <si>
    <t>4665302641861</t>
  </si>
  <si>
    <t>ПП-00068863</t>
  </si>
  <si>
    <t>Дырокол (ДР-4187), на 20л., метал./к, в карт. коробке</t>
  </si>
  <si>
    <t>ДР-4187</t>
  </si>
  <si>
    <t>4665302641878</t>
  </si>
  <si>
    <t>ПП-00068864</t>
  </si>
  <si>
    <t>Дырокол (ДР-4188), на 30л., метал./к, в карт. коробке</t>
  </si>
  <si>
    <t>ДР-4188</t>
  </si>
  <si>
    <t>4665302641885</t>
  </si>
  <si>
    <t>03. Ножницы</t>
  </si>
  <si>
    <t>TM"Profit"Ножницы канцелярские</t>
  </si>
  <si>
    <t>ПП-00114455</t>
  </si>
  <si>
    <t>TM"Profit"Ножницы канцелярские 13 см(НЖ-6969) сталь.лезв.,двухцв.прорезин.кольца, в карт.бл,кратн 12</t>
  </si>
  <si>
    <t>НЖ-6969</t>
  </si>
  <si>
    <t>4665306169699</t>
  </si>
  <si>
    <t>ПП-00114456</t>
  </si>
  <si>
    <t>TM"Profit"Ножницы канцелярские 17,3 см(НЖ-6970)сталь.лезв.,двухцв.прорезин.кольца, в карт.бл,кратн12</t>
  </si>
  <si>
    <t>НЖ-6970</t>
  </si>
  <si>
    <t>4665306169705</t>
  </si>
  <si>
    <t>ПП-00073923</t>
  </si>
  <si>
    <t>TM"Profit"Ножницы канцелярские 19 см(НЖ-6759)сталь.лезв.,двухцв.прорезин. кольца, в карт.бл,кратн 12</t>
  </si>
  <si>
    <t>НЖ-6759</t>
  </si>
  <si>
    <t>4665302667595</t>
  </si>
  <si>
    <t>Ножницы канцелярские</t>
  </si>
  <si>
    <t>ПП-00216714</t>
  </si>
  <si>
    <t>Ножницы канцелярские 16,5 см. (НЖ-1169) лезвия из нерж стали (1,8мм), прорезин ребристые ручки,кр 12</t>
  </si>
  <si>
    <t>НЖ-1169</t>
  </si>
  <si>
    <t>4670159111696</t>
  </si>
  <si>
    <t>ПП-00216590</t>
  </si>
  <si>
    <t>Ножницы канцелярские 19,5 см (НЖ-1090) двухцв. прорезин. кольца, в карт. блистере, кратн 12</t>
  </si>
  <si>
    <t>НЖ-1090</t>
  </si>
  <si>
    <t>4670159110903</t>
  </si>
  <si>
    <t>ПП-00216592</t>
  </si>
  <si>
    <t>Ножницы канцелярские 19,5 см (НЖ-1092) титан. лезв., двухцв. прорезин. кольца, в карт. блист, кр 12</t>
  </si>
  <si>
    <t>ПП-00216715</t>
  </si>
  <si>
    <t>Ножницы канцелярские 19,5 см. (НЖ-1170) лезвия из нерж стали (2,0мм), прорезин ребристые ручки,кр 12</t>
  </si>
  <si>
    <t>НЖ-1170</t>
  </si>
  <si>
    <t>4670159111702</t>
  </si>
  <si>
    <t>ПП-00216591</t>
  </si>
  <si>
    <t>Ножницы канцелярские 21,5 см (НЖ-1091) двухцв. прорезин. кольца, в карт. блистере, кратн 12</t>
  </si>
  <si>
    <t>НЖ-1091</t>
  </si>
  <si>
    <t>4670159110910</t>
  </si>
  <si>
    <t>ПП-00216593</t>
  </si>
  <si>
    <t>Ножницы канцелярские 21,5 см (НЖ-1093) титан. лезв., двухцв. прорезин. кольца, в карт. блистере,кр12</t>
  </si>
  <si>
    <t>НЖ-1093</t>
  </si>
  <si>
    <t>4670159110934</t>
  </si>
  <si>
    <t>ПП-00216716</t>
  </si>
  <si>
    <t>Ножницы канцелярские 21,5 см. (НЖ-1171) лезвия из нерж стали, (2,0мм), прорезин ребристые ручки,кр12</t>
  </si>
  <si>
    <t>НЖ-1171</t>
  </si>
  <si>
    <t>4670159111719</t>
  </si>
  <si>
    <t>04. Зажимы для бумаг</t>
  </si>
  <si>
    <t>Зажимы для бумаг цветные</t>
  </si>
  <si>
    <t>ПП-00068840</t>
  </si>
  <si>
    <t>Зажим для бумаг ЦВЕТНОЙ (ЗК-4171), 15мм, (набор 12шт) в карт. коробке</t>
  </si>
  <si>
    <t>ЗК-4171</t>
  </si>
  <si>
    <t>4665302641717</t>
  </si>
  <si>
    <t>ПП-00068841</t>
  </si>
  <si>
    <t>Зажим для бумаг ЦВЕТНОЙ (ЗК-4172), 19мм, (набор 12шт) в карт. коробке</t>
  </si>
  <si>
    <t>ЗК-4172</t>
  </si>
  <si>
    <t>4665302641724</t>
  </si>
  <si>
    <t>ПП-00242565</t>
  </si>
  <si>
    <t>Зажим для бумаг ЦВЕТНОЙ (ЗК-4172), 19мм, (набор 12шт) в карт. коробке и опп</t>
  </si>
  <si>
    <t>ПП-00068843</t>
  </si>
  <si>
    <t>Зажим для бумаг ЦВЕТНОЙ (ЗК-4173), 25мм, (набор 12шт) в карт. коробке</t>
  </si>
  <si>
    <t>ЗК-4173</t>
  </si>
  <si>
    <t>4665302641731</t>
  </si>
  <si>
    <t>ПП-00068844</t>
  </si>
  <si>
    <t>Зажим для бумаг ЦВЕТНОЙ (ЗК-4174), 32мм, (набор 12шт) в карт. коробке</t>
  </si>
  <si>
    <t>ЗК-4174</t>
  </si>
  <si>
    <t>4665302641748</t>
  </si>
  <si>
    <t>ПП-00068845</t>
  </si>
  <si>
    <t>Зажим для бумаг ЦВЕТНОЙ (ЗК-4175), 41мм, (набор12шт),в карт. коробке</t>
  </si>
  <si>
    <t>ЗК-4175</t>
  </si>
  <si>
    <t>4665302641755</t>
  </si>
  <si>
    <t>ПП-00242568</t>
  </si>
  <si>
    <t>Зажим для бумаг ЦВЕТНОЙ (ЗК-4175), 41мм, (набор12шт),в карт. коробке и опп</t>
  </si>
  <si>
    <t>ПП-00068846</t>
  </si>
  <si>
    <t>Зажим для бумаг ЦВЕТНОЙ (ЗК-4176), 51мм, (набор12шт), в карт. коробке</t>
  </si>
  <si>
    <t>ЗК-4176</t>
  </si>
  <si>
    <t>4665302641762</t>
  </si>
  <si>
    <t>05. Резак канцелярский</t>
  </si>
  <si>
    <t>ПП-00068848</t>
  </si>
  <si>
    <t xml:space="preserve">  Резак канцелярский малый (РК-4177), 9мм, п/п, кратно 200</t>
  </si>
  <si>
    <t>РК-4177</t>
  </si>
  <si>
    <t>4665302641779</t>
  </si>
  <si>
    <t>ПП-00068850</t>
  </si>
  <si>
    <t xml:space="preserve"> Резак канцелярский большой (РК-4179), 18мм, в к/к, кратно 200</t>
  </si>
  <si>
    <t>РК-4179</t>
  </si>
  <si>
    <t>4665302641793</t>
  </si>
  <si>
    <t>ПП-00068849</t>
  </si>
  <si>
    <t>Резак канцелярский большой (РК-4178), 18мм, метал. направляющие, винтовой фиксатор, в к/к,кратно 100</t>
  </si>
  <si>
    <t>РК-4178</t>
  </si>
  <si>
    <t>4665302641786</t>
  </si>
  <si>
    <t>06. Лезвия для резаков</t>
  </si>
  <si>
    <t>ПП-00068851</t>
  </si>
  <si>
    <t>Лезвия к резаку большому (ЛР-4180), 18мм, (набор 10шт) в карт. коробке, кратно 10</t>
  </si>
  <si>
    <t>ЛР-4180</t>
  </si>
  <si>
    <t>4665302641809</t>
  </si>
  <si>
    <t>07. Кнопки силовые</t>
  </si>
  <si>
    <t>ПП-00068855</t>
  </si>
  <si>
    <t>Кнопки силовые (КС-4151), 50шт в пластик/к, кратно 12</t>
  </si>
  <si>
    <t>КС-4151</t>
  </si>
  <si>
    <t>4665302641519</t>
  </si>
  <si>
    <t>08. Скобы</t>
  </si>
  <si>
    <t>ПП-00182993</t>
  </si>
  <si>
    <t>Скобы для степлера № 24/6 цветные (СС-3143) 1000 шт. в карт.кор., кратно 10</t>
  </si>
  <si>
    <t>СС-3143</t>
  </si>
  <si>
    <t>4620129731430</t>
  </si>
  <si>
    <t>ПП-00068857</t>
  </si>
  <si>
    <t>Скобы для степлера №24/6 (СС-4183)</t>
  </si>
  <si>
    <t>СС-4183</t>
  </si>
  <si>
    <t>4665302641830</t>
  </si>
  <si>
    <t>09. Скрепки</t>
  </si>
  <si>
    <t>ПП-00182986</t>
  </si>
  <si>
    <t>TM"Profit"Скрепки металлические прямоуг. профиль оцинк. 50 мм (СКР-3136) 50шт в карт.кор.,кратно 10</t>
  </si>
  <si>
    <t>СКР-3136</t>
  </si>
  <si>
    <t>4620129731362</t>
  </si>
  <si>
    <t>ПП-00182990</t>
  </si>
  <si>
    <t>Скрепки металлические гофрированные никелированные 50 мм (СКР-3140) 50 шт в карт.кор.,кратно 10</t>
  </si>
  <si>
    <t>СКР-3140</t>
  </si>
  <si>
    <t>4620129731409</t>
  </si>
  <si>
    <t>ПП-00182989</t>
  </si>
  <si>
    <t>Скрепки металлические овальные цветные "Зебра" 28 мм (СКР-3139) 100 шт в карт.кор.,кратно 10</t>
  </si>
  <si>
    <t>СКР-3139</t>
  </si>
  <si>
    <t>4620129731393</t>
  </si>
  <si>
    <t>ПП-00194200</t>
  </si>
  <si>
    <t>4665308763499</t>
  </si>
  <si>
    <t>10. Степлеры и антистеплер</t>
  </si>
  <si>
    <t>ПП-00235937</t>
  </si>
  <si>
    <t>Cтеплер (ОП-0540), №24, до 30 л., пластик./к., в карт. коробке, черный, кратно 12 шт</t>
  </si>
  <si>
    <t>ОП-0540</t>
  </si>
  <si>
    <t>4670159205401</t>
  </si>
  <si>
    <t>ПП-00236502</t>
  </si>
  <si>
    <t>Cтеплер (ОП-0679), №23 металлический мощный канцелярский, черный, до 70 л.</t>
  </si>
  <si>
    <t>ОП-0679</t>
  </si>
  <si>
    <t>4670159206798</t>
  </si>
  <si>
    <t>ПП-00182090</t>
  </si>
  <si>
    <t>Степлер (ОП-2778), №24, пластик./к, на 20 листов, в карт. коробке, зеленый, кратно 12 шт</t>
  </si>
  <si>
    <t>ОП-2778</t>
  </si>
  <si>
    <t>4620129727785</t>
  </si>
  <si>
    <t>ПП-00182092</t>
  </si>
  <si>
    <t>Степлер (ОП-2782), №24, пластик./к, на 20 листов, в карт. коробке, т.синий, кратно 12 шт</t>
  </si>
  <si>
    <t>ОП-2782</t>
  </si>
  <si>
    <t>4620129727822</t>
  </si>
  <si>
    <t>ПП-00182093</t>
  </si>
  <si>
    <t>Степлер (ОП-2786), №24, метал./к, на 20 листов, в карт. коробке, оранжевый, кратно 12 шт</t>
  </si>
  <si>
    <t>ОП-2786</t>
  </si>
  <si>
    <t>4620129727860</t>
  </si>
  <si>
    <t>ПП-00182095</t>
  </si>
  <si>
    <t>Степлер (ОП-2790), №24, метал./к, на 20 листов, в карт. коробке, синий (василек), кратно 12 шт</t>
  </si>
  <si>
    <t>ОП-2790</t>
  </si>
  <si>
    <t>4620129727907</t>
  </si>
  <si>
    <t>11. Корректирующие средства</t>
  </si>
  <si>
    <t xml:space="preserve"> Корректирующая жидкость</t>
  </si>
  <si>
    <t>ПП-00214523</t>
  </si>
  <si>
    <t xml:space="preserve">  ТМ"Legend" Корректирующая жидкость (КЖ-9421) 16гр, 8мл, с кисточкой на основе растворителя, кр 18</t>
  </si>
  <si>
    <t>КЖ-9421</t>
  </si>
  <si>
    <t>4670159094210</t>
  </si>
  <si>
    <t>ПП-00121203</t>
  </si>
  <si>
    <t xml:space="preserve"> TM"Profit"  Корректирующая жидкость (KЖ-3816) 20гр, 10мл, с кисточкой на водной основе, кратно 12</t>
  </si>
  <si>
    <t>КЖ-3816</t>
  </si>
  <si>
    <t>4665303538160</t>
  </si>
  <si>
    <t>ПП-00093157</t>
  </si>
  <si>
    <t xml:space="preserve"> TM"Profit" Корректирующая жидкость (КЖ-3814) 20гр,10 мл, с кисточкой на основе растворителя, кр 12</t>
  </si>
  <si>
    <t>КЖ-3814</t>
  </si>
  <si>
    <t>4665303538146</t>
  </si>
  <si>
    <t>ПП-00064503</t>
  </si>
  <si>
    <t xml:space="preserve"> Корректирующая жидкость(КЖ-2814)20мл,в бутылочке с кисточкой на вод.основе,в пласт.дисплее,кратно12</t>
  </si>
  <si>
    <t>КЖ-2814</t>
  </si>
  <si>
    <t>4665299628142</t>
  </si>
  <si>
    <t>ПП-00093158</t>
  </si>
  <si>
    <t>Корректирующая жидкость (КЖ-3815) 20мл, с кисточкой на спиртовой основе, кратно 12</t>
  </si>
  <si>
    <t>КЖ-3815</t>
  </si>
  <si>
    <t>4665303538153</t>
  </si>
  <si>
    <t>Корректирующие ручки</t>
  </si>
  <si>
    <t>ПП-00182637</t>
  </si>
  <si>
    <t xml:space="preserve">    TM"Profit" Корректирующая ручка (КЖ-3048) 5 мл, металич. наконечник, кратно 24</t>
  </si>
  <si>
    <t>КЖ-3048</t>
  </si>
  <si>
    <t>4620129730488</t>
  </si>
  <si>
    <t>ПП-00182638</t>
  </si>
  <si>
    <t xml:space="preserve">    TM"Profit" Корректирующая ручка (КЖ-3049) 8 мл, металич. наконечник, кратно 24</t>
  </si>
  <si>
    <t>КЖ-3049</t>
  </si>
  <si>
    <t>4620129730495</t>
  </si>
  <si>
    <t>13. Клейкая лента</t>
  </si>
  <si>
    <t xml:space="preserve"> TM "Legend"Клейкая лента упаковочная</t>
  </si>
  <si>
    <t>ПП-00080716</t>
  </si>
  <si>
    <t>TM "Legend"Клейкая лента, прозрачная 48/50 (42),  40мкм, (СК-0640), кратно 36</t>
  </si>
  <si>
    <t>СК-0640</t>
  </si>
  <si>
    <t>4665303506404</t>
  </si>
  <si>
    <t>ПП-00080717</t>
  </si>
  <si>
    <t>TM "Legend"Клейкая лента, прозрачная 48/66 (57),  40мкм, (СК-0641), кратно 36</t>
  </si>
  <si>
    <t>СК-0641</t>
  </si>
  <si>
    <t>4665303506411</t>
  </si>
  <si>
    <t xml:space="preserve"> Клейкая лента упаковочная</t>
  </si>
  <si>
    <t>ПП-00056940</t>
  </si>
  <si>
    <t xml:space="preserve"> Клейкая лента, прозрачная 48/66,  40мкм, (СК-2600), кратно 36</t>
  </si>
  <si>
    <t>СК-2600</t>
  </si>
  <si>
    <t>4665299626001</t>
  </si>
  <si>
    <t>ПП-00056970</t>
  </si>
  <si>
    <t xml:space="preserve"> Клейкая лента, прозрачная 48/66,  45мкм, (СК-2601), кратно 36</t>
  </si>
  <si>
    <t>СК-2601</t>
  </si>
  <si>
    <t>4665299626018</t>
  </si>
  <si>
    <t>Двухсторонний скотч</t>
  </si>
  <si>
    <t>ПП-00241088</t>
  </si>
  <si>
    <t>Скотч канцелярский. двусторонний, тонкий, размер: 9мм*10м, СК-2165</t>
  </si>
  <si>
    <t>СК-2165</t>
  </si>
  <si>
    <t>4670159221654</t>
  </si>
  <si>
    <t>14. Банковские резинки</t>
  </si>
  <si>
    <t>ПП-00082290</t>
  </si>
  <si>
    <t xml:space="preserve"> TM "Legend"Банковская резинка 60мм цветная (БР-1307) 50г в упаковке</t>
  </si>
  <si>
    <t>БР-1307</t>
  </si>
  <si>
    <t>4665303513075</t>
  </si>
  <si>
    <t>ПП-00089443</t>
  </si>
  <si>
    <t>TM"Profit"Банковская резинка 60мм цветная (БР-2517) 50г в упаковке</t>
  </si>
  <si>
    <t>БР-2517</t>
  </si>
  <si>
    <t>4665303525177</t>
  </si>
  <si>
    <t>ПП-00089444</t>
  </si>
  <si>
    <t>TM"Profit"Банковская резинка 60мм цветная (БР-2518) 100г в упаковке</t>
  </si>
  <si>
    <t>БР-2518</t>
  </si>
  <si>
    <t>4665303525184</t>
  </si>
  <si>
    <t>ПП-00089451</t>
  </si>
  <si>
    <t>TM"Profit"Банковская резинка 60мм цветная (БР-2519) 200г в упаковке</t>
  </si>
  <si>
    <t>БР-2519</t>
  </si>
  <si>
    <t>4665303525191</t>
  </si>
  <si>
    <t>ПП-00089455</t>
  </si>
  <si>
    <t>TM"Profit"Банковская резинка 60мм цветная (БР-2520) 500г в упаковке</t>
  </si>
  <si>
    <t>БР-2520</t>
  </si>
  <si>
    <t>4665303525207</t>
  </si>
  <si>
    <t>ПП-00089481</t>
  </si>
  <si>
    <t>Банковская резинка 60мм цветная (БР-2522) 50г в упаковке,цвет.европодвес</t>
  </si>
  <si>
    <t>БР-2522</t>
  </si>
  <si>
    <t>4665303525221</t>
  </si>
  <si>
    <t>ПП-00089488</t>
  </si>
  <si>
    <t>Банковская резинка 60мм цветная (БР-2523) 100г в упаковке,цвет.европодвес</t>
  </si>
  <si>
    <t>БР-2523</t>
  </si>
  <si>
    <t>4665303525238</t>
  </si>
  <si>
    <t>15. Лупа просмотровая</t>
  </si>
  <si>
    <t>ПП-00121504</t>
  </si>
  <si>
    <t xml:space="preserve">  TM"Profit"Лупа просмотровая d=40мм, кратность увеличения 5 (ЛУ-4122) в карт. коробке, кратно 10</t>
  </si>
  <si>
    <t>ЛУ-4122</t>
  </si>
  <si>
    <t>4665307741221</t>
  </si>
  <si>
    <t>ПП-00121507</t>
  </si>
  <si>
    <t xml:space="preserve">  TM"Profit"Лупа просмотровая d=50мм, кратность увеличения 5 (ЛУ-4123) в карт. коробке, кратно 10</t>
  </si>
  <si>
    <t>ЛУ-4123</t>
  </si>
  <si>
    <t>4665307741238</t>
  </si>
  <si>
    <t>ПП-00121518</t>
  </si>
  <si>
    <t xml:space="preserve">  TM"Profit"Лупа просмотровая, складная d=60мм, кратн увелич. 3 (ЛУ-4126) в карт. коробке, кратно 10</t>
  </si>
  <si>
    <t>ЛУ-4126</t>
  </si>
  <si>
    <t>4665307741269</t>
  </si>
  <si>
    <t>ПП-00076664</t>
  </si>
  <si>
    <t>TM"Profit"Лупа просмотровая d=100мм, кратность увеличения 3 (ЛУ-9191) в карт. коробке, кратно 10</t>
  </si>
  <si>
    <t>ЛУ-9191</t>
  </si>
  <si>
    <t>4665303491915</t>
  </si>
  <si>
    <t>16. Доски информационные</t>
  </si>
  <si>
    <t xml:space="preserve"> Доски магнитно-маркерные</t>
  </si>
  <si>
    <t>ПП-00094527</t>
  </si>
  <si>
    <t xml:space="preserve">  TM"Profit" Доска магнитно-маркерная 30х40 (Д-3232) лаковое покрытие, алюминиевая рама</t>
  </si>
  <si>
    <t>Д-3232</t>
  </si>
  <si>
    <t>4665303532328</t>
  </si>
  <si>
    <t>ПП-00185524</t>
  </si>
  <si>
    <t xml:space="preserve"> TM"Profit" Доска магнитно-маркерная 45х60 (Д-4098) лаковое покрытие, алюминиевая рама</t>
  </si>
  <si>
    <t>Д-4098</t>
  </si>
  <si>
    <t>4620129740982</t>
  </si>
  <si>
    <t>ПП-00094538</t>
  </si>
  <si>
    <t>TM"Profit"  Доска магнитно-маркерная 90х150 (Д-3236) лаковое покрытие, алюминиевая рама</t>
  </si>
  <si>
    <t>Д-3236</t>
  </si>
  <si>
    <t>4665303532366</t>
  </si>
  <si>
    <t>ПП-00197599</t>
  </si>
  <si>
    <t>TM"Profit" Доска магнитно-маркерная 90х180см (Д-9544) лаковое покрытие, алюминиевая рама</t>
  </si>
  <si>
    <t>Д-9544</t>
  </si>
  <si>
    <t>4620129795449</t>
  </si>
  <si>
    <t xml:space="preserve"> Доски пробковые</t>
  </si>
  <si>
    <t>ПП-00121242</t>
  </si>
  <si>
    <t xml:space="preserve">  TM"Profit" Доска пробковая 45х60 (Д-4043) с подвесом, алюминиевая рама</t>
  </si>
  <si>
    <t>Д-4043</t>
  </si>
  <si>
    <t>4665307740439</t>
  </si>
  <si>
    <t>ПП-00121243</t>
  </si>
  <si>
    <t xml:space="preserve">  TM"Profit" Доска пробковая 90х60 (Д-4044) с подвесом, алюминиевая рама</t>
  </si>
  <si>
    <t>Д-4044</t>
  </si>
  <si>
    <t>4665307740446</t>
  </si>
  <si>
    <t>ПП-00121246</t>
  </si>
  <si>
    <t xml:space="preserve"> TM"Profit" Доска пробковая 90х120 (Д-4045) с подвесом, алюминиевая рама</t>
  </si>
  <si>
    <t>Д-4045</t>
  </si>
  <si>
    <t>4665307740453</t>
  </si>
  <si>
    <t>Аксессуары к доскам</t>
  </si>
  <si>
    <t>ПП-00078547</t>
  </si>
  <si>
    <t xml:space="preserve">  TM"Profit"Губка магнитная для маркерных досок 60х145 мм (МН-0108)</t>
  </si>
  <si>
    <t>МН-0108</t>
  </si>
  <si>
    <t>4665303501089</t>
  </si>
  <si>
    <t>ПП-00121248</t>
  </si>
  <si>
    <t xml:space="preserve"> Губка магнитная для маркерных досок 55х160 мм (МН-4035)</t>
  </si>
  <si>
    <t>МН-4035</t>
  </si>
  <si>
    <t>4665307740354</t>
  </si>
  <si>
    <t>ПП-00078543</t>
  </si>
  <si>
    <t>TM"Profit" Набор магнитов для досок (МН-0105) d=20, 6шт</t>
  </si>
  <si>
    <t>МН-0105</t>
  </si>
  <si>
    <t>4665303501058</t>
  </si>
  <si>
    <t>ПП-00078544</t>
  </si>
  <si>
    <t>TM"Profit" Набор магнитов для досок (МН-0106) d=30, 5шт</t>
  </si>
  <si>
    <t>МН-0106</t>
  </si>
  <si>
    <t>4665303501065</t>
  </si>
  <si>
    <t>ПП-00078545</t>
  </si>
  <si>
    <t>TM"Profit" Набор магнитов для досок (МН-0107) d=40, 4шт</t>
  </si>
  <si>
    <t>МН-0107</t>
  </si>
  <si>
    <t>4665303501072</t>
  </si>
  <si>
    <t>ПП-00239721</t>
  </si>
  <si>
    <t>Набор канцелярских магнитов для магнитных досок 20 шт.,11х17мм, магнит 6мм, цвет прозрачный, МН-2016</t>
  </si>
  <si>
    <t>МН-2016</t>
  </si>
  <si>
    <t>4670159220169</t>
  </si>
  <si>
    <t>18. Настольные наборы</t>
  </si>
  <si>
    <t>TM"Profit"Наборы канцелярские</t>
  </si>
  <si>
    <t>ПП-00076657</t>
  </si>
  <si>
    <t>TM"Profit"Набор канцелярский настольный. ГОРКА. 13 предметов (КВ-9377) в картонной коробке</t>
  </si>
  <si>
    <t>КВ-9377</t>
  </si>
  <si>
    <t>4665303493773</t>
  </si>
  <si>
    <t>ПП-00076658</t>
  </si>
  <si>
    <t>TM"Profit"Набор канцелярский настольный. ОФИСНЫЙ. 14 предметов (КВ-9378) в картонной коробке</t>
  </si>
  <si>
    <t>КВ-9378</t>
  </si>
  <si>
    <t>4665303493780</t>
  </si>
  <si>
    <t>19. Кресла компьютерные</t>
  </si>
  <si>
    <t>Кресла офисные</t>
  </si>
  <si>
    <t>ПП-00238748</t>
  </si>
  <si>
    <t>Кресло компьютерное офисное белый/розовый КОМ-1231, серия СТАНДАРТ</t>
  </si>
  <si>
    <t>КОМ-1231</t>
  </si>
  <si>
    <t>4670159212317</t>
  </si>
  <si>
    <t>ПП-00234714</t>
  </si>
  <si>
    <t>Кресло компьютерное офисное чёрное (металл) КОМ-9763, серия КОМФОРТ</t>
  </si>
  <si>
    <t>КОМ-9763</t>
  </si>
  <si>
    <t>ПП-00234712</t>
  </si>
  <si>
    <t>Кресло компьютерное офисное чёрное c подголовником КОМ-9761, серия КОМФОРТ</t>
  </si>
  <si>
    <t>КОМ-9761</t>
  </si>
  <si>
    <t>ПП-00234715</t>
  </si>
  <si>
    <t>Кресло компьютерное офисное чёрное c подголовником КОМ-9764, серия ОФИС</t>
  </si>
  <si>
    <t>КОМ-9764</t>
  </si>
  <si>
    <t>22. Ночники, лампы</t>
  </si>
  <si>
    <t>ПП-00235981</t>
  </si>
  <si>
    <t>Ночник-проектор "Космонавт" с пультом дистанционного управления, НЧК-0559</t>
  </si>
  <si>
    <t>НЧК-0559</t>
  </si>
  <si>
    <t>4670159205593</t>
  </si>
  <si>
    <t>ПП-00235985</t>
  </si>
  <si>
    <t>Светодиодный светильник. Лампа настольная с экраном и беспроводной зарядкой для телефона,ЛНС-0563</t>
  </si>
  <si>
    <t>ЛНС-0563</t>
  </si>
  <si>
    <t>4670159205630</t>
  </si>
  <si>
    <t>02. ПАПКИ И СИСТЕМЫ АРХИВАЦИИ ДОКУМЕНТОВ</t>
  </si>
  <si>
    <t xml:space="preserve">  Файлы</t>
  </si>
  <si>
    <t>ПП-00087679</t>
  </si>
  <si>
    <t xml:space="preserve">   TM "Legend" Папка-вкладыш с перфорацией А4 (ВП-1811) 18 мкм, 100</t>
  </si>
  <si>
    <t>ВП-1811</t>
  </si>
  <si>
    <t>4665303518117</t>
  </si>
  <si>
    <t>ПП-00068932</t>
  </si>
  <si>
    <t xml:space="preserve">  TM"Profit"Папка-вкладыш с перфорацией А4+ "апельсиновая корка" (ВП-5110) стандарт 23 мкм, 100         </t>
  </si>
  <si>
    <t>ВП-5110</t>
  </si>
  <si>
    <t>4665302651105</t>
  </si>
  <si>
    <t>ПП-00068930</t>
  </si>
  <si>
    <t xml:space="preserve">  TM"Profit"Папка-вкладыш с перфорацией А4+ глянцевая (ВП-5108) стандарт 23 мкм, 100</t>
  </si>
  <si>
    <t>ВП-5108</t>
  </si>
  <si>
    <t>4665302651082</t>
  </si>
  <si>
    <t>ПП-00121235</t>
  </si>
  <si>
    <t xml:space="preserve"> Папка-вкладыш с перфорацией А4+, глянцевая (ВП-7759) 40мкм, 100</t>
  </si>
  <si>
    <t>ВП-7759</t>
  </si>
  <si>
    <t>4665306177595</t>
  </si>
  <si>
    <t>ПП-00121236</t>
  </si>
  <si>
    <t xml:space="preserve"> Папка-вкладыш с перфорацией А4+, глянцевая (ВП-7760) 60мкм, 100</t>
  </si>
  <si>
    <t>ВП-7760</t>
  </si>
  <si>
    <t>4665306177601</t>
  </si>
  <si>
    <t>ПП-00068931</t>
  </si>
  <si>
    <t>Папка-вкладыш с перфорацией А4+ "апельсиновая корка" (ВП-5109) , 30мкм, 100</t>
  </si>
  <si>
    <t>ВП-5109</t>
  </si>
  <si>
    <t>4665302651099</t>
  </si>
  <si>
    <t>ПП-00068933</t>
  </si>
  <si>
    <t>Папка-вкладыш с перфорацией А4+ "апельсиновая корка" (ВП-5111) , 40мкм,  100</t>
  </si>
  <si>
    <t>ВП-5111</t>
  </si>
  <si>
    <t>4665302651112</t>
  </si>
  <si>
    <t>ПП-00068934</t>
  </si>
  <si>
    <t>Папка-вкладыш с перфорацией А4+ "апельсиновая корка" (ВП-5112) , 60мкм, 100</t>
  </si>
  <si>
    <t>ВП-5112</t>
  </si>
  <si>
    <t>4665302651129</t>
  </si>
  <si>
    <t>ПП-00233687</t>
  </si>
  <si>
    <t>Папка-вкладыш с перфорацией А4+ глянцевая (ВП-8932) 100 мкм, 50 шт</t>
  </si>
  <si>
    <t>ВП-8932</t>
  </si>
  <si>
    <t>4670159189329</t>
  </si>
  <si>
    <t xml:space="preserve"> Папка-конверт на кнопке А4</t>
  </si>
  <si>
    <t>ПП-00183198</t>
  </si>
  <si>
    <t>Папка-конверт на кнопке А4, 180мкм, BOY (ПК-3033) инд.ШК, кратно 12</t>
  </si>
  <si>
    <t>ПК-3033</t>
  </si>
  <si>
    <t>4620129730334</t>
  </si>
  <si>
    <t>ПП-00183193</t>
  </si>
  <si>
    <t>Папка-конверт на кнопке А4, 180мкм, CITY (ПК-3028) кратно 12</t>
  </si>
  <si>
    <t>ПК-3028</t>
  </si>
  <si>
    <t>4620129730280</t>
  </si>
  <si>
    <t>ПП-00183192</t>
  </si>
  <si>
    <t>Папка-конверт на кнопке А4, 180мкм, GAME (ПК-3027) инд.ШК, кратно 12</t>
  </si>
  <si>
    <t>ПК-3027</t>
  </si>
  <si>
    <t>4620129730273</t>
  </si>
  <si>
    <t>ПП-00183197</t>
  </si>
  <si>
    <t>Папка-конверт на кнопке А4, 180мкм, MUSIC (ПК-3032) кратно 12</t>
  </si>
  <si>
    <t>ПК-3032</t>
  </si>
  <si>
    <t>4620129730327</t>
  </si>
  <si>
    <t xml:space="preserve"> Папка-конверт на молнии А4</t>
  </si>
  <si>
    <t>ПП-00232725</t>
  </si>
  <si>
    <t>НАБОР.Папка-уголок A4,180 мкм(ПК-8718)6шт,6 неон цв(ФУКС/РОЗОВ/ГОЛУБ/ЖЕЛТ/ОРАНЖ/ЗЕЛЕН)</t>
  </si>
  <si>
    <t>ПК-8718</t>
  </si>
  <si>
    <t>4670159187189</t>
  </si>
  <si>
    <t>ПП-00232787</t>
  </si>
  <si>
    <t>Папка-конверт на молнии А4, 180мкм, PINK&amp;BLACK (ПК-8680/3) комплект 3шт !</t>
  </si>
  <si>
    <t>ПК-8680/3</t>
  </si>
  <si>
    <t>4665308949473</t>
  </si>
  <si>
    <t>ПП-00232785</t>
  </si>
  <si>
    <t>Папка-конверт на молнии А4, 180мкм, ВНЕДОРОЖНИК (ПК-8679/3) комплект 3 шт !</t>
  </si>
  <si>
    <t>ПК-8679/3</t>
  </si>
  <si>
    <t>4665308949466</t>
  </si>
  <si>
    <t>ПП-00232788</t>
  </si>
  <si>
    <t>Папка-конверт на молнии А4, 180мкм, НОРМАЛЬНО (ПК-8681/3) комплект 3 шт !</t>
  </si>
  <si>
    <t>ПК-8681/3</t>
  </si>
  <si>
    <t>4665308949480</t>
  </si>
  <si>
    <t>ПП-00183207</t>
  </si>
  <si>
    <t>Папка-конверт на молнии, А4, 180мкм, PANDA (ПК-3042) кратно 24</t>
  </si>
  <si>
    <t>ПК-3042</t>
  </si>
  <si>
    <t>4620129730426</t>
  </si>
  <si>
    <t>ПП-00232618</t>
  </si>
  <si>
    <t>Папка-конверт на молнии, А4, 180мкм, PINK&amp;BLACK (ПК-8680) кратно 12</t>
  </si>
  <si>
    <t>ПК-8680</t>
  </si>
  <si>
    <t>4670159186809</t>
  </si>
  <si>
    <t>ПП-00232617</t>
  </si>
  <si>
    <t>Папка-конверт на молнии, А4, 180мкм, ВНЕДОРОЖНИК (ПК-8679) кратно 12</t>
  </si>
  <si>
    <t>ПК-8679</t>
  </si>
  <si>
    <t>4670159186793</t>
  </si>
  <si>
    <t>ПП-00232620</t>
  </si>
  <si>
    <t>Папка-конверт на молнии, А4, 180мкм, голубой (ПК-8687) кратно 12</t>
  </si>
  <si>
    <t>ПК-8687</t>
  </si>
  <si>
    <t>4670159186878</t>
  </si>
  <si>
    <t>ПП-00183209</t>
  </si>
  <si>
    <t>Папка-конверт на молнии, А4, 180мкм, желтый (ПК-3044) кратно 12</t>
  </si>
  <si>
    <t>ПК-3044</t>
  </si>
  <si>
    <t>4620129730440</t>
  </si>
  <si>
    <t>ПП-00183211</t>
  </si>
  <si>
    <t>Папка-конверт на молнии, А4, 180мкм, зеленый (ПК-3046) кратно 12</t>
  </si>
  <si>
    <t>ПК-3046</t>
  </si>
  <si>
    <t>4620129730464</t>
  </si>
  <si>
    <t>ПП-00232613</t>
  </si>
  <si>
    <t>Папка-конверт на молнии, А4, 180мкм, КАПИБАРБИ (ПК-8677) кратно 12</t>
  </si>
  <si>
    <t>ПК-8677</t>
  </si>
  <si>
    <t>4670159186779</t>
  </si>
  <si>
    <t>ПП-00232615</t>
  </si>
  <si>
    <t>Папка-конверт на молнии, А4, 180мкм, МЯЧ НА ЧЕРНОМ (ПК-8678) кратно 12</t>
  </si>
  <si>
    <t>ПК-8678</t>
  </si>
  <si>
    <t>4670159186786</t>
  </si>
  <si>
    <t>ПП-00232619</t>
  </si>
  <si>
    <t>Папка-конверт на молнии, А4, 180мкм, НОРМАЛЬНО (ПК-8681) кратно 12</t>
  </si>
  <si>
    <t>ПК-8681</t>
  </si>
  <si>
    <t>4670159186816</t>
  </si>
  <si>
    <t>ПП-00232622</t>
  </si>
  <si>
    <t>Папка-конверт на молнии, А4, 180мкм, персиковый  (ПК-8688) кратно 12</t>
  </si>
  <si>
    <t>ПК-8688</t>
  </si>
  <si>
    <t>4670159186885</t>
  </si>
  <si>
    <t>ПП-00183210</t>
  </si>
  <si>
    <t>Папка-конверт на молнии, А4, 180мкм, розовый (ПК-3045) кратно 12</t>
  </si>
  <si>
    <t>ПК-3045</t>
  </si>
  <si>
    <t>4620129730457</t>
  </si>
  <si>
    <t>ПП-00220678</t>
  </si>
  <si>
    <t>Папка-конверт на молнии, А4, 180мкм, СИРЕНЕВЫЙ (ПК-2841) кратно 12</t>
  </si>
  <si>
    <t>ПК-2841</t>
  </si>
  <si>
    <t>4670159128410</t>
  </si>
  <si>
    <t xml:space="preserve"> Папка-уголок А4</t>
  </si>
  <si>
    <t>ПП-00220689</t>
  </si>
  <si>
    <t>Папка-уголок, А4, 180мкм, PINK&amp;BLACK (ПК-2850) кратно 30</t>
  </si>
  <si>
    <t>ПК-2850</t>
  </si>
  <si>
    <t>4670159128502</t>
  </si>
  <si>
    <t>ПП-00220687</t>
  </si>
  <si>
    <t>Папка-уголок, А4, 180мкм, ВНЕДОРОЖНИК (ПК-2849) кратно 30</t>
  </si>
  <si>
    <t>ПК-2849</t>
  </si>
  <si>
    <t>4670159128496</t>
  </si>
  <si>
    <t>ПП-00220685</t>
  </si>
  <si>
    <t>Папка-уголок, А4, 180мкм, КАПИБАРБИ (ПК-2847) инд.ШК, кратно 30</t>
  </si>
  <si>
    <t>4670159128472</t>
  </si>
  <si>
    <t>ПП-00220686</t>
  </si>
  <si>
    <t>Папка-уголок, А4, 180мкм, МЯЧ НА ЧЕРНОМ (ПК-2848) кратно 30</t>
  </si>
  <si>
    <t>ПК-2848</t>
  </si>
  <si>
    <t>4670159128489</t>
  </si>
  <si>
    <t>ПП-00220690</t>
  </si>
  <si>
    <t>Папка-уголок, А4, 180мкм, НОРМАЛЬНО (ПК-2851) кратно 30</t>
  </si>
  <si>
    <t>ПК-2851</t>
  </si>
  <si>
    <t>4670159128519</t>
  </si>
  <si>
    <t>Папка-органайзер</t>
  </si>
  <si>
    <t>ПП-00236779</t>
  </si>
  <si>
    <t>Папка-органайзер для документов А4 с застежкой, белая, 12 отд, стикеры в компл,25,5*32,8 см, ПО-0812</t>
  </si>
  <si>
    <t>ПО-0812</t>
  </si>
  <si>
    <t>4670159208129</t>
  </si>
  <si>
    <t>03. ПИСЬМЕННЫЕ И ЧЕРТЕЖНЫЕ ПРИНАДЛЕЖНОСТИ</t>
  </si>
  <si>
    <t>01. Карандаши чернографитные</t>
  </si>
  <si>
    <t xml:space="preserve">  Карандаши чернографитные (пластик)</t>
  </si>
  <si>
    <t>TM"Profit"Карандаши чернографитные (пластик)</t>
  </si>
  <si>
    <t>ПП-00068205</t>
  </si>
  <si>
    <t>TM"Profit"Карандаш ч/г, заточен, без/ласт. (К-4533),зеленый корпус, пластик, к/к, кратно 12</t>
  </si>
  <si>
    <t>К-4533</t>
  </si>
  <si>
    <t>4670159305811</t>
  </si>
  <si>
    <t>ПП-00068204</t>
  </si>
  <si>
    <t>TM"Profit"Карандаш ч/г, заточен, с/ласт. (К-4532),зеленый корпус, пластик, к/к, кратно 12, инд. ШК</t>
  </si>
  <si>
    <t>К-4532</t>
  </si>
  <si>
    <t>4620129748964</t>
  </si>
  <si>
    <t>Карандаши чернографитные (пластик)</t>
  </si>
  <si>
    <t>ПП-00081539</t>
  </si>
  <si>
    <t xml:space="preserve">    Карандаш ч/г, заточен, с/ласт. (КЧ-0629), корпус "черное дерево",пластик.  к/к, кр 12шт, инд. ШК</t>
  </si>
  <si>
    <t>КЧ-0629</t>
  </si>
  <si>
    <t>4620129748971</t>
  </si>
  <si>
    <t>ПП-00044812</t>
  </si>
  <si>
    <t xml:space="preserve">  Карандаш  ч/г, заточен, с/ласт. (КЧ-2510), корпус зеленый ,  пластик.к/к, кратно 12шт, инд. ШК</t>
  </si>
  <si>
    <t>КЧ-2510</t>
  </si>
  <si>
    <t>4665297825109</t>
  </si>
  <si>
    <t xml:space="preserve"> Карандаши чернографитные (дерево)</t>
  </si>
  <si>
    <t xml:space="preserve"> TM "Legend"Карандаши чернографитные (дерево)</t>
  </si>
  <si>
    <t>ПП-00095907</t>
  </si>
  <si>
    <t>TM"Legend"Карандаш ч/г, круг., незаточ., с ласт., 4 цвета микс. ПОЛОСКА (КЧ-3164) в пакете, кр 12</t>
  </si>
  <si>
    <t>КЧ-3164</t>
  </si>
  <si>
    <t>4665306131641</t>
  </si>
  <si>
    <t>TM"Profit" Наборы чернографитных карандашей (дерево)</t>
  </si>
  <si>
    <t>ПП-00121594</t>
  </si>
  <si>
    <t xml:space="preserve"> TM"Profit" Набор деревянных чернографитныхкарандашей для черчения 3шт (КЧ-4871) М, ТМ, Т, кратно 48</t>
  </si>
  <si>
    <t>КЧ-4871</t>
  </si>
  <si>
    <t>4665306148717</t>
  </si>
  <si>
    <t>Карандаши вечные</t>
  </si>
  <si>
    <t>ПП-00237967</t>
  </si>
  <si>
    <t>Цветные вечные карандаши, 12 шт, (КЧ-1599) ластик и 12 сменных грифелей в комплекте, в пакете</t>
  </si>
  <si>
    <t>КЦ-1599</t>
  </si>
  <si>
    <t>4670159215387</t>
  </si>
  <si>
    <t>Карандаши механические</t>
  </si>
  <si>
    <t>Грифели для механических карандашей</t>
  </si>
  <si>
    <t>ПП-00137135</t>
  </si>
  <si>
    <t xml:space="preserve"> ТМ "Profit" Грифели для механических карандашей (К-8207) d=0,5 mm, HB, 12 шт. в упак, кратно 24</t>
  </si>
  <si>
    <t>К-8207</t>
  </si>
  <si>
    <t>4665307782071</t>
  </si>
  <si>
    <t>Карандаши механические офисные</t>
  </si>
  <si>
    <t>ПП-00200084</t>
  </si>
  <si>
    <t xml:space="preserve">  ТМ "Profit" Карандаш механический "БЛЕСК" (К-1681), d=0,7, в к/к, кратно 36, инд.ШК</t>
  </si>
  <si>
    <t>К-1681</t>
  </si>
  <si>
    <t>4670159016816</t>
  </si>
  <si>
    <t>02. Ручки шариковые</t>
  </si>
  <si>
    <t xml:space="preserve"> Ручки шариковые офисные </t>
  </si>
  <si>
    <t xml:space="preserve">  TM"Profit" Ручки шариковые офисные</t>
  </si>
  <si>
    <t>ПП-00121556</t>
  </si>
  <si>
    <t xml:space="preserve"> TM"Profit"Ручка шариковая, пластик. грип "BULLET" СИНЯЯ (РШ-7782), d=0,7мм, кр 50, инд.ШК</t>
  </si>
  <si>
    <t>РШ-7782</t>
  </si>
  <si>
    <t>4665306177823</t>
  </si>
  <si>
    <t>ПП-00253020</t>
  </si>
  <si>
    <t>4665306177908</t>
  </si>
  <si>
    <t xml:space="preserve"> Ручки шариковые офисные</t>
  </si>
  <si>
    <t>ПП-00078496</t>
  </si>
  <si>
    <t>Ручка шариковая "СИГМА" СИНЯЯ (РШ-9766) d=0,7, прозрач. корпус,без гриппа, инд.ШК,кратно 12</t>
  </si>
  <si>
    <t>РШ-9766</t>
  </si>
  <si>
    <t>4665303497665</t>
  </si>
  <si>
    <t>ПП-00223670</t>
  </si>
  <si>
    <t>Ручка шариковая CRYSTAL COLORS, синяя (РШ-4744)полупр. корп.,рез.манжет.,d=0,7 мм, микс, инд.ШК,кр12</t>
  </si>
  <si>
    <t>РШ-4744</t>
  </si>
  <si>
    <t>4665308929437</t>
  </si>
  <si>
    <t>ПП-00200214</t>
  </si>
  <si>
    <t>Ручка шариковая автомат "ELEGANCE" СИНЯЯ (РШ-7780) d=0,7, покрытие софт-тач, кратно 50, инд.ШК</t>
  </si>
  <si>
    <t>РШ-7780</t>
  </si>
  <si>
    <t>4665306177809</t>
  </si>
  <si>
    <t>ПП-00224679</t>
  </si>
  <si>
    <t>Ручка шариковая масляная, CURSIVE, СИНЯЯ (РШ-5161) рез грип, пр кор,иг нак,12 шт/ инд.ШК ,кр 12</t>
  </si>
  <si>
    <t>РШ-5161</t>
  </si>
  <si>
    <t>4670159151616</t>
  </si>
  <si>
    <t>03. Набор шариковых ручек</t>
  </si>
  <si>
    <t>ПП-00078490</t>
  </si>
  <si>
    <t xml:space="preserve">  Набор ручек   шариковых (НР-9910) d=0,7 мм, 3шт(2 синих, черная) с проз корп, в пластик.бл,крат 24</t>
  </si>
  <si>
    <t>НР-9910</t>
  </si>
  <si>
    <t>4665303499102</t>
  </si>
  <si>
    <t>ПП-00237445</t>
  </si>
  <si>
    <t xml:space="preserve">  Набор ручек   шариковых (НР-9911) d=0,7 мм, 3шт(2черные,1синяя) с проз корп, в пластик.бл,крат 24</t>
  </si>
  <si>
    <t>НР-9911</t>
  </si>
  <si>
    <t>4670159212454</t>
  </si>
  <si>
    <t>ПП-00186412</t>
  </si>
  <si>
    <t>Набор  ручек шариковых LIONS (НР-4735) 6 шт.,6 цв., в пластик.блист., кратно 24</t>
  </si>
  <si>
    <t>НР-4735</t>
  </si>
  <si>
    <t>4620129747356</t>
  </si>
  <si>
    <t>ПП-00237941</t>
  </si>
  <si>
    <t>Набор ручек подарочных с надписями-пожеланиями для девушек,синие,цв корп,d=0,7мм,открыт,8шт,НР-1471</t>
  </si>
  <si>
    <t>НР-1471</t>
  </si>
  <si>
    <t>4670159214717</t>
  </si>
  <si>
    <t>ПП-00237928</t>
  </si>
  <si>
    <t xml:space="preserve">Набор ручек подарочных со смешными надписями, синие, цв корпус,d=0,7мм,открытки в компл,8шт,НР-1465 </t>
  </si>
  <si>
    <t>НР-1465</t>
  </si>
  <si>
    <t>4670159214656</t>
  </si>
  <si>
    <t>ПП-00237935</t>
  </si>
  <si>
    <t>Набор ручек подарочных со смешными надписями,синие,черн корпус,d=0,7мм,открытки в компл,8шт,НР-1468</t>
  </si>
  <si>
    <t>НР-1468</t>
  </si>
  <si>
    <t>4670159214687</t>
  </si>
  <si>
    <t>ПП-00224684</t>
  </si>
  <si>
    <t>Набор ручек шариковых масляных , CURSIVE, СИНИЕ (РШ-5162) рез грип, полупр кор,иг нак,8 шт/пакет</t>
  </si>
  <si>
    <t>РШ-5162</t>
  </si>
  <si>
    <t>4670159151623</t>
  </si>
  <si>
    <t>ПП-00237942</t>
  </si>
  <si>
    <t>Набор шариковых бумажных ручек с надписями, синие, цветной корпус, d=0,7мм, 24 шт, НР-1472</t>
  </si>
  <si>
    <t>НР-1472</t>
  </si>
  <si>
    <t>4670159214724</t>
  </si>
  <si>
    <t>04. Ручки гелевые</t>
  </si>
  <si>
    <t xml:space="preserve"> Ручки гелевые офисные</t>
  </si>
  <si>
    <t xml:space="preserve">  TM "Legend"Ручки гелевые</t>
  </si>
  <si>
    <t>ПП-00081394</t>
  </si>
  <si>
    <t>TM "Legend"Ручка гелевая СИНЯЯ (РГ-0652) d=0,7,с прозрачным корпусом и резин манжет,в пэт кратно 100</t>
  </si>
  <si>
    <t>РГ-0652</t>
  </si>
  <si>
    <t>4665303506527</t>
  </si>
  <si>
    <t xml:space="preserve"> TM"Profit"Ручки гелевые офисные</t>
  </si>
  <si>
    <t>ПП-00073916</t>
  </si>
  <si>
    <t xml:space="preserve"> TM"Profit"Ручка гелевая КРАСНАЯ (РГ-6838) d=0,5, с прозрачным корпусом, кратно 36, инд. ШК</t>
  </si>
  <si>
    <t>РГ-6838</t>
  </si>
  <si>
    <t>4665302668387</t>
  </si>
  <si>
    <t>ПП-00244179</t>
  </si>
  <si>
    <t>TM"Profit"Ручка гелевая СИНЯЯ (РГ-6833) d=0,5, с полупр корп и резин. держат.,продажа сп</t>
  </si>
  <si>
    <t>РГ-6833</t>
  </si>
  <si>
    <t>4665302668332</t>
  </si>
  <si>
    <t>ПП-00073911</t>
  </si>
  <si>
    <t>TM"Profit"Ручка гелевая СИНЯЯ (РГ-6833) d=0,5, с полупрозрач корп и резиновым держателем,кр36,инд ШК</t>
  </si>
  <si>
    <t>Ручки гелевые стираемые</t>
  </si>
  <si>
    <t>ПП-00224666</t>
  </si>
  <si>
    <t>Ручка гелевая стираемая, СИНЯЯ (РГ-5158) d=0,5мм, игольч наконеч (толщ.лин=0,38мм) , кр 12, инд.ШК</t>
  </si>
  <si>
    <t>РГ-5158</t>
  </si>
  <si>
    <t>4670159151586</t>
  </si>
  <si>
    <t>05. Набор гелевых ручек</t>
  </si>
  <si>
    <t>TM"Legend" Набор гелевых ручек</t>
  </si>
  <si>
    <t>ПП-00200211</t>
  </si>
  <si>
    <t>TM"Legend" Набор ручек гелевых 6шт (РГ-1077) белый целлофановый пакет</t>
  </si>
  <si>
    <t>TM"Profit"Набор гелевых ручек</t>
  </si>
  <si>
    <t>ПП-00078530</t>
  </si>
  <si>
    <t xml:space="preserve">  TM"Profit"Набор ручек гелевых 4шт,4цв,флуоресцентных неоновых (НР-9916) в пластик. блист</t>
  </si>
  <si>
    <t>НР-9916</t>
  </si>
  <si>
    <t>4665303499164</t>
  </si>
  <si>
    <t>ПП-00078529</t>
  </si>
  <si>
    <t xml:space="preserve"> TM"Profit"Набор ручек гелевых 4шт,4цв, с блестками (НР-9915) в пластик. блистере,кратно 24</t>
  </si>
  <si>
    <t>НР-9915</t>
  </si>
  <si>
    <t>4665303499157</t>
  </si>
  <si>
    <t>ПП-00078528</t>
  </si>
  <si>
    <t xml:space="preserve"> TM"Profit"Набор ручек гелевых 4шт,4цв,металлик (НР-9914)  в пластик. блистере, кратно 24</t>
  </si>
  <si>
    <t>НР-9914</t>
  </si>
  <si>
    <t>4665303499140</t>
  </si>
  <si>
    <t>ПП-00078531</t>
  </si>
  <si>
    <t>TM"Profit"Набор ручек гелевых  6шт,6цв,металлик (НР-9917)  в пластик. блистере, кратно 24</t>
  </si>
  <si>
    <t>НР-9917</t>
  </si>
  <si>
    <t>4665303499171</t>
  </si>
  <si>
    <t>ПП-00078532</t>
  </si>
  <si>
    <t>TM"Profit"Набор ручек гелевых 6шт,6цв с блестками (НР-9918)  в пластик. блистере, кратно 24</t>
  </si>
  <si>
    <t>НР-9918</t>
  </si>
  <si>
    <t>4665303499188</t>
  </si>
  <si>
    <t>ПП-00078533</t>
  </si>
  <si>
    <t>TM"Profit"Набор ручек гелевых 6шт,6цв флуоресцентных неоновых  (НР-9919) в пластик. блист, кратно 24</t>
  </si>
  <si>
    <t>НР-9919</t>
  </si>
  <si>
    <t>4665303499195</t>
  </si>
  <si>
    <t>Набор гелевых ручек</t>
  </si>
  <si>
    <t>ПП-00186435</t>
  </si>
  <si>
    <t>Набор ручек  гелевых 8шт,8цв.металлик METALLIC (НР-4738),в пластик.блист,с подвес,кр12</t>
  </si>
  <si>
    <t>НР-4738</t>
  </si>
  <si>
    <t>4620129747387</t>
  </si>
  <si>
    <t>ПП-00186436</t>
  </si>
  <si>
    <t>Набор ручек  гелевых 8шт,8цв.с блестками GLITTER (НР-4739),в пластик.блист,с подвес,кр12</t>
  </si>
  <si>
    <t>НР-4739</t>
  </si>
  <si>
    <t>4620129747394</t>
  </si>
  <si>
    <t>ПП-00186420</t>
  </si>
  <si>
    <t>Набор ручек  гелевых 8шт,8цв.флуорес-ных неоновых NEON (НР-4737),в пластик.блист,с подвес,кр12</t>
  </si>
  <si>
    <t>НР-4737</t>
  </si>
  <si>
    <t>4620129747370</t>
  </si>
  <si>
    <t>ПП-00221276</t>
  </si>
  <si>
    <t>Набор ручек гелевых "WHITE SKETCH", 3 шт., БЕЛЫЕ ЧЕРНИЛА (НР-3363) игольчатый наконечник d=0,5 мм</t>
  </si>
  <si>
    <t>НР-3363</t>
  </si>
  <si>
    <t>4670159133636</t>
  </si>
  <si>
    <t>ПП-00186437</t>
  </si>
  <si>
    <t>Набор ручек гелевых 12шт,12цв металлик METALLIC (НР-4740),в пластик.блистере,с подвесом,кр12</t>
  </si>
  <si>
    <t>НР-4740</t>
  </si>
  <si>
    <t>4620129747400</t>
  </si>
  <si>
    <t>ПП-00193466</t>
  </si>
  <si>
    <t>Набор ручек гелевых 12шт,12цв с блестками GLIITER (РГ-6652),в пластик.блистере,с подвесом, кратно 12</t>
  </si>
  <si>
    <t>РГ-6652</t>
  </si>
  <si>
    <t>4620129765527</t>
  </si>
  <si>
    <t>ПП-00186438</t>
  </si>
  <si>
    <t>Набор ручек гелевых 12шт.,12цв.флуорес-ных неон. NEON (НР-4741),в пластик.блист,с подвес,кр 12</t>
  </si>
  <si>
    <t>НР-4741</t>
  </si>
  <si>
    <t>4620129747417</t>
  </si>
  <si>
    <t>Набор гелевых ручек стираемых</t>
  </si>
  <si>
    <t>ПП-00223677</t>
  </si>
  <si>
    <t>Набор стираемых гелевых ручек 2 шт, СИНИЕ (НР-4751) d=0,7мм,со сменными стержнями 50 шт, ластик 1 шт</t>
  </si>
  <si>
    <t>НР-4751</t>
  </si>
  <si>
    <t>4670159147466</t>
  </si>
  <si>
    <t>06. Ручки капиллярные</t>
  </si>
  <si>
    <t>ПП-00136616</t>
  </si>
  <si>
    <t>Ручка капиллярная СИНЯЯ (РЧК-7810) гексоганальный корпус, d=0,4мм, индив.шк, кратно 12</t>
  </si>
  <si>
    <t>РЧК-7810</t>
  </si>
  <si>
    <t>4665307778104</t>
  </si>
  <si>
    <t>07. Набор капиллярных ручек</t>
  </si>
  <si>
    <t>Набор капиллярных ручек цветных</t>
  </si>
  <si>
    <t>ПП-00186440</t>
  </si>
  <si>
    <t>Набор ручек капиллярных (НР-4742) 8 цв, гексагональный корпус, d=0,4 мм, кр 24</t>
  </si>
  <si>
    <t>НР-4742</t>
  </si>
  <si>
    <t>4620129747424</t>
  </si>
  <si>
    <t>ПП-00186441</t>
  </si>
  <si>
    <t>Набор ручек капиллярных (НР-4743) 12 цв, гексагональный корпус, d=0,4 мм, кр 12</t>
  </si>
  <si>
    <t>НР-4743</t>
  </si>
  <si>
    <t>4620129747431</t>
  </si>
  <si>
    <t>ПП-00186444</t>
  </si>
  <si>
    <t>Набор ручек капиллярных 36 цв. ISTANBUL (НР-4746) гексагональный корпус, d=0,4 мм</t>
  </si>
  <si>
    <t>ПП-00186445</t>
  </si>
  <si>
    <t>Набор ручек капиллярных 48 цв. AMSTERDAM (НР-4747) гексагональный корпус, d=0,4 мм</t>
  </si>
  <si>
    <t>ПП-00186446</t>
  </si>
  <si>
    <t>Набор ручек капиллярных 64 цв. TAJ MAHAL (НР-4748) гексагональный корпус, d=0,4 мм</t>
  </si>
  <si>
    <t>НР-4748</t>
  </si>
  <si>
    <t>4620129747486</t>
  </si>
  <si>
    <t>ПП-00186447</t>
  </si>
  <si>
    <t>Набор ручек капиллярных 80 цв. NEW YORK (НР-4749) гексагональный корпус, d=0,4 мм</t>
  </si>
  <si>
    <t>НР-4749</t>
  </si>
  <si>
    <t>4620129747493</t>
  </si>
  <si>
    <t>09. Маркеры</t>
  </si>
  <si>
    <t>Маркер-краска</t>
  </si>
  <si>
    <t>ПП-00095964</t>
  </si>
  <si>
    <t>Маркер-краска ЗОЛОТИСТЫЙ (МП-3086), 2-4 мм, нитро-основа, кратно 12</t>
  </si>
  <si>
    <t>МП-3086</t>
  </si>
  <si>
    <t>4665306130866</t>
  </si>
  <si>
    <t>ПП-00095965</t>
  </si>
  <si>
    <t>Маркер-краска СЕРЕБРИСТЫЙ (МП-3087), 2-4 мм, нитро-основа, кратно 12</t>
  </si>
  <si>
    <t>МП-3087</t>
  </si>
  <si>
    <t>4665306130873</t>
  </si>
  <si>
    <t>ПП-00095961</t>
  </si>
  <si>
    <t>Маркер-краска СИНИЙ (МП-3088), 2-4 мм, нитро-основа, кратно 12</t>
  </si>
  <si>
    <t>Маркеры перманентные</t>
  </si>
  <si>
    <t>ПП-00068871</t>
  </si>
  <si>
    <t xml:space="preserve">Маркер перманентный СИНИЙ (МП-4201), 2,5мм, кратно 12 </t>
  </si>
  <si>
    <t>МП-4201</t>
  </si>
  <si>
    <t>4665303514522</t>
  </si>
  <si>
    <t>10. Ластик</t>
  </si>
  <si>
    <t>Ластик офисный</t>
  </si>
  <si>
    <t>ПП-00145583</t>
  </si>
  <si>
    <t xml:space="preserve"> Ластик цветной треугольный "BRIGHT TIME" (ЛС-0083), 3 цвета,80*15*15мм, кратно 36шт, инд. ШК</t>
  </si>
  <si>
    <t>ЛС-0083</t>
  </si>
  <si>
    <t>4665308200833</t>
  </si>
  <si>
    <t>11. Линейки</t>
  </si>
  <si>
    <t xml:space="preserve"> TM "Legend"Линейки стальные</t>
  </si>
  <si>
    <t>ПП-00113870</t>
  </si>
  <si>
    <t>TM "Legend"Линейка стальная (Л-1605) 30 см, толщина 0,3 мм, в пвх чехле, инд.ШК, кратно 20</t>
  </si>
  <si>
    <t xml:space="preserve"> TM"Profit"Линейки стальные</t>
  </si>
  <si>
    <t>ПП-00073925</t>
  </si>
  <si>
    <t>TM"Profit"Линейка стальная (Л-6761) 15 см, толщина 0,3 мм, в пвх чехле, кратно 20</t>
  </si>
  <si>
    <t>Л-6761</t>
  </si>
  <si>
    <t>4665302667618</t>
  </si>
  <si>
    <t>ПП-00073926</t>
  </si>
  <si>
    <t>TM"Profit"Линейка стальная (Л-6762) 20 см, толщина 0,3 мм, в пвх чехле, кратно 20</t>
  </si>
  <si>
    <t>Л-6762</t>
  </si>
  <si>
    <t>4665302667625</t>
  </si>
  <si>
    <t>466-5-302-66762-5</t>
  </si>
  <si>
    <t>ПП-00073928</t>
  </si>
  <si>
    <t>TM"Profit"Линейка стальная (Л-6764) 50 см, толщина 0,3 мм, в пвх чехле, инд.ШК, кратно 20</t>
  </si>
  <si>
    <t>Л-6764</t>
  </si>
  <si>
    <t>4665302667649</t>
  </si>
  <si>
    <t>466-5-302-66764-9</t>
  </si>
  <si>
    <t xml:space="preserve"> Линейки стальные</t>
  </si>
  <si>
    <t>ПП-00113866</t>
  </si>
  <si>
    <t>Линейка стальная (Л-0739) 20 см, толщина 0,5 мм, в пвх чехле, инд.ШК, кратно 12</t>
  </si>
  <si>
    <t>Л-0739</t>
  </si>
  <si>
    <t>4665299607390</t>
  </si>
  <si>
    <t>ПП-00060967</t>
  </si>
  <si>
    <t>Линейка стальная (Л-0741) 50 см, толщина 0,5 мм, в пвх чехле, инд.ШК, кратно 12</t>
  </si>
  <si>
    <t>Л-0741</t>
  </si>
  <si>
    <t>4665299607413</t>
  </si>
  <si>
    <t>12. Точилки для карандашей</t>
  </si>
  <si>
    <t xml:space="preserve">  Точилки для карандашей офисные</t>
  </si>
  <si>
    <t>TM"Profit" Точилки для карандашей офисные</t>
  </si>
  <si>
    <t xml:space="preserve"> TM"Profit" Точилки для карандашей офисные ручные</t>
  </si>
  <si>
    <t>ПП-00072464</t>
  </si>
  <si>
    <t xml:space="preserve"> TM"Profit"Точилка для карандашей 1 отв (ТК-5602)без контейн,пласт. прямоугол., в пласт. тубе,крат72</t>
  </si>
  <si>
    <t>ТК-5602</t>
  </si>
  <si>
    <t>4665302656025</t>
  </si>
  <si>
    <t>ПП-00072469</t>
  </si>
  <si>
    <t xml:space="preserve"> TM"Profit"Точилка для карандашей 1 отв (ТК-5604)пластмассовая с конт.,в пластик.тубе,ассорти,крат48</t>
  </si>
  <si>
    <t>ТК-5604</t>
  </si>
  <si>
    <t>4665302656049</t>
  </si>
  <si>
    <t>Точилки для карандашей офисные</t>
  </si>
  <si>
    <t xml:space="preserve">  Точилки офисные ручные</t>
  </si>
  <si>
    <t>ПП-00072465</t>
  </si>
  <si>
    <t xml:space="preserve">      Точилка для карандашей 1 отв (ТК-5605)с контейнером,пластмассовая, в картон. короб, крат 24</t>
  </si>
  <si>
    <t>ТК-5605</t>
  </si>
  <si>
    <t>4670159134633</t>
  </si>
  <si>
    <t>ПП-00111737</t>
  </si>
  <si>
    <t xml:space="preserve">      Точилка для карандашей 1 отв (ТК-6328)пластик, эргономичная форма,ассорти,крат 80</t>
  </si>
  <si>
    <t>ТК-6328</t>
  </si>
  <si>
    <t>4665306163284</t>
  </si>
  <si>
    <t>ПП-00197588</t>
  </si>
  <si>
    <t xml:space="preserve">    Точилка для карандашей 2 отв (ТК-0328) с контейнером, пластмассовая, ассорти, крат12</t>
  </si>
  <si>
    <t>ТК-0328</t>
  </si>
  <si>
    <t>4670159003281</t>
  </si>
  <si>
    <t>ПП-00197591</t>
  </si>
  <si>
    <t xml:space="preserve">    Точилка для карандашей 2 отв (ТК-0331) с контейнером, пластмассовая, ассорти, крат12</t>
  </si>
  <si>
    <t>ТК-0331</t>
  </si>
  <si>
    <t>4670159003311¶</t>
  </si>
  <si>
    <t>4670159003311</t>
  </si>
  <si>
    <t>ПП-00197592</t>
  </si>
  <si>
    <t xml:space="preserve">    Точилка для карандашей 2 отв (ТК-0332) с контейнером, пластмассовая, ассорти, крат12</t>
  </si>
  <si>
    <t>ТК-0332</t>
  </si>
  <si>
    <t>4670159003328</t>
  </si>
  <si>
    <t>ПП-00197593</t>
  </si>
  <si>
    <t xml:space="preserve">    Точилка для карандашей 2 отв (ТК-0333) с контейнером, пластмассовая, ассорти, крат12</t>
  </si>
  <si>
    <t>ТК-0333</t>
  </si>
  <si>
    <t>4670159003335</t>
  </si>
  <si>
    <t>ПП-00197595</t>
  </si>
  <si>
    <t xml:space="preserve">    Точилка для карандашей 2 отв (ТК-0335) с контейнером, пластмассовая, ассорти, крат12</t>
  </si>
  <si>
    <t>ТК-0335</t>
  </si>
  <si>
    <t>4670159003359</t>
  </si>
  <si>
    <t>ПП-00197596</t>
  </si>
  <si>
    <t xml:space="preserve">    Точилка для карандашей 2 отв (ТК-0336) с контейнером, пластмассовая, ассорти, крат12</t>
  </si>
  <si>
    <t>ТК-0336</t>
  </si>
  <si>
    <t>4670159003366</t>
  </si>
  <si>
    <t>ПП-00197598</t>
  </si>
  <si>
    <t xml:space="preserve">    Точилка для карандашей 2 отв (ТК-0341) с контейнером, пластмассовая, ассорти, крат12</t>
  </si>
  <si>
    <t>ТК-0341</t>
  </si>
  <si>
    <t>4670159003410</t>
  </si>
  <si>
    <t>ПП-00095980</t>
  </si>
  <si>
    <t xml:space="preserve"> Точилка для карандашей 2 отверстия (ТК-3538) с контейнером пластмассовая сердечко, ассорти,крат 12</t>
  </si>
  <si>
    <t>ТК-3538</t>
  </si>
  <si>
    <t>4665306135380</t>
  </si>
  <si>
    <t>Точилки офисные механические, электрические</t>
  </si>
  <si>
    <t>ПП-00186358</t>
  </si>
  <si>
    <t xml:space="preserve"> TM"Profit"Точилка для карандашей механическая 1 отв (ТК-4647) пластик корп, d = 8 мм, голубой/белый</t>
  </si>
  <si>
    <t>ТК-4647</t>
  </si>
  <si>
    <t>4620129746472</t>
  </si>
  <si>
    <t>ПП-00186363</t>
  </si>
  <si>
    <t xml:space="preserve"> Точилка для карандашей механическая на струбцине (ТК-4648) пластик корпус, черный</t>
  </si>
  <si>
    <t>ТК-4648</t>
  </si>
  <si>
    <t>4620129746489</t>
  </si>
  <si>
    <t>ПП-00186364</t>
  </si>
  <si>
    <t>Точилка для карандашей механическая 1 отвестие, d=8мм (ТК-4649) пластик корпус, черный/синий</t>
  </si>
  <si>
    <t>ТК-4649</t>
  </si>
  <si>
    <t>4620129746496</t>
  </si>
  <si>
    <t>ПП-00186365</t>
  </si>
  <si>
    <t>Точилка для карандашей механическая 1 отвестие, d=8мм (ТК-4650) пластик корпус, черный/бордо</t>
  </si>
  <si>
    <t>ТК-4650</t>
  </si>
  <si>
    <t>4620129746502</t>
  </si>
  <si>
    <t>ПП-00186366</t>
  </si>
  <si>
    <t>Точилка для карандашей механическая 1 отвестие, d=8мм (ТК-4651) пластик корпус, серый</t>
  </si>
  <si>
    <t>ТК-4651</t>
  </si>
  <si>
    <t>4620129746519</t>
  </si>
  <si>
    <t>ПП-00193032</t>
  </si>
  <si>
    <t>Точилка для карандашей механическая 1 отвестие, d=8мм (ТК-7971) пластик корпус, розовый</t>
  </si>
  <si>
    <t>ТК-7971</t>
  </si>
  <si>
    <t>4620129779715</t>
  </si>
  <si>
    <t>ПП-00193033</t>
  </si>
  <si>
    <t>Точилка для карандашей механическая 1 отвестие, d=8мм (ТК-7972) пластик корпус, голубой</t>
  </si>
  <si>
    <t>ТК-7972</t>
  </si>
  <si>
    <t>4620129779722</t>
  </si>
  <si>
    <t>ПП-00200883</t>
  </si>
  <si>
    <t>Точилка электрическая 1 отверстие (ТК-2201) с контейнером, USB кабель, голубой</t>
  </si>
  <si>
    <t>ТК-2201</t>
  </si>
  <si>
    <t>4670159022015</t>
  </si>
  <si>
    <t>ПП-00200884</t>
  </si>
  <si>
    <t>Точилка электрическая 1 отверстие (ТК-2202) с контейнером, USB кабель, розовый</t>
  </si>
  <si>
    <t>ТК-2202</t>
  </si>
  <si>
    <t>4670159022022</t>
  </si>
  <si>
    <t>ПП-00154265</t>
  </si>
  <si>
    <t>Точилка электрическая 1 отверстие (ТК-8053) с контейнером, бело-зеленый</t>
  </si>
  <si>
    <t>ТК-8053</t>
  </si>
  <si>
    <t>4680088480534</t>
  </si>
  <si>
    <t>ПП-00095987</t>
  </si>
  <si>
    <t>Точилка электрическая 2 отверстия(ТК-3548) с контейнером, серебристо-белый</t>
  </si>
  <si>
    <t>ТК-3548</t>
  </si>
  <si>
    <t>4665306135489</t>
  </si>
  <si>
    <t xml:space="preserve"> Точилки для карандашей детские</t>
  </si>
  <si>
    <t>TM"Profit" Точилки для карандашей детские</t>
  </si>
  <si>
    <t>TM"Profit" Точилки для карандашей детские механические</t>
  </si>
  <si>
    <t>ПП-00095996</t>
  </si>
  <si>
    <t xml:space="preserve">   TM"Profit"Точилка механическая 1 отв  СОВЯТА (ТК-3555) с контейнером  ассорти </t>
  </si>
  <si>
    <t>ТК-3555</t>
  </si>
  <si>
    <t>4665306135557</t>
  </si>
  <si>
    <t>ПП-00111783</t>
  </si>
  <si>
    <t xml:space="preserve">TM"Profit"Точилка механическая 1 отв РОБОТ 8,5х10х10 (ТК-6395) с контейнером  ассорти </t>
  </si>
  <si>
    <t>ТК-6395</t>
  </si>
  <si>
    <t>4665306163956</t>
  </si>
  <si>
    <t>Точилки для карандашей детские механические</t>
  </si>
  <si>
    <t>ПП-00145734</t>
  </si>
  <si>
    <t xml:space="preserve">Точилка механическая 1 отв  ОЛЕНЬИ РОЖКИ 119х82х114 (ТК-0133) с контейнером, ассорти </t>
  </si>
  <si>
    <t>ТК-0133</t>
  </si>
  <si>
    <t>4665308201335</t>
  </si>
  <si>
    <t>ПП-00145737</t>
  </si>
  <si>
    <t xml:space="preserve">Точилка механическая 1 отв КОСМОНАВТ 119х97х128 (ТК-0134) с контейнером, ассорти </t>
  </si>
  <si>
    <t>ТК-0134</t>
  </si>
  <si>
    <t>4665308201342</t>
  </si>
  <si>
    <t>ПП-00163498</t>
  </si>
  <si>
    <t>Точилка механическая 1 отв ОТВАЖНЫЙ СПАСАТЕЛЬ (ТК-0138/зеленая) с контейнером</t>
  </si>
  <si>
    <t>ТК-0138/зеленая</t>
  </si>
  <si>
    <t>4610144834087</t>
  </si>
  <si>
    <t>ПП-00163497</t>
  </si>
  <si>
    <t>Точилка механическая 1 отв ОТВАЖНЫЙ СПАСАТЕЛЬ (ТК-0138/синяя) с контейнером</t>
  </si>
  <si>
    <t>ТК-0138/синяя</t>
  </si>
  <si>
    <t>4610144834070</t>
  </si>
  <si>
    <t>ПП-00163496</t>
  </si>
  <si>
    <t>Точилка механическая 1 отв ОТВАЖНЫЙ СПАСАТЕЛЬ (ТК-0138/черная) с контейнером</t>
  </si>
  <si>
    <t>ТК-0138/черная</t>
  </si>
  <si>
    <t>4610144834063</t>
  </si>
  <si>
    <t>ПП-00145742</t>
  </si>
  <si>
    <t xml:space="preserve">Точилка механическая 1 отв ПАСТЕЛЬ 111х75х134 (ТК-0136) с контейнером, ассорти </t>
  </si>
  <si>
    <t>ТК-0136</t>
  </si>
  <si>
    <t>4665308201366</t>
  </si>
  <si>
    <t>ПП-00145751</t>
  </si>
  <si>
    <t xml:space="preserve">Точилка механическая 1 отв УДИВЛЕННЫЙ РОБОТ 87х87х98 (ТК-0139) с контейнером, ассорти </t>
  </si>
  <si>
    <t>ТК-0139</t>
  </si>
  <si>
    <t>4665308201397</t>
  </si>
  <si>
    <t>13. Готовальни и грифели</t>
  </si>
  <si>
    <t xml:space="preserve">   TM "Profit" Готовальни</t>
  </si>
  <si>
    <t>ПП-00151842</t>
  </si>
  <si>
    <t>ТМ "Profit" Готовальня (ГТ-5778) (2 предмета)</t>
  </si>
  <si>
    <t>ГТ-5778</t>
  </si>
  <si>
    <t>4680088457789</t>
  </si>
  <si>
    <t>ПП-00151843</t>
  </si>
  <si>
    <t>ТМ "Profit" Готовальня (ГТ-5779) (3 предмета)</t>
  </si>
  <si>
    <t>ГТ-5779</t>
  </si>
  <si>
    <t>4680088457796</t>
  </si>
  <si>
    <t>ПП-00226019</t>
  </si>
  <si>
    <t>ТМ "Profit" Готовальня (ГТ-5779) (3 предмета) (!)</t>
  </si>
  <si>
    <t>ПП-00151844</t>
  </si>
  <si>
    <t>ТМ "Profit" Готовальня (ГТ-5780) (5 предметов)</t>
  </si>
  <si>
    <t>ГТ-5780</t>
  </si>
  <si>
    <t>4680088457802</t>
  </si>
  <si>
    <t>ПП-00226020</t>
  </si>
  <si>
    <t>ТМ "Profit" Готовальня (ГТ-5780) (5 предметов) (!)</t>
  </si>
  <si>
    <t xml:space="preserve"> Грифели</t>
  </si>
  <si>
    <t>ПП-00239649</t>
  </si>
  <si>
    <t>Грифели для чертежных инструментов (КЧ-2014), д 2мм, длина 17мм, 2 пенала по 4шт в карт. бл,кр 30</t>
  </si>
  <si>
    <t>КЧ-2014</t>
  </si>
  <si>
    <t>4670159220145</t>
  </si>
  <si>
    <t>Prof-Press Готовальни</t>
  </si>
  <si>
    <t>ПП-00120628</t>
  </si>
  <si>
    <t xml:space="preserve">  Циркуль метал. пластик (Ц-4063), 115мм, в пластиковом цветном чехле, ассорти, кратно 24</t>
  </si>
  <si>
    <t>Ц-4063</t>
  </si>
  <si>
    <t>4665307740637</t>
  </si>
  <si>
    <t>ПП-00188071</t>
  </si>
  <si>
    <t xml:space="preserve">  Циркуль метал. пластик COLOR LINE (Ц-4671), с колпачком, в пластиковом кейсе. цвета мик, кратно 12</t>
  </si>
  <si>
    <t>Ц-4671</t>
  </si>
  <si>
    <t>4620129746717</t>
  </si>
  <si>
    <t>ПП-00188075</t>
  </si>
  <si>
    <t xml:space="preserve">  Циркуль метал. пластик PASTEL LINE (Ц-4674), метал. пластик,115мм,в пластик/ цветном чехле,кр 24</t>
  </si>
  <si>
    <t>Ц-4674</t>
  </si>
  <si>
    <t>4620129746748</t>
  </si>
  <si>
    <t>ПП-00060976</t>
  </si>
  <si>
    <t xml:space="preserve"> Готовальня  (ГТ-0747) (2 предмета)</t>
  </si>
  <si>
    <t>ГТ-0747</t>
  </si>
  <si>
    <t>4665299607475</t>
  </si>
  <si>
    <t>ПП-00188072</t>
  </si>
  <si>
    <t xml:space="preserve"> Готовальня  (Ц-4672) (2 предмета) BLACK LINE циркуль, дополнительный графит в пенале.цвета микс</t>
  </si>
  <si>
    <t>Ц-4672</t>
  </si>
  <si>
    <t>4620129746724</t>
  </si>
  <si>
    <t>ПП-00218969</t>
  </si>
  <si>
    <t xml:space="preserve"> Готовальня (Ц-4673) (3 предмета) BLACK LINE циркуль, доп. графит в пенале, точилка.цвета микс (!)</t>
  </si>
  <si>
    <t>Ц-4673</t>
  </si>
  <si>
    <t>4620129746731</t>
  </si>
  <si>
    <t>ПП-00188073</t>
  </si>
  <si>
    <t xml:space="preserve"> Готовальня (Ц-4673) (3 предмета) BLACK LINE циркуль, дополнит графит в пенале, точилка.цвета микс</t>
  </si>
  <si>
    <t>ПП-00060972</t>
  </si>
  <si>
    <t>Готовальня (ГТ-0749) (5 предметов)</t>
  </si>
  <si>
    <t>ГТ-0749</t>
  </si>
  <si>
    <t>4665299607499</t>
  </si>
  <si>
    <t>ПП-00074781</t>
  </si>
  <si>
    <t>Готовальня (ГТ-0751) (7 предметов)</t>
  </si>
  <si>
    <t>ГТ-0751</t>
  </si>
  <si>
    <t>4665299607512</t>
  </si>
  <si>
    <t>ПП-00120626</t>
  </si>
  <si>
    <t>Готовальня (ГТ-4061) (4 предмета)</t>
  </si>
  <si>
    <t>ПП-00252893</t>
  </si>
  <si>
    <t>Готовальня (Ц-4673) (3 предмета) BLACK LINE циркуль, доп. графит в пенале, точилка.цв. микс КИТАЙ (!</t>
  </si>
  <si>
    <t>ПП-00074782</t>
  </si>
  <si>
    <t>Готовальня(ГТ-0750) (8 предметов)</t>
  </si>
  <si>
    <t>ГТ-0750</t>
  </si>
  <si>
    <t>4665299607505</t>
  </si>
  <si>
    <t>19. Сопутствующая продукция</t>
  </si>
  <si>
    <t>Пленка для ламинирования</t>
  </si>
  <si>
    <t>ПП-00220260</t>
  </si>
  <si>
    <t xml:space="preserve"> Пленка для ламинирования, глянцевая, 100шт., толщина 75 мкр, размер А4, 216*303 мм (ПЛЛ-2652)</t>
  </si>
  <si>
    <t>ПЛЛ-2652</t>
  </si>
  <si>
    <t>4670159126522</t>
  </si>
  <si>
    <t>04. ТОВАРЫ ДЛЯ ТВОРЧЕСТВА И ХОББИ</t>
  </si>
  <si>
    <t>01. Карандаши цветные</t>
  </si>
  <si>
    <t xml:space="preserve"> Карандаши цветные (пластик)</t>
  </si>
  <si>
    <t xml:space="preserve"> TM "Legend" Карандаши цветные (пластик)</t>
  </si>
  <si>
    <t xml:space="preserve"> TM "Legend" Карандаши цветные (пластик) 6 цв</t>
  </si>
  <si>
    <t>ПП-00145788</t>
  </si>
  <si>
    <t>TM"Legend"Карандаши цветн. пл, набор,гексаг. 6цв. КЛАССИКА (КЦ-0215) в пакете, кратно 24</t>
  </si>
  <si>
    <t>КЦ-0215</t>
  </si>
  <si>
    <t>4665308202158</t>
  </si>
  <si>
    <t>ПП-00142457</t>
  </si>
  <si>
    <t>TM"Legend"Карандаши цветн. пл, набор,гексаг. 6цв. МУЛЬТИКИ (КЦ-8324)в пакете, кратно 24</t>
  </si>
  <si>
    <t>КЦ-8324</t>
  </si>
  <si>
    <t>4665308183242</t>
  </si>
  <si>
    <t>TM "Legend" Карандаши цветные (пластик) 12 цв</t>
  </si>
  <si>
    <t>ПП-00142460</t>
  </si>
  <si>
    <t>TM"Legend"Карандаши цветн. пл, набор,гексаг. 12цв.  ВЕРНЫЕ ДРУЗЬЯ (КЦ-8327) в пакете, кратно 12</t>
  </si>
  <si>
    <t>КЦ-8327</t>
  </si>
  <si>
    <t>4665308183273</t>
  </si>
  <si>
    <t>ПП-00142459</t>
  </si>
  <si>
    <t>TM"Legend"Карандаши цветн. пл, набор,гексаг. 12цв.  МУЛЬТИКИ (КЦ-8326) в пакете, кратно 12</t>
  </si>
  <si>
    <t>КЦ-8326</t>
  </si>
  <si>
    <t>4665308183266</t>
  </si>
  <si>
    <t>02. Карандаши цветные (пластик) 12 цв.</t>
  </si>
  <si>
    <t>ПП-00243647</t>
  </si>
  <si>
    <t>Карандаши цветн пластик 2М,набор гексаг. 12цв. КОРОНА (КЦ-9300), гриф.d=3,0mm, в к/к, кратно 12</t>
  </si>
  <si>
    <t>КЦ-9300</t>
  </si>
  <si>
    <t>4670159233008</t>
  </si>
  <si>
    <t>ПП-00243650</t>
  </si>
  <si>
    <t>Карандаши цветн пластик 2М,набор гексаг. 12цв. КРАСНОЕ АВТО (КЦ-9303) гриф.d=3,0mm, в к/к, кратно 12</t>
  </si>
  <si>
    <t>КЦ-9303</t>
  </si>
  <si>
    <t>4670159233039</t>
  </si>
  <si>
    <t>ПП-00223404</t>
  </si>
  <si>
    <t>Карандаши цветн пластик.2М,набор,гексаг. 12цв. ВНЕДОРОЖНИК (КЦ-4713) гриф.d=3мм,в карт.кор,кр 12</t>
  </si>
  <si>
    <t>КЦ-4713</t>
  </si>
  <si>
    <t>4670159147138</t>
  </si>
  <si>
    <t>03. Карандаши цветные (пластик) 18 цв.</t>
  </si>
  <si>
    <t>ПП-00243651</t>
  </si>
  <si>
    <t>Карандаши цв. пластик 2М,набор,гексаг.18цв. КРАСНОЕ АВТО (КЦ-9304) гриф.d=3,0mm, в к/к, кратно 8</t>
  </si>
  <si>
    <t>КЦ-9304</t>
  </si>
  <si>
    <t>4670159233046</t>
  </si>
  <si>
    <t>04. Карандаши цветные (пластик) 24 цв.</t>
  </si>
  <si>
    <t>ПП-00243652</t>
  </si>
  <si>
    <t>Карандаши цветн пластик.2М,наб,гексаг. 24цв. КРАСНОЕ АВТО (КЦ-9305) гриф.d=3мм,в карт.кор,кр6</t>
  </si>
  <si>
    <t>КЦ-9305</t>
  </si>
  <si>
    <t>4670159233053</t>
  </si>
  <si>
    <t>Карандаши пастельные гексагональные (пластик)</t>
  </si>
  <si>
    <t>ПП-00207293</t>
  </si>
  <si>
    <t>Карандаши цв. пастельные ВЕСЁЛЫЙ ПИКНИК пластик,набор,гекс.18цв. (КЦ-4400) гриф.d=2,8мм,в к/к, кр 8</t>
  </si>
  <si>
    <t>КЦ-4400</t>
  </si>
  <si>
    <t>4670159044000</t>
  </si>
  <si>
    <t>ПП-00244139</t>
  </si>
  <si>
    <t>Карандаши цв. пастельные ЛЕТАЮШИЙ ОСТРОВ пластик,набор,гекс.12цв. (КЦ-3878) d=3мм,в к/к, кр 12</t>
  </si>
  <si>
    <t>КЦ-3878</t>
  </si>
  <si>
    <t>4670159238782</t>
  </si>
  <si>
    <t>Карандаши цветные рисунок на корпусе (пластик)</t>
  </si>
  <si>
    <t>ПП-00226959</t>
  </si>
  <si>
    <t>Карандаши цветные УРБАН, черный пластик (КЦ-6226), принт на корпусе,трехгр,набор12цв,d=3мм,кр 12</t>
  </si>
  <si>
    <t>КЦ-6226</t>
  </si>
  <si>
    <t>4670159162261</t>
  </si>
  <si>
    <t>Карандаши цветные (дерево)</t>
  </si>
  <si>
    <t xml:space="preserve">   TM "Legend" Карандаши цветные (дерево)</t>
  </si>
  <si>
    <t xml:space="preserve"> TM "Legend" Карандаши цветные (дерево) 6 цв</t>
  </si>
  <si>
    <t>ПП-00142462</t>
  </si>
  <si>
    <t>TM"Legend"Карандаши цветн,деревян.набор,гексаг. 6цв. МУЛЬТИКИ (КЦ-8329) в пакете, кратно 24</t>
  </si>
  <si>
    <t>КЦ-8329</t>
  </si>
  <si>
    <t>4665308183297</t>
  </si>
  <si>
    <t>ПП-00142463</t>
  </si>
  <si>
    <t>TM"Legend"Карандаши цветн,деревян.набор,гексаг. 6цв. ШКОЛА - ПРОСТО КОСМОС (КЦ-8330) в пакете, кр 24</t>
  </si>
  <si>
    <t>КЦ-8330</t>
  </si>
  <si>
    <t>4665308183303</t>
  </si>
  <si>
    <t>TM "Legend" Карандаши цветные (дерево) 12 цв</t>
  </si>
  <si>
    <t>ПП-00142464</t>
  </si>
  <si>
    <t>TM"Legend"Карандаши цветн,деревян.набор,гексаг. 12цв. МУЛЬТИКИ (КЦ-8331)в пакете, кратно 12</t>
  </si>
  <si>
    <t>КЦ-8331</t>
  </si>
  <si>
    <t>4665308183310</t>
  </si>
  <si>
    <t xml:space="preserve">  TM "Profit" Карандаши цветные (дерево)</t>
  </si>
  <si>
    <t xml:space="preserve"> TM "Profit" Карандаши цветные (дерево) 6 цв.</t>
  </si>
  <si>
    <t>ПП-00242804</t>
  </si>
  <si>
    <t>TM"Profit"Карандаши цветн,набор,гексаг. 6цв. СПОРТКАР (КЦ-2632) гриф.d=2,8мм,в к/к, кр48</t>
  </si>
  <si>
    <t>КЦ-2632</t>
  </si>
  <si>
    <t>4670159226321</t>
  </si>
  <si>
    <t>TM "Profit" Карандаши цветные (дерево) 12 цв.</t>
  </si>
  <si>
    <t>ПП-00223392</t>
  </si>
  <si>
    <t>TM"Profit"Карандаши цветн,набор,гексаг. 12цв. ГОРОДСКОЙ ТРАМВАЙ (КЦ-4708)гриф.d=2,65мм,в к/к,кр12</t>
  </si>
  <si>
    <t>КЦ-4708</t>
  </si>
  <si>
    <t>4670159147084</t>
  </si>
  <si>
    <t>ПП-00242807</t>
  </si>
  <si>
    <t>TM"Profit"Карандаши цветн,набор,гексаг. 12цв. КОШАЧЬЯ ПРОГУЛКА (КЦ-2635)гриф.d=2,8мм,в к/к,кр24</t>
  </si>
  <si>
    <t>КЦ-2635</t>
  </si>
  <si>
    <t>4670159226352</t>
  </si>
  <si>
    <t>ПП-00242806</t>
  </si>
  <si>
    <t>TM"Profit"Карандаши цветн,набор,гексаг. 12цв. СПОРТКАР (КЦ-2634)гриф.d=2,8мм,в к/к,кр24</t>
  </si>
  <si>
    <t>КЦ-2634</t>
  </si>
  <si>
    <t>4670159226345</t>
  </si>
  <si>
    <t>TM "Profit" Карандаши цветные (дерево) 24 цв.</t>
  </si>
  <si>
    <t>ПП-00223400</t>
  </si>
  <si>
    <t>TM"Profit"Карандаши цветн,набор,гексаг. 24цв. БАЛКАНСКИЙ ПЕЙЗАЖ (КЦ-4712) гриф.d=2,65мм,в к/к,6</t>
  </si>
  <si>
    <t>КЦ-4712</t>
  </si>
  <si>
    <t>4670159147121</t>
  </si>
  <si>
    <t>ПП-00243051</t>
  </si>
  <si>
    <t>TM"Profit"Карандаши цветн,набор,гексаг. 24цв. КОШАЧЬЯ ПРОГУЛКА (КЦ-2638) гриф.d=2,8мм,в к/к,кр12</t>
  </si>
  <si>
    <t>КЦ-2638</t>
  </si>
  <si>
    <t>4670159226383</t>
  </si>
  <si>
    <t>ПП-00242809</t>
  </si>
  <si>
    <t>TM"Profit"Карандаши цветн,набор,гексаг. 24цв. СПОРТКАР (КЦ-2637) гриф.d=2,8мм,в к/к,кр12</t>
  </si>
  <si>
    <t>КЦ-2637</t>
  </si>
  <si>
    <t>4670159226376</t>
  </si>
  <si>
    <t>TM "Profit" Карандаши цветные (дерево) 36 цв.</t>
  </si>
  <si>
    <t>ПП-00242810</t>
  </si>
  <si>
    <t>TM"Profit"Карандаши цветн,набор,гексаг. 36цв. ШКОЛЬНЫЕ БУДНИ (КЦ-3017) гриф.d=2,8мм,в к/к, кр 6</t>
  </si>
  <si>
    <t>КЦ-3017</t>
  </si>
  <si>
    <t>4670159230175</t>
  </si>
  <si>
    <t xml:space="preserve">  Карандаши цветные (дерево)</t>
  </si>
  <si>
    <t xml:space="preserve"> Карандаши цветные (дерево) 6 цв.</t>
  </si>
  <si>
    <t>ПП-00243844</t>
  </si>
  <si>
    <t>Карандаши цветные, 6 цв, дерево MINI FRIENDS (КЦ-3706) набор, гексаг, 2М, гриф. d=3мм, в к/к, кр 24</t>
  </si>
  <si>
    <t>КЦ-3706</t>
  </si>
  <si>
    <t>4670159237068</t>
  </si>
  <si>
    <t>ПП-00223414</t>
  </si>
  <si>
    <t>Карандаши цветные,набор,гексаг. 6цв. КАПИБАРЫ (КЦ-4717) гриф.d=3мм,в к/к, кратно 24</t>
  </si>
  <si>
    <t>КЦ-4717</t>
  </si>
  <si>
    <t>4670159147176</t>
  </si>
  <si>
    <t>Карандаши цветные (дерево) 12 цв.</t>
  </si>
  <si>
    <t>ПП-00245393</t>
  </si>
  <si>
    <t>Карандаши цв. с двухцвет. грифелем, набор 12 цв., ПОПУГАЙЧИК (КЦ-4386) гекс., d=3мм, в к/к,кратно 12</t>
  </si>
  <si>
    <t>КЦ-4386</t>
  </si>
  <si>
    <t>4670159243861</t>
  </si>
  <si>
    <t>ПП-00243845</t>
  </si>
  <si>
    <t>Карандаши цветные, 12 цв, дерево MINI FRIENDS (КЦ-3707) набор, гексаг, 2М, гриф. d=3мм, в к/к, кр 12</t>
  </si>
  <si>
    <t>КЦ-3707</t>
  </si>
  <si>
    <t>4670159237075</t>
  </si>
  <si>
    <t>ПП-00223416</t>
  </si>
  <si>
    <t>Карандаши цветные,набор,гексаг. 12цв. КАПИБАРЫ (КЦ-4718) гриф.d=3мм,в к/к, кратно 12</t>
  </si>
  <si>
    <t>КЦ-4718</t>
  </si>
  <si>
    <t>4670159147183</t>
  </si>
  <si>
    <t>Карандаши цветные (дерево) 24 цв.</t>
  </si>
  <si>
    <t>ПП-00226989</t>
  </si>
  <si>
    <t>Карандаши цветные 24 цв. ПОЛЯРНЫЙ МИР (КЦ-6289) мягкие, дерево, гексаг,гриф.d=3мм, в к/к,кр12</t>
  </si>
  <si>
    <t>КЦ-6289</t>
  </si>
  <si>
    <t>4670159162896</t>
  </si>
  <si>
    <t>Карандаши цветные (дерево) 36 цв.</t>
  </si>
  <si>
    <t>ПП-00226990</t>
  </si>
  <si>
    <t>Карандаши цветные 36 цв. МОРСКОЙ МИР (КЦ-6290) мягкие,дерево, гексаг, гриф.d=3мм, в к/к,,кр8</t>
  </si>
  <si>
    <t>КЦ-6290</t>
  </si>
  <si>
    <t>4670159162902</t>
  </si>
  <si>
    <t xml:space="preserve">  Карандаши цветные трехгранные (дерево)</t>
  </si>
  <si>
    <t xml:space="preserve">  Карандаши цветные трехгранные (дерево) 6 цв.</t>
  </si>
  <si>
    <t>ПП-00223445</t>
  </si>
  <si>
    <t>Карандаши цветные трехгранные, деревянные 6 цв. ДЖАМБО.ЛЕСНЫЕ ДРУЗЬЯ (КЦ-4736) d=5мм,в к/к,кр 24</t>
  </si>
  <si>
    <t>КЦ-4736</t>
  </si>
  <si>
    <t>4670159147367</t>
  </si>
  <si>
    <t xml:space="preserve"> Карандаши цветные трехгранные (дерево) 12 цв.</t>
  </si>
  <si>
    <t>ПП-00223444</t>
  </si>
  <si>
    <t>Карандаши цветные трехгранные, деревянные 12цв. ДЖАМБО.ЛЕСНЫЕ ДРУЗЬЯ (КЦ-4737) d=5мм, в к/к,кр 12</t>
  </si>
  <si>
    <t>КЦ-4737</t>
  </si>
  <si>
    <t>4670159147374</t>
  </si>
  <si>
    <t>Карандаши цветные трехгранные (дерево) 18 цв.</t>
  </si>
  <si>
    <t>ПП-00223436</t>
  </si>
  <si>
    <t>Карандаши цветные трехгранные 18цв. КАК ЭТО ПОНИМАТЬ? (КЦ-4730) гриф.d=3мм,в к/к. кр 8</t>
  </si>
  <si>
    <t>КЦ-4730</t>
  </si>
  <si>
    <t>4670159147305</t>
  </si>
  <si>
    <t>Карандаши цветные трехгранные (дерево) 24 цв.</t>
  </si>
  <si>
    <t>ПП-00226964</t>
  </si>
  <si>
    <t>Карандаши цветные трехгранные 24 цв.мягкие ARTCLUB (КЦ-6229) черное дерево, 8М,d=3мм,кр 6,в к/к</t>
  </si>
  <si>
    <t>КЦ-6229</t>
  </si>
  <si>
    <t>4670159162292</t>
  </si>
  <si>
    <t>ПП-00223438</t>
  </si>
  <si>
    <t>Карандаши цветные трехгранные 24цв. НЕ ТОРМОЗИ, ПОКОРМИ (КЦ-4731) гриф.d=3мм,в к/к. кратно 6</t>
  </si>
  <si>
    <t>КЦ-4731</t>
  </si>
  <si>
    <t>4670159147312</t>
  </si>
  <si>
    <t xml:space="preserve"> Карандаши неоновые, гексагональные (дерево)</t>
  </si>
  <si>
    <t>ПП-00223448</t>
  </si>
  <si>
    <t>Карандаши цв. НЕОНОВЫЙ ГОРОД, неоновые и классич (КЦ-4740),трехгран.,наб12 цв,d=3мм,2М,в к/к,кр12</t>
  </si>
  <si>
    <t>КЦ-4740</t>
  </si>
  <si>
    <t>4670159147404</t>
  </si>
  <si>
    <t>ПП-00223449</t>
  </si>
  <si>
    <t>Карандаши цв. НЕОНОВЫЙ ГОРОД, неоновые и классич (КЦ-4741),трехгран.,наб18 цв,d=3мм,2М,в к/к,кр 8</t>
  </si>
  <si>
    <t>КЦ-4741</t>
  </si>
  <si>
    <t>4670159147411</t>
  </si>
  <si>
    <t>ПП-00244138</t>
  </si>
  <si>
    <t>Карандаши цв. НЕОНОВЫЙ ДРАКОН, неоновые и классич (КЦ-3877),трехгран.,наб18 цв,d=3мм,2М,в к/к,кр 8</t>
  </si>
  <si>
    <t>КЦ-3877</t>
  </si>
  <si>
    <t>4670159238775</t>
  </si>
  <si>
    <t xml:space="preserve"> Карандаши цветные акварельные (дерево)</t>
  </si>
  <si>
    <t>ПП-00226962</t>
  </si>
  <si>
    <t>Карандаши цв. акварельные 24 цв.мягкие ARTCLUB (КЦ-6228) черное дерево мет.кейс,6М,круглые,d=4мм,кр4</t>
  </si>
  <si>
    <t>КЦ-6228</t>
  </si>
  <si>
    <t>4670159162285</t>
  </si>
  <si>
    <t>ПП-00245394</t>
  </si>
  <si>
    <t>Карандаши цв.акварел.,12 цв. ТУМАННЫЙ ГОРОД (КЦ-4387) гекс,точилка и кисточка в наб,d=3мм,в к/к,кр12</t>
  </si>
  <si>
    <t>КЦ-4387</t>
  </si>
  <si>
    <t>4670159243878</t>
  </si>
  <si>
    <t>ПП-00245395</t>
  </si>
  <si>
    <t>Карандаши цв.акварел.,18 цв. ОСЕННИЙ ЗАМОК (КЦ-4388) гекс,точилка и кисточка в наб,d=3мм,в к/к,кр 8</t>
  </si>
  <si>
    <t>КЦ-4388</t>
  </si>
  <si>
    <t>4670159243885</t>
  </si>
  <si>
    <t>Карандаши цветные  Джамбо, с точилкой, утолщ, европ. (дерево)</t>
  </si>
  <si>
    <t>ПП-00223450</t>
  </si>
  <si>
    <t>Карандаши цветные,12 цв. ВЕСЕЛЫЕ ЖИВОТНЫЕ (КЦ-4742) точилка в наборе, трехгр. d=5 мм, в к/к,кр12</t>
  </si>
  <si>
    <t>КЦ-4742</t>
  </si>
  <si>
    <t>4670159147428</t>
  </si>
  <si>
    <t>Карандаши цветные  с наклейками внутри (дерево)</t>
  </si>
  <si>
    <t>ПП-00223451</t>
  </si>
  <si>
    <t>Карандаши цветные деревянные,12 цв. СМЕШНЫЕ ФРУКТЫ (КЦ-4743) наклейки в наборе,d=2,6мм,в к/к,кр12</t>
  </si>
  <si>
    <t>КЦ-4743</t>
  </si>
  <si>
    <t>4670159147435</t>
  </si>
  <si>
    <t>Карандаши цветные двусторонние, трехгранные (дерево)</t>
  </si>
  <si>
    <t>ПП-00207318</t>
  </si>
  <si>
    <t>Карандаши цв. двусторонние, трехгранные 12шт, 24цв. РИСУЙ И ТВОРИ (КЦ-5009) в к/к, кратно 12</t>
  </si>
  <si>
    <t>КЦ-5009</t>
  </si>
  <si>
    <t>4670159050094</t>
  </si>
  <si>
    <t>ПП-00207319</t>
  </si>
  <si>
    <t>Карандаши цв. двусторонние, трехгранные 18шт,36цв. РИСУЙ И ТВОРИ (КЦ-5010) в к/к, кратно 8</t>
  </si>
  <si>
    <t>КЦ-5010</t>
  </si>
  <si>
    <t>4670159050100</t>
  </si>
  <si>
    <t>02. Фломастеры</t>
  </si>
  <si>
    <t xml:space="preserve">  TM "Legend" Фломастеры невентилируемые (блистер)</t>
  </si>
  <si>
    <t>ПП-00179625</t>
  </si>
  <si>
    <t>TM "Legend" Фломастеры невентилируемые 12цв. ДИНОЗАВРИКИ (ФВ-1403) в блистере, кратно 12</t>
  </si>
  <si>
    <t>ФВ-1403</t>
  </si>
  <si>
    <t>4620129714037</t>
  </si>
  <si>
    <t>ПП-00242496</t>
  </si>
  <si>
    <t>Фломастеры с вентилируемым  колпачком 18цв. КОРОНА (ФВ-2560) в пласт. блистере, кратно 12</t>
  </si>
  <si>
    <t>ФВ-2560</t>
  </si>
  <si>
    <t>4670159225607</t>
  </si>
  <si>
    <t xml:space="preserve"> Фломастеры вентилируемые (карт. коробка)</t>
  </si>
  <si>
    <t>Фломастеры вентилируемые (карт. коробка) 18 цв.</t>
  </si>
  <si>
    <t>ПП-00242505</t>
  </si>
  <si>
    <t>Фломастеры с вентилир колпачком 18цв. BLACK ANIME (ФВ-2569) в карт.короб с подвесом,кратно 12</t>
  </si>
  <si>
    <t>ФВ-2569</t>
  </si>
  <si>
    <t>4670159225690</t>
  </si>
  <si>
    <t xml:space="preserve">Фломастеры Оригинальные </t>
  </si>
  <si>
    <t>Фломастеры с кисточкой, вентилируемые, круглые, в жестком кейсе</t>
  </si>
  <si>
    <t>ПП-00213046</t>
  </si>
  <si>
    <t>Фломастеры с кисточкой с вентилир. колпачком 24шт. TRAVEL (ФЛ-8515), жёсткий кейс, кратно 12</t>
  </si>
  <si>
    <t>ФЛ-8515</t>
  </si>
  <si>
    <t>4670159085157</t>
  </si>
  <si>
    <t>03. Краски</t>
  </si>
  <si>
    <t>Акварель</t>
  </si>
  <si>
    <t>ПП-00185566</t>
  </si>
  <si>
    <t xml:space="preserve">   TM"Profit" Краски акварельные (КА-2985), в картонной упаковке, 6 цв., б/к</t>
  </si>
  <si>
    <t>КА-2985</t>
  </si>
  <si>
    <t>4620129729857</t>
  </si>
  <si>
    <t>ПП-00185563</t>
  </si>
  <si>
    <t xml:space="preserve">  TM"Profit" Краски акварельные (КА-2774), в картонной упаковке, 12 цв., б/к</t>
  </si>
  <si>
    <t>КА-2774</t>
  </si>
  <si>
    <t>4620129727747</t>
  </si>
  <si>
    <t>ПП-00197232</t>
  </si>
  <si>
    <t xml:space="preserve"> Краски акварельные медовые (КА-8555) 6 цв. п/к, б/к</t>
  </si>
  <si>
    <t>КА-8555</t>
  </si>
  <si>
    <t>4620129785556</t>
  </si>
  <si>
    <t>ПП-00278098</t>
  </si>
  <si>
    <t>Краски акварельные (КА-0997) 21 цвет</t>
  </si>
  <si>
    <t>КА-0997</t>
  </si>
  <si>
    <t>4670159309970</t>
  </si>
  <si>
    <t>Гуашь</t>
  </si>
  <si>
    <t>ПП-00185564</t>
  </si>
  <si>
    <t xml:space="preserve">    TM"Profit" Краски гуашевые (КГ-2983) 6 цв. 10 мл.</t>
  </si>
  <si>
    <t>КГ-2983</t>
  </si>
  <si>
    <t>4620129729833</t>
  </si>
  <si>
    <t>ПП-00185561</t>
  </si>
  <si>
    <t xml:space="preserve">   Краски гуашевые (КГ-2773) 6 цв. 20 мл.</t>
  </si>
  <si>
    <t>КГ-2773</t>
  </si>
  <si>
    <t>4620129727730</t>
  </si>
  <si>
    <t>ПП-00278112</t>
  </si>
  <si>
    <t>Краски гуашевые (КГ-0866) 12 цв 10мл блок-тара</t>
  </si>
  <si>
    <t>КГ-0866</t>
  </si>
  <si>
    <t>4670159308669</t>
  </si>
  <si>
    <t>Краски акриловые</t>
  </si>
  <si>
    <t>Краски акриловые художественные</t>
  </si>
  <si>
    <t>Краски акриловые художественные в баночках</t>
  </si>
  <si>
    <t>ПП-00237148</t>
  </si>
  <si>
    <t>Краски акриловые художественные профессиональные Fly Way</t>
  </si>
  <si>
    <t>ПП-00234090</t>
  </si>
  <si>
    <t>TM"FlyWay" Краска акриловая худож. матовая проф.серия (АК-9501) белила титановые 2шт,75мл, в пл.тубе</t>
  </si>
  <si>
    <t>АК-9501</t>
  </si>
  <si>
    <t>4670159195016</t>
  </si>
  <si>
    <t>ПП-00234080</t>
  </si>
  <si>
    <t>TM"FlyWay" Краски акриловые художественные матовые проф.серия (АК-9498) набор 6цв,75мл,в пласт.тубе</t>
  </si>
  <si>
    <t>АК-9498</t>
  </si>
  <si>
    <t>4670159194989</t>
  </si>
  <si>
    <t>ПП-00234084</t>
  </si>
  <si>
    <t>TM"FlyWay" Краски акриловые художественные матовые проф.серия (АК-9499) набор 12цв,75мл,в пласт.тубе</t>
  </si>
  <si>
    <t>АК-9499</t>
  </si>
  <si>
    <t>4670159194996</t>
  </si>
  <si>
    <t>04. Мелки восковые</t>
  </si>
  <si>
    <t>TM "Profit"Мелки восковые</t>
  </si>
  <si>
    <t xml:space="preserve"> TM "Profit" ДЖАМБО Мелки восковые 6 цв.</t>
  </si>
  <si>
    <t>ПП-00223199</t>
  </si>
  <si>
    <t>TM"Profit"Набор восковых мелков Джамбо для дет.твор МОПСЫ (ШМ-4526),6цв в к/к с подв, кр 24</t>
  </si>
  <si>
    <t>ШМ-4526</t>
  </si>
  <si>
    <t>4670159145264</t>
  </si>
  <si>
    <t>TM "Profit" ДЖАМБО Мелки восковые 12 цв.</t>
  </si>
  <si>
    <t>ПП-00223200</t>
  </si>
  <si>
    <t>TM "Profit"Набор восковых мелков Джамбо для дет.твор. СПЕЦТЕХНИКА (ШМ-4527) 12цв в к/к с подв, кр 24</t>
  </si>
  <si>
    <t>ШМ-4527</t>
  </si>
  <si>
    <t>4670159145271</t>
  </si>
  <si>
    <t>Мелки восковые</t>
  </si>
  <si>
    <t xml:space="preserve">   Мелки восковые 24 цв.</t>
  </si>
  <si>
    <t>ПП-00223211</t>
  </si>
  <si>
    <t xml:space="preserve">Набор восковых мелков для детского творчества.ВЕСЁЛЫЙ ЗООПАРК (ШМ-4537) 24 цв.в карт.кор с подв </t>
  </si>
  <si>
    <t>ШМ-4537</t>
  </si>
  <si>
    <t>4670159145370</t>
  </si>
  <si>
    <t>06. Кисти, наборы кистей</t>
  </si>
  <si>
    <t>TM"Legend"Наборы кистей</t>
  </si>
  <si>
    <t>ПП-00095959</t>
  </si>
  <si>
    <t xml:space="preserve"> TM"Legend"Набор кистей (щетина круглая №4,8, плоская №14) (НК-3229) 3 шт., крат 12</t>
  </si>
  <si>
    <t>НК-3229</t>
  </si>
  <si>
    <t>4665306132297</t>
  </si>
  <si>
    <t>TM"Profit"Наборы кистей</t>
  </si>
  <si>
    <t>ПП-00071929</t>
  </si>
  <si>
    <t xml:space="preserve">  TM"Profit" Набор кистей (белка №1,3,6) (НК-5557) 3 шт., деревянная ручка, крат 12</t>
  </si>
  <si>
    <t>НК-5557</t>
  </si>
  <si>
    <t>4665302655578</t>
  </si>
  <si>
    <t>ПП-00071931</t>
  </si>
  <si>
    <t xml:space="preserve"> TM"Profit" Набор кистей (коза №2,3,4,5,6) (НК-5559) 5 шт., деревянная ручка, крат 12</t>
  </si>
  <si>
    <t>НК-5559</t>
  </si>
  <si>
    <t>4665302655592</t>
  </si>
  <si>
    <t>ПП-00071934</t>
  </si>
  <si>
    <t>TM"Profit"Набор кистей (синтетика №1,2,3,4,5) (НК-5562) 5 шт., деревянная ручка, крат 12</t>
  </si>
  <si>
    <t>НК-5562</t>
  </si>
  <si>
    <t>4665302655622</t>
  </si>
  <si>
    <t>Кисти детские</t>
  </si>
  <si>
    <t>ПП-00182416</t>
  </si>
  <si>
    <t>Детская кисть щетина круглая 1 шт (НК-2924) кратно 25</t>
  </si>
  <si>
    <t>НК-2924</t>
  </si>
  <si>
    <t>4620129729246</t>
  </si>
  <si>
    <t>ПП-00182408</t>
  </si>
  <si>
    <t>Кисть с резервуаром для воды 6 шт (нейлон.круглая 1,2,3; плоская 4,7,10) (НК-2922) кратно 10</t>
  </si>
  <si>
    <t>НК-2922</t>
  </si>
  <si>
    <t>4620129729222</t>
  </si>
  <si>
    <t>Наборы кистей</t>
  </si>
  <si>
    <t>ПП-00182177</t>
  </si>
  <si>
    <t>Набор кистей (щетина круг.№3,5,7; щетина плоская №4,9) (НК-2814) 5 шт,деревянная ручка, кратно 12</t>
  </si>
  <si>
    <t>НК-2814</t>
  </si>
  <si>
    <t>4620129728140</t>
  </si>
  <si>
    <t>08. Маркеры для скетчинга</t>
  </si>
  <si>
    <t>ПП-00220968</t>
  </si>
  <si>
    <t xml:space="preserve">  Набор  маркеров двуст для скетчинга GREY TONES 6шт. (МП-2161) скош/пулев наконечники, черный корп</t>
  </si>
  <si>
    <t>МП-2161</t>
  </si>
  <si>
    <t>4670159121619</t>
  </si>
  <si>
    <t>ПП-00220969</t>
  </si>
  <si>
    <t xml:space="preserve">  Набор  маркеров двуст для скетчинга NUDE TONES 6шт. (МП-2162) скош/пулев наконечники, черный корп</t>
  </si>
  <si>
    <t>МП-2162</t>
  </si>
  <si>
    <t>4670159121626</t>
  </si>
  <si>
    <t>ПП-00154427</t>
  </si>
  <si>
    <t xml:space="preserve"> Набор   маркеров двуст для скетчинга FLOWERS TONES 24шт.(МП-7943) скош/пулев наконеч</t>
  </si>
  <si>
    <t>МП-7943</t>
  </si>
  <si>
    <t>4680088479439</t>
  </si>
  <si>
    <t>ПП-00154428</t>
  </si>
  <si>
    <t xml:space="preserve"> Набор   маркеров двуст для скетчинга IN COLOR BALANCE 24цв. (МП-7944) скош/пул након</t>
  </si>
  <si>
    <t>МП-7944</t>
  </si>
  <si>
    <t>4680088479446</t>
  </si>
  <si>
    <t>ПП-00154431</t>
  </si>
  <si>
    <t xml:space="preserve"> Набор маркеров двуст для скетчинга FANTASY TONES 48шт. (МП-7946) скош/пулев наконеч</t>
  </si>
  <si>
    <t>МП-7946</t>
  </si>
  <si>
    <t>4680088479460</t>
  </si>
  <si>
    <t>ПП-00222991</t>
  </si>
  <si>
    <t>Маркеры  для скетчинга двуст COLORFUL TONES 80шт. (МП-4051) скош/пул након,блендер в компл,черн корп</t>
  </si>
  <si>
    <t>МП-4051</t>
  </si>
  <si>
    <t>4670159140511</t>
  </si>
  <si>
    <t>ПП-00220964</t>
  </si>
  <si>
    <t>Маркеры  для скетчинга двуст COLORFUL TONES 96шт. (МП-2880) скош/пул нак,бленд в ком, черный корпус</t>
  </si>
  <si>
    <t>МП-2880</t>
  </si>
  <si>
    <t>4670159128809</t>
  </si>
  <si>
    <t>09. Маркеры акриловые для творчества</t>
  </si>
  <si>
    <t>ПП-00223727</t>
  </si>
  <si>
    <t>Акриловые маркеры двуст., набор 20 шт (МП-4862), 2 белых цв., 5 металлик цв., в к/к</t>
  </si>
  <si>
    <t>МП-4862</t>
  </si>
  <si>
    <t>4670159148623</t>
  </si>
  <si>
    <t>10. Холсты</t>
  </si>
  <si>
    <t>ПП-00237382</t>
  </si>
  <si>
    <t>Набор холстов для рисования на картоне 20х20 шт, 5 шт, Х-1213</t>
  </si>
  <si>
    <t>Х-1213</t>
  </si>
  <si>
    <t>4670159212133</t>
  </si>
  <si>
    <t>ПП-00237384</t>
  </si>
  <si>
    <t>Набор холстов для рисования на картоне 20х30 шт, 5 шт, Х-1214</t>
  </si>
  <si>
    <t>Х-1214</t>
  </si>
  <si>
    <t>4670159212140</t>
  </si>
  <si>
    <t>ПП-00237386</t>
  </si>
  <si>
    <t>Набор холстов для рисования на картоне, 17 шт +1 холст на магните, Х-1215</t>
  </si>
  <si>
    <t>Х-1215</t>
  </si>
  <si>
    <t>4670159212157</t>
  </si>
  <si>
    <t>ПП-00237370</t>
  </si>
  <si>
    <t>Набор холстов для рисования на подрамнике 20х30 см, 2 шт, Х-1207</t>
  </si>
  <si>
    <t>Х-1207</t>
  </si>
  <si>
    <t>4670159212072</t>
  </si>
  <si>
    <t>ПП-00237379</t>
  </si>
  <si>
    <t>Набор холстов для рисования на подрамнике 20х30, 30х40, 40х50 см, 3 шт, Х-1212</t>
  </si>
  <si>
    <t>Х-1212</t>
  </si>
  <si>
    <t>4670159212126</t>
  </si>
  <si>
    <t>ПП-00237374</t>
  </si>
  <si>
    <t>Набор холстов для рисования на подрамнике 30х40 см, 2 шт, Х-1209</t>
  </si>
  <si>
    <t>Х-1209</t>
  </si>
  <si>
    <t>4670159212096</t>
  </si>
  <si>
    <t>ПП-00237377</t>
  </si>
  <si>
    <t>Набор холстов для рисования на подрамнике 40х50 см, 2 шт, Х-1211</t>
  </si>
  <si>
    <t>Х-1211</t>
  </si>
  <si>
    <t>4670159212119</t>
  </si>
  <si>
    <t>05. ШКОЛЬНЫЕ ПРИНАДЛЕЖНОСТИ</t>
  </si>
  <si>
    <t>02. Ножницы детские</t>
  </si>
  <si>
    <t xml:space="preserve"> TM"Profit"Ножницы детские</t>
  </si>
  <si>
    <t>ПП-00216706</t>
  </si>
  <si>
    <t>TM "Profit" Ножницы детские, зелёно-жёлтые. МОНСТРИКИ, 13 см (НЖ-1151) с фигур.лезв,в к/б, кр 12/480</t>
  </si>
  <si>
    <t>НЖ-1151</t>
  </si>
  <si>
    <t>4670159111511</t>
  </si>
  <si>
    <t>ПП-00216712</t>
  </si>
  <si>
    <t>TM"Profit" Ножницы детские, жёлто-зелёные. КОАЛА 13,5 см (НЖ-1157)пласт лез,ручк с усил,к/б,кр12/480</t>
  </si>
  <si>
    <t>НЖ-1157</t>
  </si>
  <si>
    <t>4670159111573</t>
  </si>
  <si>
    <t xml:space="preserve"> Ножницы детские</t>
  </si>
  <si>
    <t>ПП-00216687</t>
  </si>
  <si>
    <t>Ножницы детские  12 см. САФАРИ-ЖИРАФ (НЖ-1148) пластиковые, в картон. блистере, кратно 12</t>
  </si>
  <si>
    <t>НЖ-1148</t>
  </si>
  <si>
    <t>4670159111481</t>
  </si>
  <si>
    <t>ПП-00216689</t>
  </si>
  <si>
    <t>Ножницы детские  12 см. САФАРИ-ЗЕБРА (НЖ-1150) пластиковые, в картон. блистере, кратно 12</t>
  </si>
  <si>
    <t>НЖ-1150</t>
  </si>
  <si>
    <t>4670159111504</t>
  </si>
  <si>
    <t>ПП-00216688</t>
  </si>
  <si>
    <t>Ножницы детские  12 см. САФАРИ-ХАМЕЛЕОН (НЖ-1149) пластиковые, в картон. блистере, кратно 12</t>
  </si>
  <si>
    <t>НЖ-1149</t>
  </si>
  <si>
    <t>4670159111498</t>
  </si>
  <si>
    <t>ПП-00151758</t>
  </si>
  <si>
    <t>Ножницы детские  12 см. ТИГРУЛЯ (НЖ-4259), пластик. лезвия, фигурные кольца,в карт. блист, кратно 12</t>
  </si>
  <si>
    <t>НЖ-4259</t>
  </si>
  <si>
    <t>4680088442594</t>
  </si>
  <si>
    <t>ПП-00216595</t>
  </si>
  <si>
    <t>Ножницы детские 13 см. ЧЕРНЫЙ КОТИК (НЖ-1095) пластиковые кольца, в блистере, кратно 24</t>
  </si>
  <si>
    <t>НЖ-1095</t>
  </si>
  <si>
    <t>4670159110958</t>
  </si>
  <si>
    <t>04. Органайзеры для канцелярских принадлежностей детские</t>
  </si>
  <si>
    <t>ПП-00245555</t>
  </si>
  <si>
    <t>Органайзер для канц. принадлежностей (с наклейками) розовый 11.7*14.3*27.8 см, ЗБ-1483</t>
  </si>
  <si>
    <t>ЗБ-1483</t>
  </si>
  <si>
    <t>4670159214830</t>
  </si>
  <si>
    <t>ПП-00245551</t>
  </si>
  <si>
    <t>Органайзер для канц. принадлежностей (с наклейками) розовый 22*11.5*9 см, ЗБ-1479</t>
  </si>
  <si>
    <t>ЗБ-1479</t>
  </si>
  <si>
    <t>4670159214793</t>
  </si>
  <si>
    <t>ПП-00245546</t>
  </si>
  <si>
    <t>Органайзер для канц. принадлежностей (со стикерами и 3D фигурками) розовый 19.6*14.2*10 см, ЗБ-1475</t>
  </si>
  <si>
    <t>ЗБ-1475</t>
  </si>
  <si>
    <t>4670159214755</t>
  </si>
  <si>
    <t>06. ПЛАСТМАССОВАЯ ПРОДУКЦИЯ (собственное производство)</t>
  </si>
  <si>
    <t>Доска для лепки</t>
  </si>
  <si>
    <t>Доска для лепки А4</t>
  </si>
  <si>
    <t>ПП-00066331</t>
  </si>
  <si>
    <t xml:space="preserve"> TM"Profit" ДОСКА  ДЛЯ ЛЕПКИ С БОРТОМ А4, белая (ДЛ-4992), стикер</t>
  </si>
  <si>
    <t>ДЛ-4992</t>
  </si>
  <si>
    <t>4665302649928</t>
  </si>
  <si>
    <t>ПП-00245764</t>
  </si>
  <si>
    <t xml:space="preserve"> TM"Profit" ДОСКА ДЛЯ ЛЕПКИ С БОРТОМ А4, черная (ДЛ-4508), стикер</t>
  </si>
  <si>
    <t>ДЛ-4508</t>
  </si>
  <si>
    <t>4670159245087</t>
  </si>
  <si>
    <t>ПП-00068551</t>
  </si>
  <si>
    <t xml:space="preserve"> TM"Profit" ДОСКА ДЛЯ ЛЕПКИ С ВЫЕМКАМИ А4 ассорти -2 (ДЛ-5418), стикер, кратно 10</t>
  </si>
  <si>
    <t>4665302654182</t>
  </si>
  <si>
    <t>ПП-00066330</t>
  </si>
  <si>
    <t>ДОСКА    ДЛЯ ЛЕПКИ С БОРТОМ А4, белая (ДЛ-4991)</t>
  </si>
  <si>
    <t>ДЛ-4991</t>
  </si>
  <si>
    <t>4665302649911</t>
  </si>
  <si>
    <t>ПП-00143120</t>
  </si>
  <si>
    <t>ДОСКА   ДЛЯ ЛЕПКИ  С БОРТОМ А4, Цвета прованса ассорти (ДЛ-1367)</t>
  </si>
  <si>
    <t>ДЛ-1367</t>
  </si>
  <si>
    <t>4680088413679</t>
  </si>
  <si>
    <t>ПП-00066323</t>
  </si>
  <si>
    <t>ДОСКА   ДЛЯ ЛЕПКИ  С ВЫЕМКАМИ А4 + 2 стека (ДЛ-4984)</t>
  </si>
  <si>
    <t>ДЛ-4984</t>
  </si>
  <si>
    <t>4665302649843</t>
  </si>
  <si>
    <t>ПП-00136657</t>
  </si>
  <si>
    <t>ДОСКА   ДЛЯ ЛЕПКИ  С ВЫЕМКАМИ А4, Цвета Прованса ассорти (ДЛ-0436)</t>
  </si>
  <si>
    <t>ДЛ-0436</t>
  </si>
  <si>
    <t>4680088404363</t>
  </si>
  <si>
    <t>ПП-00137104</t>
  </si>
  <si>
    <t>ДОСКА   ДЛЯ ЛЕПКИ  С ВЫЕМКАМИ А4, Цвета Флуоресцентные ассорти (ДЛ-0491)</t>
  </si>
  <si>
    <t>ДЛ-0491</t>
  </si>
  <si>
    <t>4680088404912</t>
  </si>
  <si>
    <t>ПП-00066329</t>
  </si>
  <si>
    <t>ДОСКА   ДЛЯ ЛЕПКИ С БОРТОМ А4 + 2 стека, белая (ДЛ-4990)</t>
  </si>
  <si>
    <t>ДЛ-4990</t>
  </si>
  <si>
    <t>4665302649904</t>
  </si>
  <si>
    <t>ПП-00142726</t>
  </si>
  <si>
    <t>ДОСКА ДЛЯ ЛЕПКИ С БОРТОМ А4, флуоресцентные Ассорти (ДЛ-1314)</t>
  </si>
  <si>
    <t>ДЛ-1314</t>
  </si>
  <si>
    <t xml:space="preserve">4680088413143  </t>
  </si>
  <si>
    <t>Доска для лепки А5</t>
  </si>
  <si>
    <t>ПП-00066334</t>
  </si>
  <si>
    <t xml:space="preserve">  TM"Profit"  ДОСКА ДЛЯ ЛЕПКИ БЕЗ БОРТА А5, белая (ДЛ-4995), стикер</t>
  </si>
  <si>
    <t>ДЛ-4995</t>
  </si>
  <si>
    <t>4665302649959</t>
  </si>
  <si>
    <t>ПП-00069084</t>
  </si>
  <si>
    <t xml:space="preserve">  TM"Profit" ДОСКА ДЛЯ ЛЕПКИ БЕЗ БОРТА А5, белая (ДЛ-4994)</t>
  </si>
  <si>
    <t>ДЛ-4994</t>
  </si>
  <si>
    <t>4665302649942</t>
  </si>
  <si>
    <t>ПП-00068552</t>
  </si>
  <si>
    <t xml:space="preserve">  TM"Profit" ДОСКА ДЛЯ ЛЕПКИ С ВЫЕМКАМИ А5 ассорти -2 (ДЛ-5419), стикер, кратно 10</t>
  </si>
  <si>
    <t>ДЛ-5419</t>
  </si>
  <si>
    <t>4665302654199</t>
  </si>
  <si>
    <t>ПП-00066332</t>
  </si>
  <si>
    <t>ДОСКА  ДЛЯ ЛЕПКИ БЕЗ БОРТА А5 + 2 стека, белая (ДЛ-4993)</t>
  </si>
  <si>
    <t>ДЛ-4993</t>
  </si>
  <si>
    <t>4665302649935</t>
  </si>
  <si>
    <t>ПП-00066327</t>
  </si>
  <si>
    <t>ДОСКА  ДЛЯ ЛЕПКИ С ВЫЕМКАМИ А5, ассорти (ДЛ-4988)</t>
  </si>
  <si>
    <t>ДЛ-4988</t>
  </si>
  <si>
    <t>4665302649881</t>
  </si>
  <si>
    <t>ПП-00066326</t>
  </si>
  <si>
    <t>ДОСКА ДЛЯ ЛЕПКИ С ВЫЕМКАМИ А5 + 2 стека (ДЛ-4987)</t>
  </si>
  <si>
    <t>ДЛ-4987</t>
  </si>
  <si>
    <t>4665302649874</t>
  </si>
  <si>
    <t>ПП-00111672</t>
  </si>
  <si>
    <t>Набор лекал ПРОЗРАЧНЫЕ ТОНИРОВАННЫЕ (Л-6218) в европодвесе 25,17,12 см</t>
  </si>
  <si>
    <t>Л-6218</t>
  </si>
  <si>
    <t>4607978062182</t>
  </si>
  <si>
    <t>Лотки для бумаг</t>
  </si>
  <si>
    <t>ПП-00148641</t>
  </si>
  <si>
    <t xml:space="preserve">Лоток вертикальный СТАНДАРТ- БИРЮЗА (ЛК-3170)    280х100х245    </t>
  </si>
  <si>
    <t>ЛК-3170</t>
  </si>
  <si>
    <t>4680088432564</t>
  </si>
  <si>
    <t>ПП-00165238</t>
  </si>
  <si>
    <t>Лоток вертикальный СТАНДАРТ- ДЫМЧАТЫЙ. ГРАФИТ (ЛК-3324) 280х100х245</t>
  </si>
  <si>
    <t>ЛК-3324</t>
  </si>
  <si>
    <t>4610144833240</t>
  </si>
  <si>
    <t>ПП-00165236</t>
  </si>
  <si>
    <t>Лоток вертикальный СТАНДАРТ- ДЫМЧАТЫЙ.ЛАЗУРЬ (ЛК-3323) 280х100х245</t>
  </si>
  <si>
    <t>ЛК-3323</t>
  </si>
  <si>
    <t>4610144833233</t>
  </si>
  <si>
    <t>ПП-00148638</t>
  </si>
  <si>
    <t xml:space="preserve">Лоток вертикальный СТАНДАРТ- ЛАВАНДА (ЛК-3168)   280х100х245    </t>
  </si>
  <si>
    <t>ЛК-3168</t>
  </si>
  <si>
    <t>4680088432540</t>
  </si>
  <si>
    <t>ПП-00148612</t>
  </si>
  <si>
    <t xml:space="preserve">Лоток вертикальный СТАНДАРТ- МЯТА (ЛК-3166)  280х100х245    </t>
  </si>
  <si>
    <t>ЛК-3166</t>
  </si>
  <si>
    <t>4680088431666</t>
  </si>
  <si>
    <t>ПП-00148639</t>
  </si>
  <si>
    <t xml:space="preserve">Лоток вертикальный СТАНДАРТ- ПЕНКА (ЛК-3169)     280х100х245    </t>
  </si>
  <si>
    <t>ЛК-3169</t>
  </si>
  <si>
    <t>4680088432557</t>
  </si>
  <si>
    <t>ПП-00103468</t>
  </si>
  <si>
    <t xml:space="preserve">Лоток вертикальный СТАНДАРТ- СЕРЫЙ (ЛК-5132) 280х100х245    </t>
  </si>
  <si>
    <t>ЛК-5132</t>
  </si>
  <si>
    <t>4665306151328</t>
  </si>
  <si>
    <t>ПП-00103467</t>
  </si>
  <si>
    <t xml:space="preserve">Лоток вертикальный СТАНДАРТ- ЧЕРНЫЙ (ЛК-5131)    280х100х245    </t>
  </si>
  <si>
    <t>ЛК-5131</t>
  </si>
  <si>
    <t>4665306151311</t>
  </si>
  <si>
    <t>ПП-00165262</t>
  </si>
  <si>
    <t>Лоток горизонтальный ОФИС - ДЫМЧАТЫЙ. ГРАФИТ (ЛК-3328) 62х340х250</t>
  </si>
  <si>
    <t>ЛК-3328</t>
  </si>
  <si>
    <t>4610144833288</t>
  </si>
  <si>
    <t>ПП-00165259</t>
  </si>
  <si>
    <t>Лоток горизонтальный ОФИС - ДЫМЧАТЫЙ. ЛАЗУРЬ (ЛК-3327) 62х340х250</t>
  </si>
  <si>
    <t>ЛК-3327</t>
  </si>
  <si>
    <t>4610144833271</t>
  </si>
  <si>
    <t>ПП-00165264</t>
  </si>
  <si>
    <t>Лоток горизонтальный ОФИС - ДЫМЧАТЫЙ. НЕФРИТ (ЛК-3329) 62х340х250</t>
  </si>
  <si>
    <t>ЛК-3329</t>
  </si>
  <si>
    <t>4610144833295</t>
  </si>
  <si>
    <t>ПП-00148649</t>
  </si>
  <si>
    <t>Лоток горизонтальный ОФИС- БИРЮЗА (ЛК-3173) 62х340х250</t>
  </si>
  <si>
    <t>ЛК-3173</t>
  </si>
  <si>
    <t>4680088432595</t>
  </si>
  <si>
    <t>ПП-00148644</t>
  </si>
  <si>
    <t>Лоток горизонтальный ОФИС- ЛАВАНДА (ЛК-3171) 62х340х250</t>
  </si>
  <si>
    <t>ЛК-3171</t>
  </si>
  <si>
    <t>4680088432571</t>
  </si>
  <si>
    <t>ПП-00148614</t>
  </si>
  <si>
    <t>Лоток горизонтальный ОФИС- МЯТА (ЛК-3167) 62х340х250</t>
  </si>
  <si>
    <t>ЛК-3167</t>
  </si>
  <si>
    <t>4680088431673</t>
  </si>
  <si>
    <t>ПП-00150987</t>
  </si>
  <si>
    <t>Лоток горизонтальный ОФИС- МЯТА ЛК-3167  62х340х250 МП*</t>
  </si>
  <si>
    <t>4670159332909</t>
  </si>
  <si>
    <t>ПП-00103465</t>
  </si>
  <si>
    <t>Лоток горизонтальный ОФИС- СЕРЫЙ (ЛК-5129) 62х340х250</t>
  </si>
  <si>
    <t>ЛК-5129</t>
  </si>
  <si>
    <t>4665306151298</t>
  </si>
  <si>
    <t>ПП-00103464</t>
  </si>
  <si>
    <t>Лоток горизонтальный ОФИС- ЧЕРНЫЙ (ЛК-5128) 62х340х250</t>
  </si>
  <si>
    <t>ЛК-5128</t>
  </si>
  <si>
    <t>4665306151281</t>
  </si>
  <si>
    <t>Набор для черчения</t>
  </si>
  <si>
    <t>ПП-00148632</t>
  </si>
  <si>
    <t>Набор чертежный средний (НЧ-3171) (треуг.12см,16см, линейка 20 см, транспортир),прозр. цв.ассорт</t>
  </si>
  <si>
    <t>НЧ-3171</t>
  </si>
  <si>
    <t>4680088431710</t>
  </si>
  <si>
    <t>Настольное покрытие для лепки</t>
  </si>
  <si>
    <t xml:space="preserve">  Настольное покрытие для лепки А3+ (429х319)</t>
  </si>
  <si>
    <t>ПП-00059798</t>
  </si>
  <si>
    <t>Настольное покрытие для лепки А3+,  АЛФАВИТ (НПД-3458) пластик</t>
  </si>
  <si>
    <t>НПД-3458</t>
  </si>
  <si>
    <t>4665299634587</t>
  </si>
  <si>
    <t>ПП-00119516</t>
  </si>
  <si>
    <t>Настольное покрытие для лепки А3+,  ЕДИНОРОГ В ЦВЕТАХ (НПД-5107) пластик</t>
  </si>
  <si>
    <t>НПД-5107</t>
  </si>
  <si>
    <t>4630079151073</t>
  </si>
  <si>
    <t>ПП-00119514</t>
  </si>
  <si>
    <t>Настольное покрытие для лепки А3+,  ЖЁЛТЫЙ СПОРТКАР (НПД-5106) пластик</t>
  </si>
  <si>
    <t>НПД-5106</t>
  </si>
  <si>
    <t>4630079151066</t>
  </si>
  <si>
    <t>ПП-00059797</t>
  </si>
  <si>
    <t>Настольное покрытие для лепки А3+,  ТАБЛИЦА УМНОЖЕНИЯ (НПД-3457) пластик</t>
  </si>
  <si>
    <t>НПД-3457</t>
  </si>
  <si>
    <t>4665299634570</t>
  </si>
  <si>
    <t xml:space="preserve"> Настольное покрытие для лепки А3 (371х261)</t>
  </si>
  <si>
    <t>ПП-00074769</t>
  </si>
  <si>
    <t>Настольное покрытие для лепки А3,  АЛФАВИТ (НПД-9261) пластик</t>
  </si>
  <si>
    <t>НПД-9261</t>
  </si>
  <si>
    <t>4665303492615</t>
  </si>
  <si>
    <t>ПП-00074771</t>
  </si>
  <si>
    <t>Настольное покрытие для лепки А3,  ВРЕМЕНА ГОДА (НПД-9263) пластик</t>
  </si>
  <si>
    <t>НПД-9263</t>
  </si>
  <si>
    <t>4665303492639</t>
  </si>
  <si>
    <t>ПП-00074773</t>
  </si>
  <si>
    <t>Настольное покрытие для лепки А3,  ИЗУЧАЕМ ЦВЕТА И ФОРМЫ (НПД-9265) пластик</t>
  </si>
  <si>
    <t>НПД-9265</t>
  </si>
  <si>
    <t>4665303492653</t>
  </si>
  <si>
    <t>ПП-00186298</t>
  </si>
  <si>
    <t>Настольное покрытие для лепки А3,  МАЛЕНЬКИЙ ЕДИНОРОГ (НПД-5109) пластик !</t>
  </si>
  <si>
    <t>НПД-5109</t>
  </si>
  <si>
    <t>4630079151097</t>
  </si>
  <si>
    <t>ПП-00211719</t>
  </si>
  <si>
    <t>Настольное покрытие для лепки А3, АВТОМИКС-3 (НПД-8148) пластик Раскрась сам!</t>
  </si>
  <si>
    <t>НПД-8148</t>
  </si>
  <si>
    <t>4670159081487</t>
  </si>
  <si>
    <t>ПП-00211720</t>
  </si>
  <si>
    <t>Настольное покрытие для лепки А3, ВОЛШЕБНЫЕ ПРЕДМЕТЫ (НПД-8149) пластик Раскрась сам!</t>
  </si>
  <si>
    <t>НПД-8149</t>
  </si>
  <si>
    <t>4670159081494</t>
  </si>
  <si>
    <t>ПП-00211722</t>
  </si>
  <si>
    <t>Настольное покрытие для лепки А3, ПСЫ В ПУСТЫНЕ (НПД-8151) пластик</t>
  </si>
  <si>
    <t>НПД-8151</t>
  </si>
  <si>
    <t>4670159081517</t>
  </si>
  <si>
    <t>ПП-00211721</t>
  </si>
  <si>
    <t>Настольное покрытие для лепки А3, СКАЗОЧНЫЕ ДРУЗЬЯ (НПД-8150) пластик</t>
  </si>
  <si>
    <t>НПД-8150</t>
  </si>
  <si>
    <t>4670159081500</t>
  </si>
  <si>
    <t xml:space="preserve"> Настольное покрытие для лепки А4+ (329х230)</t>
  </si>
  <si>
    <t>ПП-00154469</t>
  </si>
  <si>
    <t>Настольное покрытие А4+ МИКС (НПД-0455)</t>
  </si>
  <si>
    <t>НПД-0455</t>
  </si>
  <si>
    <t>4610144804554</t>
  </si>
  <si>
    <t>ПП-00051721</t>
  </si>
  <si>
    <t>Настольное покрытие для лепки А4+,  ЖИВОТНЫЕ РОССИИ-2 (НПД-0895) пластик</t>
  </si>
  <si>
    <t>НПД-0895</t>
  </si>
  <si>
    <t>4665299608953</t>
  </si>
  <si>
    <t>ПП-00234950</t>
  </si>
  <si>
    <t>Настольное покрытие для лепки А4+,  ЯРКО-КРАСНАЯ МАШИНА (НПД-9966) пластик</t>
  </si>
  <si>
    <t>НПД-9966</t>
  </si>
  <si>
    <t>4670159199663</t>
  </si>
  <si>
    <t>Настольное покрытие для лепки А4 (298х197)</t>
  </si>
  <si>
    <t>ПП-00099658</t>
  </si>
  <si>
    <t>Настольное покрытие для лепки А4,  КРАСИВЫЕ ЕДИНОРОГИ (НПД-4244) пластик</t>
  </si>
  <si>
    <t>НПД-4244</t>
  </si>
  <si>
    <t>4665306142449</t>
  </si>
  <si>
    <t>ПП-00074766</t>
  </si>
  <si>
    <t>Настольное покрытие для лепки А4,  ТАБЛИЦА УМНОЖЕНИЯ (НПД-9258) пластик</t>
  </si>
  <si>
    <t>НПД-9258</t>
  </si>
  <si>
    <t>4665303492585</t>
  </si>
  <si>
    <t>ПП-00211723</t>
  </si>
  <si>
    <t xml:space="preserve">Настольное покрытие для лепки А4, АВТОМИКС-4 (НПД-8152) пластик Раскрась сам </t>
  </si>
  <si>
    <t>НПД-8152</t>
  </si>
  <si>
    <t>4670159081524</t>
  </si>
  <si>
    <t>Органайзеры</t>
  </si>
  <si>
    <t>ПП-00262032</t>
  </si>
  <si>
    <t>Набор контейнеров "Корзинка" 3 шт (ОР-8908) (25*17*10 см) ПРОЗРАЧНЫЙ</t>
  </si>
  <si>
    <t>ОР-8908</t>
  </si>
  <si>
    <t>4670159289081</t>
  </si>
  <si>
    <t>ПП-00215758</t>
  </si>
  <si>
    <t>Органайзер большой для хранения, 3 выдвижных ящика ЗБ-0573</t>
  </si>
  <si>
    <t>ЗБ-0573</t>
  </si>
  <si>
    <t>4670159105732</t>
  </si>
  <si>
    <t>ПП-00260660</t>
  </si>
  <si>
    <t>Органайзер большой, 2 выдвижных ящика (ЗБ-8542) пластик, белый/прозрачный</t>
  </si>
  <si>
    <t>ЗБ-8542</t>
  </si>
  <si>
    <t>4670159285427</t>
  </si>
  <si>
    <t>ПП-00260664</t>
  </si>
  <si>
    <t>Органайзер большой, 2 выдвижных ящика (ЗБ-8545) пластик, фраппе/фраппе прозрачный</t>
  </si>
  <si>
    <t>ЗБ-8545</t>
  </si>
  <si>
    <t>4670159285458</t>
  </si>
  <si>
    <t>ПП-00260666</t>
  </si>
  <si>
    <t>Органайзер большой, 2 выдвижных ящика (ЗБ-8546) пластик, серый жемчуг/прозрачный</t>
  </si>
  <si>
    <t>ЗБ-8546</t>
  </si>
  <si>
    <t>4670159285465</t>
  </si>
  <si>
    <t>ПП-00260667</t>
  </si>
  <si>
    <t>Органайзер большой, 2 выдвижных ящика (ЗБ-8547) пластик, пудровый/пудровый прозрачный</t>
  </si>
  <si>
    <t>ЗБ-8547</t>
  </si>
  <si>
    <t>4670159285472</t>
  </si>
  <si>
    <t>ПП-00260676</t>
  </si>
  <si>
    <t>Органайзер большой, 2 выдвижных ящика (ЗБ-8554) пластик, белый/прозрачный. С НАКЛЕЙКАМИ</t>
  </si>
  <si>
    <t>ЗБ-8554</t>
  </si>
  <si>
    <t>4670159285540</t>
  </si>
  <si>
    <t>ПП-00260661</t>
  </si>
  <si>
    <t>Органайзер большой, 3 выдвижных ящика (ЗБ-8543) пластик, белый/прозрачный</t>
  </si>
  <si>
    <t>ЗБ-8543</t>
  </si>
  <si>
    <t>4670159285434</t>
  </si>
  <si>
    <t>ПП-00260669</t>
  </si>
  <si>
    <t>Органайзер большой, 3 выдвижных ящика (ЗБ-8548) пластик, фраппе/фраппе прозрачный</t>
  </si>
  <si>
    <t>ЗБ-8548</t>
  </si>
  <si>
    <t>4670159285489</t>
  </si>
  <si>
    <t>ПП-00260670</t>
  </si>
  <si>
    <t>Органайзер большой, 3 выдвижных ящика (ЗБ-8549) пластик, серый жемчуг/прозрачный</t>
  </si>
  <si>
    <t>ЗБ-8549</t>
  </si>
  <si>
    <t>4670159285496</t>
  </si>
  <si>
    <t>ПП-00260672</t>
  </si>
  <si>
    <t>Органайзер большой, 3 выдвижных ящика (ЗБ-8550) пластик, пудровый/пудровый прозрачный</t>
  </si>
  <si>
    <t>ЗБ-8550</t>
  </si>
  <si>
    <t>4670159285502</t>
  </si>
  <si>
    <t>ПП-00264756</t>
  </si>
  <si>
    <t>Органайзер большой, 3 выдвижных ящика (ЗБ-9366) пластик, белый/белый</t>
  </si>
  <si>
    <t>ЗБ-9366</t>
  </si>
  <si>
    <t>4670159293668</t>
  </si>
  <si>
    <t>ПП-00264760</t>
  </si>
  <si>
    <t>Органайзер большой, 3 выдвижных ящика (ЗБ-9370) пластик, антрацит/антрацит прозрачный</t>
  </si>
  <si>
    <t>ЗБ-9370</t>
  </si>
  <si>
    <t>4670159293705</t>
  </si>
  <si>
    <t>ПП-00260662</t>
  </si>
  <si>
    <t>Органайзер большой, 4 выдвижных ящика (ЗБ-8544) пластик, белый/прозрачный</t>
  </si>
  <si>
    <t>ЗБ-8544</t>
  </si>
  <si>
    <t>4670159285441</t>
  </si>
  <si>
    <t>ПП-00260673</t>
  </si>
  <si>
    <t>Органайзер большой, 4 выдвижных ящика (ЗБ-8551) пластик, фраппе/фраппе прозрачный</t>
  </si>
  <si>
    <t>ЗБ-8551</t>
  </si>
  <si>
    <t>4670159285519</t>
  </si>
  <si>
    <t>ПП-00260674</t>
  </si>
  <si>
    <t>Органайзер большой, 4 выдвижных ящика (ЗБ-8552) пластик, серый жемчуг/прозрачный</t>
  </si>
  <si>
    <t>ЗБ-8552</t>
  </si>
  <si>
    <t>4670159285526</t>
  </si>
  <si>
    <t>ПП-00260675</t>
  </si>
  <si>
    <t>Органайзер большой, 4 выдвижных ящика (ЗБ-8553) пластик, пудровый/пудровый прозрачный</t>
  </si>
  <si>
    <t>ЗБ-8553</t>
  </si>
  <si>
    <t>4670159285533</t>
  </si>
  <si>
    <t>ПП-00268095</t>
  </si>
  <si>
    <t>Органайзер маленький, 2 выдвижных ящика (ЗБ-0163) пластик, белый</t>
  </si>
  <si>
    <t>ЗБ-0163</t>
  </si>
  <si>
    <t>4670159301639</t>
  </si>
  <si>
    <t>ПП-00268097</t>
  </si>
  <si>
    <t>Органайзер маленький, 2 выдвижных ящика (ЗБ-0164) пластик, антрацит</t>
  </si>
  <si>
    <t>ЗБ-0164</t>
  </si>
  <si>
    <t>4670159301646</t>
  </si>
  <si>
    <t>ПП-00268099</t>
  </si>
  <si>
    <t>Органайзер маленький, 2 выдвижных ящика (ЗБ-0165) пластик, фраппе</t>
  </si>
  <si>
    <t>ЗБ-0165</t>
  </si>
  <si>
    <t>4670159301653</t>
  </si>
  <si>
    <t>ПП-00268101</t>
  </si>
  <si>
    <t>Органайзер маленький, 2 выдвижных ящика (ЗБ-0166) пластик, розовый</t>
  </si>
  <si>
    <t>ЗБ-0166</t>
  </si>
  <si>
    <t>4670159301660</t>
  </si>
  <si>
    <t>ПП-00068946</t>
  </si>
  <si>
    <t xml:space="preserve">  TM"Profit" Палитра цветная СТАНДАРТ (РП-5426)</t>
  </si>
  <si>
    <t>РП-5426</t>
  </si>
  <si>
    <t>4665302654267</t>
  </si>
  <si>
    <t>ПП-00065198</t>
  </si>
  <si>
    <t xml:space="preserve"> Палитра художника ПРОЗРАЧНАЯ (РП-4552)</t>
  </si>
  <si>
    <t>РП-4552</t>
  </si>
  <si>
    <t>4665302645524</t>
  </si>
  <si>
    <t>ПП-00136662</t>
  </si>
  <si>
    <t xml:space="preserve"> Палитра ЦВЕТА ПРОВАНСА  (РП-0435)</t>
  </si>
  <si>
    <t>РП-0435</t>
  </si>
  <si>
    <t>4680088404356</t>
  </si>
  <si>
    <t>ПП-00065200</t>
  </si>
  <si>
    <t>Палитра художника БЕЛАЯ (РП-4553)</t>
  </si>
  <si>
    <t>РП-4553</t>
  </si>
  <si>
    <t>4665302645531</t>
  </si>
  <si>
    <t>ПП-00127935</t>
  </si>
  <si>
    <t>Палитра цветная ФЛУОРЕСЦЕНТНАЯ ассорти (РП-1146)</t>
  </si>
  <si>
    <t>РП-1146</t>
  </si>
  <si>
    <t>4630097511460</t>
  </si>
  <si>
    <t>Пеналы с дизайнами</t>
  </si>
  <si>
    <t>ПП-00206028</t>
  </si>
  <si>
    <t>Пенал "VIVA MAGENTA" (ПН-5229) пластик</t>
  </si>
  <si>
    <t>ПН-5229</t>
  </si>
  <si>
    <t>4670159052098</t>
  </si>
  <si>
    <t>ПП-00206026</t>
  </si>
  <si>
    <t>Пенал "БУДЬ ЗВЕЗДОЙ" (ПН-5228) пластик</t>
  </si>
  <si>
    <t>ПН-5228</t>
  </si>
  <si>
    <t>4670159052081</t>
  </si>
  <si>
    <t>ПП-00206029</t>
  </si>
  <si>
    <t>Пенал "ВРЕМЯ БАСКЕТБОЛА" (ПН-5224) пластик</t>
  </si>
  <si>
    <t>ПН-5224</t>
  </si>
  <si>
    <t>4670159052043</t>
  </si>
  <si>
    <t>ПП-00206032</t>
  </si>
  <si>
    <t>Пенал "ВРЕМЯ ФУТБОЛА - 2" (ПН-5226) пластик</t>
  </si>
  <si>
    <t>ПН-5226</t>
  </si>
  <si>
    <t>4670159052067</t>
  </si>
  <si>
    <t>ПП-00116955</t>
  </si>
  <si>
    <t>Пенал "ВСЕЛЕННАЯ РОБОТОВ" (ПН-6935) пластик</t>
  </si>
  <si>
    <t>ПН-6935</t>
  </si>
  <si>
    <t>4607978069358</t>
  </si>
  <si>
    <t>ПП-00116957</t>
  </si>
  <si>
    <t>Пенал "ДРУЖНЫЕ КОТЯТА" (ПН-6937) пластик</t>
  </si>
  <si>
    <t>ПН-6937</t>
  </si>
  <si>
    <t>4607978069372</t>
  </si>
  <si>
    <t>ПП-00206025</t>
  </si>
  <si>
    <t>Пенал "ЖИРАФ И БЕГЕМОТ" (ПН-5223) пластик</t>
  </si>
  <si>
    <t>ПН-5223</t>
  </si>
  <si>
    <t>4670159052036</t>
  </si>
  <si>
    <t>ПП-00206022</t>
  </si>
  <si>
    <t>Пенал "ЗЕЛЁНЫЙ ГЕЙМПАД" (ПН-5220) пластик</t>
  </si>
  <si>
    <t>ПН-5220</t>
  </si>
  <si>
    <t>4670159052005</t>
  </si>
  <si>
    <t>ПП-00206020</t>
  </si>
  <si>
    <t>Пенал "ЗОМБИ ЕДА" (ПН-5227) пластик</t>
  </si>
  <si>
    <t>ПН-5227</t>
  </si>
  <si>
    <t>4670159052074</t>
  </si>
  <si>
    <t>ПП-00206021</t>
  </si>
  <si>
    <t>Пенал "МИЛАЯ ХУДОЖНИЦА" (ПН-5219) пластик</t>
  </si>
  <si>
    <t>ПН-5219</t>
  </si>
  <si>
    <t>4670159051992</t>
  </si>
  <si>
    <t>ПП-00206031</t>
  </si>
  <si>
    <t>Пенал "МИШКА СО СЛАДОСТЯМИ" (ПН-5225) пластик</t>
  </si>
  <si>
    <t>ПН-5225</t>
  </si>
  <si>
    <t>4670159052050</t>
  </si>
  <si>
    <t>ПП-00116952</t>
  </si>
  <si>
    <t>Пенал "ПОНИ И РАДУГА" (ПН-6932) пластик</t>
  </si>
  <si>
    <t>ПН-6932</t>
  </si>
  <si>
    <t>4607978069327</t>
  </si>
  <si>
    <t>ПП-00206024</t>
  </si>
  <si>
    <t>Пенал "РОЗОВЫЕ КОТЯТА" (ПН-5222) пластик</t>
  </si>
  <si>
    <t>ПН-5222</t>
  </si>
  <si>
    <t>4670159052029</t>
  </si>
  <si>
    <t>ПП-00107794</t>
  </si>
  <si>
    <t>Пенал "СКАЗОЧНЫЕ ЕДИНОРОГИ" (ПН-5545) пластик</t>
  </si>
  <si>
    <t>ПН-5545</t>
  </si>
  <si>
    <t>4665306155456</t>
  </si>
  <si>
    <t>ПП-00206023</t>
  </si>
  <si>
    <t>Пенал "СПОРТИВНЫЕ ДИНОЗАВРЫ" (ПН-5221) пластик</t>
  </si>
  <si>
    <t>ПН-5221</t>
  </si>
  <si>
    <t>4670159052012</t>
  </si>
  <si>
    <t>ПП-00206019</t>
  </si>
  <si>
    <t>Пенал "ЭКСТРЕМАЛЬНЫЕ ГОНКИ" (ПН-5218) пластик</t>
  </si>
  <si>
    <t>ПН-5218</t>
  </si>
  <si>
    <t>4670159051985</t>
  </si>
  <si>
    <t>Пеналы Цветные</t>
  </si>
  <si>
    <t>ПП-00120753</t>
  </si>
  <si>
    <t xml:space="preserve"> Пенал АССОРТИ  цветной непрозрачный (ПН-5235), пластик </t>
  </si>
  <si>
    <t>ПН-5235</t>
  </si>
  <si>
    <t>4630079152353</t>
  </si>
  <si>
    <t>ПП-00136663</t>
  </si>
  <si>
    <t xml:space="preserve"> Пенал ЦВЕТА ПРОВАНСА АССОРТИ  непрозрачный (ПН-0490), пластик </t>
  </si>
  <si>
    <t>ПН-0490</t>
  </si>
  <si>
    <t>4680088404301</t>
  </si>
  <si>
    <t>ПП-00137105</t>
  </si>
  <si>
    <t xml:space="preserve"> Пенал ЦВЕТА ФЛУОРЕСЦЕНТНЫЕ АССОРТИ  непрозрачный (ПН-0493), пластик </t>
  </si>
  <si>
    <t>ПН-0493</t>
  </si>
  <si>
    <t>4680088404936</t>
  </si>
  <si>
    <t>Пеналы-тубусы пластик</t>
  </si>
  <si>
    <t>ПП-00146790</t>
  </si>
  <si>
    <t xml:space="preserve">  Пенал-тубус прозрачный+цветной с блестками (ПМ-2065) пластик, 3 цвета МИКС</t>
  </si>
  <si>
    <t>ПМ-2065</t>
  </si>
  <si>
    <t>4680088420653</t>
  </si>
  <si>
    <t>ПП-00090493</t>
  </si>
  <si>
    <t xml:space="preserve"> Пенал-тубус АССОРТИ  "Стандарт плюс" прозрачный+цветной непрозрачный (ПН-2850), пластик </t>
  </si>
  <si>
    <t>ПН-2850</t>
  </si>
  <si>
    <t>4665303528505</t>
  </si>
  <si>
    <t>ПП-00090494</t>
  </si>
  <si>
    <t xml:space="preserve"> Пенал-тубус АССОРТИ  "Стандарт плюс" прозрачный+цветной прозрачный (ПН-2851), пластик </t>
  </si>
  <si>
    <t>ПН-2851</t>
  </si>
  <si>
    <t>4665303528512</t>
  </si>
  <si>
    <t>ПП-00090492</t>
  </si>
  <si>
    <t xml:space="preserve"> Пенал-тубус АССОРТИ "Стандарт плюс" (ПН-2849), пластик </t>
  </si>
  <si>
    <t>ПН-2849</t>
  </si>
  <si>
    <t>4665303528499</t>
  </si>
  <si>
    <t>ПП-00165224</t>
  </si>
  <si>
    <t xml:space="preserve"> Пенал-тубус АССОРТИ "Стандарт плюс" ЦВЕТНОЙ ПРОЗРАЧНЫЙ (ПН-3321), пластик</t>
  </si>
  <si>
    <t>ПН-3321</t>
  </si>
  <si>
    <t>4610144833219</t>
  </si>
  <si>
    <t>ПП-00136665</t>
  </si>
  <si>
    <t xml:space="preserve"> Пенал-тубус ЦВЕТА ПРОВАНСА АССОРТИ "Стандарт плюс (ПН-0492), пластик </t>
  </si>
  <si>
    <t>ПН-0492</t>
  </si>
  <si>
    <t>4680088404325</t>
  </si>
  <si>
    <t>ПП-00137106</t>
  </si>
  <si>
    <t xml:space="preserve"> Пенал-тубус ЦВЕТА ФЛУОРЕСЦЕНТНЫЕ АССОРТИ "Стандарт плюс"прозрачный+цвет.непрозрач (ПН-0494),пластик</t>
  </si>
  <si>
    <t>ПН-0494</t>
  </si>
  <si>
    <t>4680088404929</t>
  </si>
  <si>
    <t>ПП-00136664</t>
  </si>
  <si>
    <t>Пенал-тубус ЦВЕТА ПРОВАНСА  АССОРТИ  "Стандарт плюс"прозрачный+цвет. непрозрачный (ПН-0491), пластик</t>
  </si>
  <si>
    <t>ПН-0491</t>
  </si>
  <si>
    <t>4680088404318</t>
  </si>
  <si>
    <t>Подставки для книг</t>
  </si>
  <si>
    <t>ПП-00074747</t>
  </si>
  <si>
    <t>TM"Profit" Подставка для книг ПРОЗРАЧНАЯ ЦВЕТНАЯ АССОРТИ (ШП-9353)</t>
  </si>
  <si>
    <t>ШП-9353</t>
  </si>
  <si>
    <t>4665303493537</t>
  </si>
  <si>
    <t>ПП-00074745</t>
  </si>
  <si>
    <t>TM"Profit" Подставка для книг ЦВЕТНОЕ АССОРТИ (ШП-9351)</t>
  </si>
  <si>
    <t>ШП-9351</t>
  </si>
  <si>
    <t>4665303493513</t>
  </si>
  <si>
    <t>ПП-00263183</t>
  </si>
  <si>
    <t>Подставка для книг БЕЛАЯ (ШП-9111) пластиковая</t>
  </si>
  <si>
    <t>ШП-9111</t>
  </si>
  <si>
    <t>4670159291114</t>
  </si>
  <si>
    <t>ПП-00263186</t>
  </si>
  <si>
    <t>Подставка для книг ЛАВАНДА (ШП-9114) пластиковая</t>
  </si>
  <si>
    <t>ШП-9114</t>
  </si>
  <si>
    <t>4670159291145</t>
  </si>
  <si>
    <t>ПП-00263187</t>
  </si>
  <si>
    <t>Подставка для книг РОЗОВАЯ (ШП-9115) пластиковая</t>
  </si>
  <si>
    <t>ШП-9115</t>
  </si>
  <si>
    <t>4670159291152</t>
  </si>
  <si>
    <t>ПП-00263185</t>
  </si>
  <si>
    <t>Подставка для книг СЕРАЯ (ШП-9113) пластиковая</t>
  </si>
  <si>
    <t>ШП-9113</t>
  </si>
  <si>
    <t>4670159291138</t>
  </si>
  <si>
    <t>ПП-00245743</t>
  </si>
  <si>
    <t>Подставка для книг ЦВЕТ ЧЕРНЫЙ (ШП-4479) европодвес</t>
  </si>
  <si>
    <t>ШП-4479</t>
  </si>
  <si>
    <t>4670159244790</t>
  </si>
  <si>
    <t>ПП-00136666</t>
  </si>
  <si>
    <t>Подставка для книг ЦВЕТА ПРОВАНСА  АССОРТИ (ШП-0437) европодвес</t>
  </si>
  <si>
    <t>ШП-0437</t>
  </si>
  <si>
    <t>4680088404370</t>
  </si>
  <si>
    <t>ПП-00137108</t>
  </si>
  <si>
    <t>Подставка для книг ЦВЕТА ФЛУОРЕСЦЕНТНЫЕ  АССОРТИ (ШП-0495) европодвес</t>
  </si>
  <si>
    <t>ШП-0495</t>
  </si>
  <si>
    <t>4680088404950</t>
  </si>
  <si>
    <t>ПП-00074746</t>
  </si>
  <si>
    <t>Подставка для книг ЦВЕТНОЕ АССОРТИ (ШП-9352) европодвес</t>
  </si>
  <si>
    <t>ШП-9352</t>
  </si>
  <si>
    <t>4665303493520</t>
  </si>
  <si>
    <t>ПП-00263184</t>
  </si>
  <si>
    <t>Подставка для книг ЧЕРНАЯ (ШП-9112) пластиковая</t>
  </si>
  <si>
    <t>ШП-9112</t>
  </si>
  <si>
    <t>4670159291121</t>
  </si>
  <si>
    <t>Стакан для ручек</t>
  </si>
  <si>
    <t>ПП-00070456</t>
  </si>
  <si>
    <t xml:space="preserve"> TM"Profit"Стакан для ручек офисный СЕРЫЙ (СП-6347)</t>
  </si>
  <si>
    <t>СП-6347</t>
  </si>
  <si>
    <t>4665302663474</t>
  </si>
  <si>
    <t>ПП-00070459</t>
  </si>
  <si>
    <t xml:space="preserve"> TM"Profit"Стакан для ручек офисный ЧЕРНЫЙ (СП-6348)</t>
  </si>
  <si>
    <t>СП-6348</t>
  </si>
  <si>
    <t>4665302663481</t>
  </si>
  <si>
    <t>ПП-00069040</t>
  </si>
  <si>
    <t>ПП-00071301</t>
  </si>
  <si>
    <t>TM"Profit" Стакан для ручек ЦВЕТНОЙ АССОРТИ (СП-6674)</t>
  </si>
  <si>
    <t>СП-6674</t>
  </si>
  <si>
    <t>4665302666741</t>
  </si>
  <si>
    <t>ПП-00135111</t>
  </si>
  <si>
    <t>Стакан для ручек АССОРТИ "ПАСТЕЛЬНЫЕ ЦВЕТА" (СП-0084), 4 цвета</t>
  </si>
  <si>
    <t>СП-0084</t>
  </si>
  <si>
    <t>4680088400846</t>
  </si>
  <si>
    <t>ПП-00065497</t>
  </si>
  <si>
    <t>Стакан для ручек АССОРТИ (СП-4659)</t>
  </si>
  <si>
    <t>СП-4659</t>
  </si>
  <si>
    <t>4665302646590</t>
  </si>
  <si>
    <t>ПП-00137109</t>
  </si>
  <si>
    <t>Стакан для ручек ЦВЕТА ФЛУОРЕСЦЕНТНЫЕ АССОРТИ (СП-0496), 4 цвета</t>
  </si>
  <si>
    <t>СП-0496</t>
  </si>
  <si>
    <t>4680088404967</t>
  </si>
  <si>
    <t xml:space="preserve"> Стакан-непроливайка одинарный</t>
  </si>
  <si>
    <t xml:space="preserve"> Стакан-непроливайка одинарный, прозрачный </t>
  </si>
  <si>
    <t>ПП-00058715</t>
  </si>
  <si>
    <t xml:space="preserve">  Стакан-непроливайка, одинарный СТАНДАРТ ПРОЗРАЧНЫЙ (С-3303), кратно 10</t>
  </si>
  <si>
    <t>С-3303</t>
  </si>
  <si>
    <t>4665299633030</t>
  </si>
  <si>
    <t>ПП-00136667</t>
  </si>
  <si>
    <t xml:space="preserve"> Стакан-непроливайка, одинарный ЦВЕТА ПРОВАНСА АССОРТИ (С-0433) 4 цвета, кратно 10</t>
  </si>
  <si>
    <t>С-0433</t>
  </si>
  <si>
    <t>4680088404332</t>
  </si>
  <si>
    <t>ПП-00039911</t>
  </si>
  <si>
    <t>Стакан-непроливайка, одинарный СТАНДАРТ КРАСНЫЙ (С-8998), кратно 10</t>
  </si>
  <si>
    <t>С-8998</t>
  </si>
  <si>
    <t>4665297789982</t>
  </si>
  <si>
    <t>ПП-00074536</t>
  </si>
  <si>
    <t>Стакан-непроливайка, одинарный СТАНДАРТ ОРАНЖЕВЫЙ (С-9125), кратно 10</t>
  </si>
  <si>
    <t>С-9125</t>
  </si>
  <si>
    <t>4665303491250</t>
  </si>
  <si>
    <t>ПП-00039906</t>
  </si>
  <si>
    <t>Стакан-непроливайка, одинарный ЦВЕТНОЕ АССОРТИ (С-8993) 5 цветов, кратно 10</t>
  </si>
  <si>
    <t>С-8993</t>
  </si>
  <si>
    <t>4665297789937</t>
  </si>
  <si>
    <t>Стакан-непроливайка одинарный с дизайном</t>
  </si>
  <si>
    <t xml:space="preserve">   Стакан-непроливайка одинарный с дизайном</t>
  </si>
  <si>
    <t>ПП-00211739</t>
  </si>
  <si>
    <t>Стакан-непроливайка, одинарный В ПОЛЁТЕ (С-8156)  прозрач. кратно 10</t>
  </si>
  <si>
    <t>С-8156</t>
  </si>
  <si>
    <t>4670159081562</t>
  </si>
  <si>
    <t>ПП-00270890</t>
  </si>
  <si>
    <t>Стакан-непроливайка, одинарный ЗАБАВНЫЕ ЖИВОТНЫЕ - 16 (С-0929) кратно 10</t>
  </si>
  <si>
    <t>С-0929</t>
  </si>
  <si>
    <t>4670159309291</t>
  </si>
  <si>
    <t>ПП-00270891</t>
  </si>
  <si>
    <t>Стакан-непроливайка, одинарный ЗАБАВНЫЕ ЖИВОТНЫЕ - 17 (С-0930) кратно 10</t>
  </si>
  <si>
    <t>С-0930</t>
  </si>
  <si>
    <t>4670159309307</t>
  </si>
  <si>
    <t>ПП-00270892</t>
  </si>
  <si>
    <t>Стакан-непроливайка, одинарный ЗАБАВНЫЕ ЖИВОТНЫЕ - 18 (С-0931) кратно 10</t>
  </si>
  <si>
    <t>С-0931</t>
  </si>
  <si>
    <t>4670159309314</t>
  </si>
  <si>
    <t>ПП-00270899</t>
  </si>
  <si>
    <t>Стакан-непроливайка, одинарный ЗАБАВНЫЕ КОТЫ - 8 (С-0934) кратно 10</t>
  </si>
  <si>
    <t>С-0934</t>
  </si>
  <si>
    <t>4670159309345</t>
  </si>
  <si>
    <t>ПП-00270901</t>
  </si>
  <si>
    <t>Стакан-непроливайка, одинарный ЗАБАВНЫЕ МОНСТРИКИ - 2 (С-0935) кратно 10</t>
  </si>
  <si>
    <t>С-0935</t>
  </si>
  <si>
    <t>4670159309352</t>
  </si>
  <si>
    <t>ПП-00270894</t>
  </si>
  <si>
    <t>Стакан-непроливайка, одинарный КРАСНЫЙ АВТОМОБИЛЬ - 8 (С-0932) кратно 10</t>
  </si>
  <si>
    <t>С-0932</t>
  </si>
  <si>
    <t>4670159309321</t>
  </si>
  <si>
    <t>ПП-00211728</t>
  </si>
  <si>
    <t>Стакан-непроливайка, одинарный КРАСНЫЙ ДИНОЗАВР (С-8160) прозрач.  кратно 10</t>
  </si>
  <si>
    <t>С-8160</t>
  </si>
  <si>
    <t>4670159081609</t>
  </si>
  <si>
    <t>ПП-00270903</t>
  </si>
  <si>
    <t>Стакан-непроливайка, одинарный ФУТБОЛЬНЫЙ МЯЧ - 37 (С-0936) кратно 10</t>
  </si>
  <si>
    <t>С-0936</t>
  </si>
  <si>
    <t>4670159309369</t>
  </si>
  <si>
    <t xml:space="preserve">  Стакан-непроливайка одинарный, прозрачный печать холодной фольгой</t>
  </si>
  <si>
    <t>ПП-00211762</t>
  </si>
  <si>
    <t>Стакан-непроливайка одинарный СТИКЕРОМАНИЯ прозрачный, печать хол. фольгой (С-8177) кратно 10</t>
  </si>
  <si>
    <t>С-8177</t>
  </si>
  <si>
    <t>4670159081777</t>
  </si>
  <si>
    <t>Стакан-непроливайка двойной</t>
  </si>
  <si>
    <t>Стакан-непроливайка двойной с дизайном</t>
  </si>
  <si>
    <t>ПП-00185965</t>
  </si>
  <si>
    <t>Стакан-непроливайка, двойной РУСАЛКА (С-4817), кратно 10</t>
  </si>
  <si>
    <t>С-4817</t>
  </si>
  <si>
    <t>4620129748179</t>
  </si>
  <si>
    <t>ПП-00185960</t>
  </si>
  <si>
    <t>Стакан-непроливайка, двойной ЦВЕТЫ (С-4813), кратно 10</t>
  </si>
  <si>
    <t>С-4813</t>
  </si>
  <si>
    <t>4620129748131</t>
  </si>
  <si>
    <t>Транспортиры</t>
  </si>
  <si>
    <t>ПП-00070111</t>
  </si>
  <si>
    <t xml:space="preserve">  Транспортир  прозрачный 8 см (ТР-6014), кратно 20</t>
  </si>
  <si>
    <t>ТР-6014</t>
  </si>
  <si>
    <t>4665302660145</t>
  </si>
  <si>
    <t>ПП-00070113</t>
  </si>
  <si>
    <t xml:space="preserve">  Транспортир прозрачный тонированный 8 см (ТР-6016), кратно 20</t>
  </si>
  <si>
    <t>ТР-6016</t>
  </si>
  <si>
    <t>4665302660169</t>
  </si>
  <si>
    <t>ПП-00070115</t>
  </si>
  <si>
    <t xml:space="preserve">  Транспортир прозрачный цветной микс 8 см (ТР-6018), кратно 20</t>
  </si>
  <si>
    <t>ТР-6018</t>
  </si>
  <si>
    <t>4665302660183</t>
  </si>
  <si>
    <t>ПП-00070114</t>
  </si>
  <si>
    <t xml:space="preserve"> Транспортир прозрачный тонированный 10 см (ТР-6017), кратно 20</t>
  </si>
  <si>
    <t>ТР-6017</t>
  </si>
  <si>
    <t>4665302660176</t>
  </si>
  <si>
    <t>ПП-00070116</t>
  </si>
  <si>
    <t>Транспортир прозрачный цветной микс 10 см (ТР-6019), кратно 20</t>
  </si>
  <si>
    <t>ТР-6019</t>
  </si>
  <si>
    <t>4665302660190</t>
  </si>
  <si>
    <t>ПП-00246272</t>
  </si>
  <si>
    <t>Транспортир прозрачный цветной микс 10 см, кратно 20 (ТР-4728)</t>
  </si>
  <si>
    <t>ТР-4728</t>
  </si>
  <si>
    <t>4670159247289</t>
  </si>
  <si>
    <t>Трафареты</t>
  </si>
  <si>
    <t>ПП-00106115</t>
  </si>
  <si>
    <t>Трафарет "ВИДЫ ТРАНСПОРТА" (ТФ-5338)</t>
  </si>
  <si>
    <t>ТФ-5338</t>
  </si>
  <si>
    <t>4665306153384</t>
  </si>
  <si>
    <t>ПП-00106109</t>
  </si>
  <si>
    <t>Трафарет "ДОМАШНИЕ ЖИВОТНЫЕ" (ТФ-5333)</t>
  </si>
  <si>
    <t>ТФ-5333</t>
  </si>
  <si>
    <t>4665306153339</t>
  </si>
  <si>
    <t>ПП-00106110</t>
  </si>
  <si>
    <t>Трафарет "ЛЕСНЫЕ ЗВЕРИ" (ТФ-5334)</t>
  </si>
  <si>
    <t>ТФ-5334</t>
  </si>
  <si>
    <t xml:space="preserve">4665306153346  </t>
  </si>
  <si>
    <t>ПП-00106112</t>
  </si>
  <si>
    <t>Трафарет "МОРСКИЕ ОБИТАТЕЛИ" (ТФ-5336)</t>
  </si>
  <si>
    <t>ТФ-5336</t>
  </si>
  <si>
    <t xml:space="preserve">4665306153360  </t>
  </si>
  <si>
    <t>ПП-00106114</t>
  </si>
  <si>
    <t>Трафарет "ОВОЩИ" (ТФ-5337)</t>
  </si>
  <si>
    <t>ТФ-5337</t>
  </si>
  <si>
    <t xml:space="preserve">4665306153377  </t>
  </si>
  <si>
    <t>ПП-00106123</t>
  </si>
  <si>
    <t>Трафарет "РЕПКА" (ТФ-5342)</t>
  </si>
  <si>
    <t>ТФ-5342</t>
  </si>
  <si>
    <t xml:space="preserve">4665306153421  </t>
  </si>
  <si>
    <t>ПП-00115595</t>
  </si>
  <si>
    <t xml:space="preserve">Трафарет "РЕПКА" (ТФ-5342) </t>
  </si>
  <si>
    <t xml:space="preserve">4665306153421 </t>
  </si>
  <si>
    <t>ПП-00106111</t>
  </si>
  <si>
    <t>Трафарет "ФРУКТЫ" (ТФ-5335)</t>
  </si>
  <si>
    <t>ТФ-5335</t>
  </si>
  <si>
    <t>4665306153353</t>
  </si>
  <si>
    <t>ПП-00106117</t>
  </si>
  <si>
    <t>Трафареты "МАЛЫШИ И МАМЫ" (ТФ-5339)</t>
  </si>
  <si>
    <t>ТФ-5339</t>
  </si>
  <si>
    <t xml:space="preserve">4665306153391  </t>
  </si>
  <si>
    <t>ПП-00106118</t>
  </si>
  <si>
    <t>Трафареты "МАШИНЫ" (ТФ-5340)</t>
  </si>
  <si>
    <t>ТФ-5340</t>
  </si>
  <si>
    <t>4665306153407</t>
  </si>
  <si>
    <t>ПП-00245746</t>
  </si>
  <si>
    <t>Треугольник НЕПРОЗРАЧНЫЙ ЧЕРНЫЙ (Л-4482) 7 см 45гр.</t>
  </si>
  <si>
    <t>Л-4482</t>
  </si>
  <si>
    <t>4670159244820</t>
  </si>
  <si>
    <t>ПП-00245747</t>
  </si>
  <si>
    <t>Треугольник НЕПРОЗРАЧНЫЙ ЧЕРНЫЙ (Л-4483) 12 см. 45гр.</t>
  </si>
  <si>
    <t>Л-4483</t>
  </si>
  <si>
    <t>4670159244837</t>
  </si>
  <si>
    <t>ПП-00245748</t>
  </si>
  <si>
    <t>Треугольник НЕПРОЗРАЧНЫЙ ЧЕРНЫЙ (Л-4484) 16 см. 45гр.</t>
  </si>
  <si>
    <t>Л-4484</t>
  </si>
  <si>
    <t>4670159244844</t>
  </si>
  <si>
    <t>ПП-00245749</t>
  </si>
  <si>
    <t>Треугольник НЕПРОЗРАЧНЫЙ ЧЕРНЫЙ (Л-4485) 18 см. 30гр.</t>
  </si>
  <si>
    <t>Л-4485</t>
  </si>
  <si>
    <t>4670159244851</t>
  </si>
  <si>
    <t>ПП-00111646</t>
  </si>
  <si>
    <t>Треугольник ПРОЗРАЧНЫЙ ТОНИРОВАННЫЙ (Л-6202) 7 см 45гр.</t>
  </si>
  <si>
    <t>Л-6202</t>
  </si>
  <si>
    <t>4607978062021</t>
  </si>
  <si>
    <t>ПП-00111650</t>
  </si>
  <si>
    <t>Треугольник ПРОЗРАЧНЫЙ ТОНИРОВАННЫЙ (Л-6205) 12 см. 45гр.</t>
  </si>
  <si>
    <t>Л-6205</t>
  </si>
  <si>
    <t>4607978062052</t>
  </si>
  <si>
    <t>ПП-00111662</t>
  </si>
  <si>
    <t>Треугольник ПРОЗРАЧНЫЙ ТОНИРОВАННЫЙ (Л-6214) 18 см. 30гр.</t>
  </si>
  <si>
    <t>Л-6214</t>
  </si>
  <si>
    <t>4607978062144</t>
  </si>
  <si>
    <t>ПП-00111668</t>
  </si>
  <si>
    <t>Треугольник с окружностями ЦВЕТНОЕ ПРОЗРАЧНОЕ АССОРТИ (Л-6215) отливная шкала 19 см. 30гр. кратно 20</t>
  </si>
  <si>
    <t>ПП-00111654</t>
  </si>
  <si>
    <t>Треугольник с транспортиром ЦВЕТНОЕ ПРОЗРАЧНОЕ АССОРТИ (Л-6209) 16 см. 30* отливная шкала, кратно 20</t>
  </si>
  <si>
    <t>ПП-00111645</t>
  </si>
  <si>
    <t>Треугольник ЦВЕТНОЕ АССОРТИ (Л-6201) 7 см 45гр.</t>
  </si>
  <si>
    <t>4607978062014</t>
  </si>
  <si>
    <t>ПП-00111648</t>
  </si>
  <si>
    <t>Треугольник ЦВЕТНОЕ АССОРТИ (Л-6204) 12 см. 45гр. , кратно 20</t>
  </si>
  <si>
    <t>Л-6204</t>
  </si>
  <si>
    <t>4607978062045</t>
  </si>
  <si>
    <t>ПП-00111652</t>
  </si>
  <si>
    <t>Треугольник ЦВЕТНОЕ АССОРТИ (Л-6207) 16 см. 45гр.</t>
  </si>
  <si>
    <t>ПП-00111661</t>
  </si>
  <si>
    <t>Треугольник ЦВЕТНОЕ АССОРТИ (Л-6213) 18 см. 30гр.</t>
  </si>
  <si>
    <t>4607978062137</t>
  </si>
  <si>
    <t>ПП-00268799</t>
  </si>
  <si>
    <t>Треугольник ЦВЕТНОЕ АССОРТИ 2 (Л-0293) 12 см. 45гр., кратно 20</t>
  </si>
  <si>
    <t>Л-0293</t>
  </si>
  <si>
    <t>4670159302933</t>
  </si>
  <si>
    <t>ПП-00111644</t>
  </si>
  <si>
    <t>Треугольник ЦВЕТНОЕ ПРОЗРАЧНОЕ АССОРТИ (Л-6200) 7 см 45гр.</t>
  </si>
  <si>
    <t>Л-6200</t>
  </si>
  <si>
    <t>4607978062007</t>
  </si>
  <si>
    <t>ПП-00111651</t>
  </si>
  <si>
    <t>Треугольник ЦВЕТНОЕ ПРОЗРАЧНОЕ АССОРТИ (Л-6206) 16 см. 45гр.</t>
  </si>
  <si>
    <t>Л-6206</t>
  </si>
  <si>
    <t>4607978062069</t>
  </si>
  <si>
    <t>ПП-00111659</t>
  </si>
  <si>
    <t>Треугольник ЦВЕТНОЕ ПРОЗРАЧНОЕ АССОРТИ (Л-6212) 18 см. 30гр.</t>
  </si>
  <si>
    <t>Л-6212</t>
  </si>
  <si>
    <t>4607978062120</t>
  </si>
  <si>
    <t>Учебные материалы</t>
  </si>
  <si>
    <t>Счетные палочки</t>
  </si>
  <si>
    <t>ПП-00213869</t>
  </si>
  <si>
    <t>КД/СЧЁТНЫЕ ПАЛОЧКИ 30ШТ (НР-9572) (!)</t>
  </si>
  <si>
    <t>НР-9572</t>
  </si>
  <si>
    <t>4690363212521</t>
  </si>
  <si>
    <t>ПП-00065187</t>
  </si>
  <si>
    <t>Набор   счетных палочек СТАНДАРТ (НР-4549) 30шт в пенале</t>
  </si>
  <si>
    <t>НР-4549</t>
  </si>
  <si>
    <t>4665302645494</t>
  </si>
  <si>
    <t>ПП-00065322</t>
  </si>
  <si>
    <t>Набор   счетных палочек ФЛЮОРЕСЦЕНТНЫЕ (НР-4565) 30шт в пенале</t>
  </si>
  <si>
    <t>НР-4565</t>
  </si>
  <si>
    <t>4665302645654</t>
  </si>
  <si>
    <t>ПП-00065321</t>
  </si>
  <si>
    <t>Набор  счетных палочек СТАНДАРТ (НР-4564) 40шт в пенале</t>
  </si>
  <si>
    <t>НР-4564</t>
  </si>
  <si>
    <t>4665302645647</t>
  </si>
  <si>
    <t>ПП-00065185</t>
  </si>
  <si>
    <t>Набор счетных палочек СТАНДАРТ (НР-4547) 50шт в пенале</t>
  </si>
  <si>
    <t>НР-4547</t>
  </si>
  <si>
    <t>4665302645470</t>
  </si>
  <si>
    <t>ПП-00065186</t>
  </si>
  <si>
    <t>Набор счетных палочек ФЛЮОРЕСЦЕНТНЫЕ (НР-4548) 50шт в пенале</t>
  </si>
  <si>
    <t>НР-4548</t>
  </si>
  <si>
    <t>4665302645487</t>
  </si>
  <si>
    <t>Счетный материал</t>
  </si>
  <si>
    <t>ПП-00065194</t>
  </si>
  <si>
    <t xml:space="preserve">  TM"Profit" Счетный материал (НР-4556) в пакете с европодвесом</t>
  </si>
  <si>
    <t>НР-4556</t>
  </si>
  <si>
    <t>4665302645562</t>
  </si>
  <si>
    <t>ПП-00065191</t>
  </si>
  <si>
    <t xml:space="preserve"> Счетные материалы (НР-4555) в коробке</t>
  </si>
  <si>
    <t>НР-4555</t>
  </si>
  <si>
    <t>4665302645555</t>
  </si>
  <si>
    <t>04. Альбомы для рисования</t>
  </si>
  <si>
    <t>Альбомы для рисования А3, А4, А5</t>
  </si>
  <si>
    <t xml:space="preserve"> Альбомы для рисования, 8 листов</t>
  </si>
  <si>
    <t>Скрепка А4</t>
  </si>
  <si>
    <t xml:space="preserve"> Альбомы А4 8л Эконом скрепка</t>
  </si>
  <si>
    <t>ПП-00272399</t>
  </si>
  <si>
    <t>ТМ"Profit" Альбом для рисования А4 8л. ДЕВОЧКА И ЩЕНОК - 2 (08-1464) скрепка, обл.-офс, бл.-офс</t>
  </si>
  <si>
    <t>08-1464</t>
  </si>
  <si>
    <t>4670159314646</t>
  </si>
  <si>
    <t>ПП-00256759</t>
  </si>
  <si>
    <t>ТМ"Profit" Альбом для рисования А4 8л. ДЕВОЧКА И ЩЕНОК (08-7218) скр,обл.-офс,бл-офс</t>
  </si>
  <si>
    <t>08-7218</t>
  </si>
  <si>
    <t>4670159272182</t>
  </si>
  <si>
    <t>ПП-00272403</t>
  </si>
  <si>
    <t>ТМ"Profit" Альбом для рисования А4 8л. ФУТБОЛЬНЫЙ МЯЧ - 38 (08-1466) скр, обл.-офс,бл.офс</t>
  </si>
  <si>
    <t>08-1466</t>
  </si>
  <si>
    <t>4670159314660</t>
  </si>
  <si>
    <t>Альбомы А4 8л Стандарт скрепка</t>
  </si>
  <si>
    <t>ПП-00229289</t>
  </si>
  <si>
    <t>Альбом для рисования А4 8л. ЖЁЛТОЕ СПОРТИВНОЕ АВТО - 1 (08-7511) скрепка</t>
  </si>
  <si>
    <t>08-7511</t>
  </si>
  <si>
    <t>4670159174677</t>
  </si>
  <si>
    <t>ПП-00257309</t>
  </si>
  <si>
    <t>Альбом для рисования А4 8л. СИНИЙ ВНЕДОРОЖНИК - 2 (08-7540) скрепка</t>
  </si>
  <si>
    <t>08-7540</t>
  </si>
  <si>
    <t>4670159275404</t>
  </si>
  <si>
    <t>Альбомы для рисования, 12 листов</t>
  </si>
  <si>
    <t xml:space="preserve"> Альбомы А4 12л Эконом скрепка</t>
  </si>
  <si>
    <t>ПП-00256928</t>
  </si>
  <si>
    <t>TM"Profit"Альбом для рисования А4 12л. В СТИЛЕ МИЛИТАРИ - 3 (12-7248) скрепка, 2диз в сп</t>
  </si>
  <si>
    <t>12-7248</t>
  </si>
  <si>
    <t>4670159272489</t>
  </si>
  <si>
    <t>ПП-00256923</t>
  </si>
  <si>
    <t>TM"Profit"Альбом для рисования А4 12л. ДЕВУШКИ И ОГНИ ГОРОДА (12-7244) скрепка, 2диз в сп</t>
  </si>
  <si>
    <t>12-7244</t>
  </si>
  <si>
    <t>4670159272441</t>
  </si>
  <si>
    <t>ПП-00256929</t>
  </si>
  <si>
    <t>TM"Profit"Альбом для рисования А4 12л. КРАСИВЫЕ ПЕЙЗАЖИ - 3 (12-7249) скрепка, 2диз в сп</t>
  </si>
  <si>
    <t>12-7249</t>
  </si>
  <si>
    <t>4670159272496</t>
  </si>
  <si>
    <t>Альбомы А4 12л Стандарт скрепка</t>
  </si>
  <si>
    <t>ПП-00258629</t>
  </si>
  <si>
    <t>Альбом для рисования А4 12л. КРАСИВЫЕ АВТОМОБИЛИ - 5 (12-7988) скрепка, 2 диз. в сп, мелов. обл,офс</t>
  </si>
  <si>
    <t>12-7988</t>
  </si>
  <si>
    <t>4670159279884</t>
  </si>
  <si>
    <t>ПП-00258636</t>
  </si>
  <si>
    <t>Альбом для рисования А4 12л. МИЛЫЕ КОТИКИ - 4 (12-7991) скрепка, 2 диз в сп, мелов. обл,офс</t>
  </si>
  <si>
    <t>12-7991</t>
  </si>
  <si>
    <t>4670159279914</t>
  </si>
  <si>
    <t>ПП-00258641</t>
  </si>
  <si>
    <t>Альбом для рисования А4 12л. НАДПИСЬ НА ЧЕРНОМ - 2 (12-7993) скрепка, мелов. обл,офс</t>
  </si>
  <si>
    <t>12-7993</t>
  </si>
  <si>
    <t>4670159279938</t>
  </si>
  <si>
    <t>ПП-00203287</t>
  </si>
  <si>
    <t>Альбом для рисования А4 12л. РИСУНОК ЕДИНОРОГА (12-3757) скрепка, мелов. обл,офс, микс из 2 диз.</t>
  </si>
  <si>
    <t>12-3757</t>
  </si>
  <si>
    <t>4670159037378</t>
  </si>
  <si>
    <t>ПП-00258635</t>
  </si>
  <si>
    <t>Альбом для рисования А4 12л. ФУТБОЛЬНЫЙ МЯЧ - 21 (12-7990) скрепка, мелов. обл,офс</t>
  </si>
  <si>
    <t>12-7990</t>
  </si>
  <si>
    <t>4670159279907</t>
  </si>
  <si>
    <t>Альбомы для рисования, 16 листов</t>
  </si>
  <si>
    <t xml:space="preserve"> Альбомы А4 16л Эконом скрепка</t>
  </si>
  <si>
    <t>ПП-00229316</t>
  </si>
  <si>
    <t>ТМ"Profit"Альбом для рисования А4 16л. ДЕВУШКА И КРАСКИ (16-7488) скр,обл.-офс.,бл-офс.</t>
  </si>
  <si>
    <t>16-7488</t>
  </si>
  <si>
    <t>4670159174882</t>
  </si>
  <si>
    <t>ПП-00269366</t>
  </si>
  <si>
    <t>ТМ"Profit"Альбом для рисования А4 16л. СТИЛЬНЫЙ ЧЁРНЫЙ - 3 (А16-0391) скрепка, обл - офс, бл-офс</t>
  </si>
  <si>
    <t>А16-0391</t>
  </si>
  <si>
    <t>4670159303916</t>
  </si>
  <si>
    <t>Альбомы для рисования, 20 листов</t>
  </si>
  <si>
    <t xml:space="preserve"> Скрепка А4</t>
  </si>
  <si>
    <t xml:space="preserve"> Альбомы А4 20л Эконом скрепка</t>
  </si>
  <si>
    <t>ПП-00272411</t>
  </si>
  <si>
    <t>ТМ"Profit"Альбом для рисов. А4 20л. СПОРТИВНЫЕ АВТОМОБИЛИ - 11 (20-1460) скр,2диз в сп,обл-оф бл-офс</t>
  </si>
  <si>
    <t>20-1460</t>
  </si>
  <si>
    <t>4670159314684</t>
  </si>
  <si>
    <t>ПП-00269368</t>
  </si>
  <si>
    <t>ТМ"Profit"Альбом для рисов. А4 20л. СТИЛЬНЫЙ ЧЁРНЫЙ - 5 (А20-0393) скр. обл-офс, бл-офс</t>
  </si>
  <si>
    <t>А20-0393</t>
  </si>
  <si>
    <t>4670159303930</t>
  </si>
  <si>
    <t>Альбомы А4 20л Стандарт скрепка</t>
  </si>
  <si>
    <t>Альбомы А4 20л Стандарт скрепка с обработками</t>
  </si>
  <si>
    <t>Альбом А4 20л. Стандарт скрепка, лён</t>
  </si>
  <si>
    <t>ПП-00259299</t>
  </si>
  <si>
    <t>Альбом для рисования А4 20л. ЗВЕРЯТА В ДЖУНГЛЯХ (А20-8252) скрепка,1 диз. в сп., лен</t>
  </si>
  <si>
    <t>А20-8252</t>
  </si>
  <si>
    <t>4670159282532</t>
  </si>
  <si>
    <t>ПП-00259294</t>
  </si>
  <si>
    <t>Альбом для рисования А4 20л. КРАСНОЕ АВТО В ГОРОДЕ (А20-8250) скрепка,1 диз. в сп., лен</t>
  </si>
  <si>
    <t>А20-8250</t>
  </si>
  <si>
    <t>4670159282518</t>
  </si>
  <si>
    <t>ПП-00262990</t>
  </si>
  <si>
    <t>Альбом для рисования А4 20л. МРАМОР (А20-9095) скрепка,1 диз. в сп., лен</t>
  </si>
  <si>
    <t>А20-9095</t>
  </si>
  <si>
    <t>4670159290957</t>
  </si>
  <si>
    <t>Альбом для рисования 20л. скрепка, лен 6+0</t>
  </si>
  <si>
    <t>ПП-00232378</t>
  </si>
  <si>
    <t xml:space="preserve"> Альбом для рисования А4 20л. ШКОЛЬНАЯ АРТИБУТИКА - 1 (20-8575) скрепка,1 диз. в сп., 6+0 лен</t>
  </si>
  <si>
    <t>20-8575</t>
  </si>
  <si>
    <t>4670159185758</t>
  </si>
  <si>
    <t>КБС</t>
  </si>
  <si>
    <t>Альбомы А4 20л Стандарт КБС</t>
  </si>
  <si>
    <t>ПП-00264224</t>
  </si>
  <si>
    <t>Альбом для рисования А4 20л. ДЕВОЧКА С ЖИВОТНЫМ (А20-9242) КБС, картон. обл.,бл-офс</t>
  </si>
  <si>
    <t>А20-9242</t>
  </si>
  <si>
    <t>4670159292425</t>
  </si>
  <si>
    <t>ПП-00258091</t>
  </si>
  <si>
    <t>Альбом для рисования А4 20л. ЗАМУРЧАТЕЛЬНЫЙ КОТ (20-7770) КБС, картон. обл.,бл-офс</t>
  </si>
  <si>
    <t>20-7770</t>
  </si>
  <si>
    <t>4670159277705</t>
  </si>
  <si>
    <t>ПП-00264225</t>
  </si>
  <si>
    <t>Альбом для рисования А4 20л. КЛАССИКА ОДНОТОННАЯ - 20 (А20-9243) КБС, картон. обл.,бл-офс,2диз. в сп</t>
  </si>
  <si>
    <t>А20-9243</t>
  </si>
  <si>
    <t>4670159292432</t>
  </si>
  <si>
    <t>ПП-00258092</t>
  </si>
  <si>
    <t>Альбом для рисования А4 20л. КРАСНЫЙ АВТОМОБИЛЬ - 5 (20-7771) КБС, картон. обл.,бл-офс</t>
  </si>
  <si>
    <t>20-7771</t>
  </si>
  <si>
    <t>4670159277712</t>
  </si>
  <si>
    <t>ПП-00269377</t>
  </si>
  <si>
    <t>Альбом для рисования А4 20л. СТИЛЬНЫЙ ЧЁРНЫЙ - 8 (А20-0396) КБС, картон. обл.,бл-офс</t>
  </si>
  <si>
    <t>А20-0396</t>
  </si>
  <si>
    <t>4670159303961</t>
  </si>
  <si>
    <t>Альбомы для рисования, 24 листа</t>
  </si>
  <si>
    <t xml:space="preserve"> Альбомы А4 24л Эконом скрепка</t>
  </si>
  <si>
    <t>ПП-00272412</t>
  </si>
  <si>
    <t>ТМ"Profit"Альбом для рисования А4 24л. ЖИВОТНЫЕ И ИХ ДЕТКИ - 1 (24-1469)скр,2диз в сп,обл-офс,бл-офс</t>
  </si>
  <si>
    <t>24-1469</t>
  </si>
  <si>
    <t>4670159314691</t>
  </si>
  <si>
    <t>ПП-00269381</t>
  </si>
  <si>
    <t>ТМ"Profit"Альбом для рисования А4 24л. СТИЛЬНЫЙ ЧЁРНЫЙ - 16 (А24-0404) скр, обл-офс, бл-офс</t>
  </si>
  <si>
    <t>А24-0404</t>
  </si>
  <si>
    <t>4670159304517</t>
  </si>
  <si>
    <t>Альбомы А4 24л Стандарт скрепка</t>
  </si>
  <si>
    <t>Альбомы А4 24л Стандарт скрепка без обработок</t>
  </si>
  <si>
    <t>ПП-00257563</t>
  </si>
  <si>
    <t>Альбом для рисования А4 24л. В СТИЛЕ МИЛИТАРИ - 6 (24-7576) скрепка (карт.обл,блок - офсет 100г/м2)</t>
  </si>
  <si>
    <t>24-7576</t>
  </si>
  <si>
    <t>4670159275763</t>
  </si>
  <si>
    <t>ПП-00246421</t>
  </si>
  <si>
    <t>Альбом для рисования А4 24л. КОТИКИ (Микс-4758) на скрепке, картон обл</t>
  </si>
  <si>
    <t>Микс-4758</t>
  </si>
  <si>
    <t>Гребень</t>
  </si>
  <si>
    <t>Альбомы А4 24л Стандарт гребень</t>
  </si>
  <si>
    <t>Альбомы А4 24л Стандарт гребень с обработками</t>
  </si>
  <si>
    <t>Альбом А4 24л. Стандарт гребень, матовая лам, выб.лак</t>
  </si>
  <si>
    <t>ПП-00262991</t>
  </si>
  <si>
    <t>Альбом для рисования А4 24л. КЛАССИКА ОДНОТОННАЯ - 9 (24-9096) гребень, мат. л.,выб.л., 2 диз в сп.</t>
  </si>
  <si>
    <t>24-9096</t>
  </si>
  <si>
    <t>4670159290964</t>
  </si>
  <si>
    <t>ПП-00260776</t>
  </si>
  <si>
    <t>Альбом для рисования А4 24л. МИЛЫЕ КОТЯТА (24-8562) гребень, матовая лам., выб. лак, 2 диз в сп.</t>
  </si>
  <si>
    <t>24-8562</t>
  </si>
  <si>
    <t>4670159285625</t>
  </si>
  <si>
    <t>Альбомы А4 24л Стандарт КБС</t>
  </si>
  <si>
    <t>ПП-00275852</t>
  </si>
  <si>
    <t>Альбом для рисования А4 24л. ДЕВОЧКА С ЖИВОТНЫМ - 4 (24-2412) КБС, картон. обл.,блок-офс</t>
  </si>
  <si>
    <t>24-2412</t>
  </si>
  <si>
    <t>4670159324126</t>
  </si>
  <si>
    <t>ПП-00275854</t>
  </si>
  <si>
    <t>Альбом для рисования А4 24л. КОТИК-4 (24-2413) КБС, картон. обл.,блок-офс</t>
  </si>
  <si>
    <t>24-2413</t>
  </si>
  <si>
    <t>4670159324133</t>
  </si>
  <si>
    <t>ПП-00264226</t>
  </si>
  <si>
    <t>Альбом для рисования А4 24л. КРАСИВОЕ АВТО (А24-9244) КБС, картон. обл.,блок-офс</t>
  </si>
  <si>
    <t>А24-9244</t>
  </si>
  <si>
    <t>4670159292449</t>
  </si>
  <si>
    <t>ПП-00275855</t>
  </si>
  <si>
    <t>Альбом для рисования А4 24л. ФУТБОЛЬНАЯ ТЕМА - 14 (24-2414) КБС, картон. обл.,блок-офс</t>
  </si>
  <si>
    <t>24-2414</t>
  </si>
  <si>
    <t>4670159324140</t>
  </si>
  <si>
    <t>ПП-00264227</t>
  </si>
  <si>
    <t>Альбом для рисования А4 24л. ЧЕРНЫЙ АЛЬБОМ (А24-9245) КБС, картон. обл.,блок-офс</t>
  </si>
  <si>
    <t>А24-9245</t>
  </si>
  <si>
    <t>4670159292456</t>
  </si>
  <si>
    <t>Цветная спираль</t>
  </si>
  <si>
    <t>Альбом А4 24л. Стандарт цветная спираль</t>
  </si>
  <si>
    <t>ПП-00259224</t>
  </si>
  <si>
    <t>Альбом для рисования А4 24л. ДЕВОЧКА С ТИГРЁНКОМ (А24-8226) цветн.спираль,1 диз в спайке, офсет</t>
  </si>
  <si>
    <t>А24-8226</t>
  </si>
  <si>
    <t>4670159282266</t>
  </si>
  <si>
    <t>ПП-00259222</t>
  </si>
  <si>
    <t>Альбом для рисования А4 24л. ДРИФТ В НОЧНОМ ГОРОДЕ (А24-8225) цветн.спираль,1 диз в спайке, офсет</t>
  </si>
  <si>
    <t>А24-8225</t>
  </si>
  <si>
    <t>4670159282259</t>
  </si>
  <si>
    <t>ПП-00259220</t>
  </si>
  <si>
    <t>Альбом для рисования А4 24л. КРАСНОЕ АВТО НА ТРАССЕ (А24-8224) цветн.спираль,1 диз в спайке, офсет</t>
  </si>
  <si>
    <t>А24-8224</t>
  </si>
  <si>
    <t>4670159282242</t>
  </si>
  <si>
    <t>ПП-00259225</t>
  </si>
  <si>
    <t>Альбом для рисования А4 24л. ПУШИСТЫЙ КОТЁНОК (А24-8227) цветн.спираль,1 диз в спайке, офсет</t>
  </si>
  <si>
    <t>А24-8227</t>
  </si>
  <si>
    <t>4670159282273</t>
  </si>
  <si>
    <t>Альбомы для рисования, 32 листа</t>
  </si>
  <si>
    <t xml:space="preserve"> Альбомы А4 32л Эконом скрепка</t>
  </si>
  <si>
    <t>ПП-00276220</t>
  </si>
  <si>
    <t>Альбом для рисования А4 32л. МИКС (А32-2928)  скрепка (!)</t>
  </si>
  <si>
    <t>А32-2928</t>
  </si>
  <si>
    <t>ПП-00256946</t>
  </si>
  <si>
    <t>ТМ"Profit"Альбом для рисов. А4 32л. ДЕВОЧКА И ЗВЕРУШКА (32-7257) скрепка, 2 диз в сп</t>
  </si>
  <si>
    <t>32-7257</t>
  </si>
  <si>
    <t>4670159272571</t>
  </si>
  <si>
    <t>ПП-00256949</t>
  </si>
  <si>
    <t>ТМ"Profit"Альбом для рисов. А4 32л. ДИВНЫЕ ПЕЙЗАЖИ - 2 (32-7287) скрепка</t>
  </si>
  <si>
    <t>32-7287</t>
  </si>
  <si>
    <t>4670159272878</t>
  </si>
  <si>
    <t>ПП-00256948</t>
  </si>
  <si>
    <t>ТМ"Profit"Альбом для рисов. А4 32л. КЛАССИКА ОДНОТОННАЯ - 3 (32-7258) скрепка, 2диз в сп</t>
  </si>
  <si>
    <t>32-7258</t>
  </si>
  <si>
    <t>4670159272588</t>
  </si>
  <si>
    <t>ПП-00256943</t>
  </si>
  <si>
    <t>ТМ"Profit"Альбом для рисов. А4 32л. КОТИКИ (32-7254) скрепка, 2 диз в сп</t>
  </si>
  <si>
    <t>32-7254</t>
  </si>
  <si>
    <t>4670159272540</t>
  </si>
  <si>
    <t>ПП-00256944</t>
  </si>
  <si>
    <t>ТМ"Profit"Альбом для рисов. А4 32л. МИЛАЯ ЛИСИЧКА (32-7255) скрепка</t>
  </si>
  <si>
    <t>32-7255</t>
  </si>
  <si>
    <t>4670159272557</t>
  </si>
  <si>
    <t>ПП-00241887</t>
  </si>
  <si>
    <t>ТМ"Profit"Альбом для рисов. А4 32л. МИЛЫЕ КОРЖИКИ (32-2215) скрепка</t>
  </si>
  <si>
    <t>32-2215</t>
  </si>
  <si>
    <t>4670159222156</t>
  </si>
  <si>
    <t>ПП-00241882</t>
  </si>
  <si>
    <t>ТМ"Profit"Альбом для рисов. А4 32л. МРАМОР (32-2212) скрепка</t>
  </si>
  <si>
    <t>32-2212</t>
  </si>
  <si>
    <t>4670159222125</t>
  </si>
  <si>
    <t>ПП-00256945</t>
  </si>
  <si>
    <t>ТМ"Profit"Альбом для рисов. А4 32л. РАЗНЫЕ ФУТБОЛЬНЫЕ МЯЧИ - 7 (32-7256) скрепка, 2 диз в сп</t>
  </si>
  <si>
    <t>32-7256</t>
  </si>
  <si>
    <t>4670159272564</t>
  </si>
  <si>
    <t>ПП-00256942</t>
  </si>
  <si>
    <t>ТМ"Profit"Альбом для рисов. А4 32л. СПОРТИВНЫЕ АВТО - 1 (32-7253) скрепка, 2 диз в сп</t>
  </si>
  <si>
    <t>32-7253</t>
  </si>
  <si>
    <t>4670159272533</t>
  </si>
  <si>
    <t>Альбомы А4 32л Стандарт скрепка</t>
  </si>
  <si>
    <t>ПП-00258096</t>
  </si>
  <si>
    <t>Альбом для рисования А4 32л. ГОРНЫЙ ПЕЙЗАЖ - 8 (32-7768), скрепка, картон.обл</t>
  </si>
  <si>
    <t>32-7768</t>
  </si>
  <si>
    <t>4670159277682</t>
  </si>
  <si>
    <t>ПП-00258093</t>
  </si>
  <si>
    <t>Альбом для рисования А4 32л. ЗАЙЧИК И БАБОЧКА (32-7765), скрепка, картон.обл</t>
  </si>
  <si>
    <t>32-7765</t>
  </si>
  <si>
    <t>4670159277651</t>
  </si>
  <si>
    <t>ПП-00262917</t>
  </si>
  <si>
    <t>Альбом для рисования А4 32л. КЛАССИКА ОДНОТОННАЯ - 2 (32-9063) скрепка, картон обл.,2диз в сп</t>
  </si>
  <si>
    <t>32-9063</t>
  </si>
  <si>
    <t>4670159290636</t>
  </si>
  <si>
    <t>ПП-00258094</t>
  </si>
  <si>
    <t>Альбом для рисования А4 32л. ЧЁРНЫЙ АВТОМОБИЛЬ - 7 (32-7766), скрепка, картон.обл</t>
  </si>
  <si>
    <t>32-7766</t>
  </si>
  <si>
    <t>4670159277668</t>
  </si>
  <si>
    <t>Альбомы А4 32л Стандарт КБС</t>
  </si>
  <si>
    <t>ПП-00257190</t>
  </si>
  <si>
    <t>Альбом для рисования А4 32л. ГОРНЫЙ ПЕЙЗАЖ - 5 (32-7402) КБС, картон. обл.,блок офсет</t>
  </si>
  <si>
    <t>32-7402</t>
  </si>
  <si>
    <t>4670159274025</t>
  </si>
  <si>
    <t>ПП-00207182</t>
  </si>
  <si>
    <t>Альбом для рисования А4 32л. ПРИКЛЮЧЕНИЯ НА ВОЗДУШНОМ ШАРЕ (32-3932) КБС,мелов. обл.,блок оф СПАЙКА2</t>
  </si>
  <si>
    <t>32-3932</t>
  </si>
  <si>
    <t>4670159039327</t>
  </si>
  <si>
    <t>Альбомы А4 32л Улучшенное качество КБС</t>
  </si>
  <si>
    <t>ПП-00207198</t>
  </si>
  <si>
    <t>Альбом для рисования А4 32л. ДЕВОЧКА И КОТЁНОК-1 (32-9632) КБС,офсет,отр. блок СПАЙКА 2</t>
  </si>
  <si>
    <t>32-9632</t>
  </si>
  <si>
    <t>4610144896320</t>
  </si>
  <si>
    <t>ПП-00203543</t>
  </si>
  <si>
    <t>Альбом для рисования А4 32л. КОТИК В СВИТЕРЕ (32-3933) КБС,офсет,отр. блок</t>
  </si>
  <si>
    <t>32-3933</t>
  </si>
  <si>
    <t>4670159039334</t>
  </si>
  <si>
    <t>Альбомы для рисования, 40 листов</t>
  </si>
  <si>
    <t xml:space="preserve"> Альбомы А4 40л Эконом скрепка</t>
  </si>
  <si>
    <t>ПП-00256962</t>
  </si>
  <si>
    <t>ТМ"Profit"Альбом для рисования А4 40л ВНЕДОРОЖНИКИ-4 (40-7262) скрепка, 2диз в сп</t>
  </si>
  <si>
    <t>40-7262</t>
  </si>
  <si>
    <t>4670159272625</t>
  </si>
  <si>
    <t>ПП-00256970</t>
  </si>
  <si>
    <t>ТМ"Profit"Альбом для рисования А4 40л ДЕВУШКА И ЖИВОТНОЕ (40-7269) скрепка, 2диз в сп</t>
  </si>
  <si>
    <t>40-7269</t>
  </si>
  <si>
    <t>4670159272694</t>
  </si>
  <si>
    <t>ПП-00241899</t>
  </si>
  <si>
    <t>ТМ"Profit"Альбом для рисования А4 40л ЗЕЛЕНОГЛАЗАЯ КОШКА (40-2221) скрепка</t>
  </si>
  <si>
    <t>40-2221</t>
  </si>
  <si>
    <t>4670159222217</t>
  </si>
  <si>
    <t>ПП-00256977</t>
  </si>
  <si>
    <t>ТМ"Profit"Альбом для рисования А4 40л КЛАССИКА ОДНОТОННАЯ - 4 (40-7275) скрепка, 2диз в сп</t>
  </si>
  <si>
    <t>40-7275</t>
  </si>
  <si>
    <t>4670159272755</t>
  </si>
  <si>
    <t>ПП-00256960</t>
  </si>
  <si>
    <t>ТМ"Profit"Альбом для рисования А4 40л МРАМОР - 1 (40-7261) скрепка</t>
  </si>
  <si>
    <t>40-7261</t>
  </si>
  <si>
    <t>4670159272618</t>
  </si>
  <si>
    <t>ПП-00256975</t>
  </si>
  <si>
    <t>ТМ"Profit"Альбом для рисования А4 40л РАЗНЫЕ ФУТБОЛЬНЫЕ МЯЧИ - 8 (40-7274) скрепка, 2диз в сп</t>
  </si>
  <si>
    <t>40-7274</t>
  </si>
  <si>
    <t>4670159272748</t>
  </si>
  <si>
    <t>ПП-00241889</t>
  </si>
  <si>
    <t>ТМ"Profit"Альбом для рисования А4 40л СПОРТКАРЫ (40-2217) скрепка, 2диз в сп</t>
  </si>
  <si>
    <t>40-2217</t>
  </si>
  <si>
    <t>4670159222170</t>
  </si>
  <si>
    <t>ПП-00256974</t>
  </si>
  <si>
    <t>ТМ"Profit"Альбом для рисования А4 40л СЧАСТЛИВЫЕ ПЁСИКИ (40-7273) скрепка, 2диз в сп</t>
  </si>
  <si>
    <t>40-7273</t>
  </si>
  <si>
    <t>4670159272731</t>
  </si>
  <si>
    <t>ПП-00256972</t>
  </si>
  <si>
    <t>ТМ"Profit"Альбом для рисования А4 40л СЧАСТЛИВЫЙ ЛИСЁНОК (40-7271) скрепка</t>
  </si>
  <si>
    <t>40-7271</t>
  </si>
  <si>
    <t>4670159272717</t>
  </si>
  <si>
    <t xml:space="preserve">Альбомы А4 40л Стандарт скрепка </t>
  </si>
  <si>
    <t>Альбомы А4 40л Стандарт скрепка без обработок</t>
  </si>
  <si>
    <t>ПП-00258104</t>
  </si>
  <si>
    <t>Альбом для рисования А4 40л. ДЕВУШКА И КОТ - 1 (40-7782) скреп, картон. обл., офс</t>
  </si>
  <si>
    <t>40-7782</t>
  </si>
  <si>
    <t>4670159277828</t>
  </si>
  <si>
    <t>ПП-00258102</t>
  </si>
  <si>
    <t>Альбом для рисования А4 40л. ЗАВОРАЖИВАЮЩИЕ ПЕЙЗАЖИ-1 (40-7787) 2 диз.в сп, скреп, картон. обл., офс</t>
  </si>
  <si>
    <t>40-7787</t>
  </si>
  <si>
    <t>4670159277873</t>
  </si>
  <si>
    <t>ПП-00258101</t>
  </si>
  <si>
    <t>Альбом для рисования А4 40л. МИЛЫЕ КОТИКИ - 2 (40-7784) 2 диз.в сп, скреп, картон. обл., офс</t>
  </si>
  <si>
    <t>40-7784</t>
  </si>
  <si>
    <t>4670159277842</t>
  </si>
  <si>
    <t>ПП-00258099</t>
  </si>
  <si>
    <t>Альбом для рисования А4 40л. СПОРТИВНЫЕ АВТОМОБИЛИ -6 (40-7781) 2 диз.в сп, скреп, картон. обл., офс</t>
  </si>
  <si>
    <t>40-7781</t>
  </si>
  <si>
    <t>4670159277811</t>
  </si>
  <si>
    <t>ПП-00258098</t>
  </si>
  <si>
    <t>Альбом для рисования А4 40л. СТИЛЬНЫЕ АВТОМОБИЛИ - 1 (40-7780) 2 диз.в сп, скреп, картон. обл., офс</t>
  </si>
  <si>
    <t>40-7780</t>
  </si>
  <si>
    <t>4670159277804</t>
  </si>
  <si>
    <t>ПП-00269397</t>
  </si>
  <si>
    <t>Альбом для рисования А4 40л. СТИЛЬНЫЙ ЧЁРНЫЙ - 17 (А40-0405) 2 диз в сп, скреп, картон. обл., офс</t>
  </si>
  <si>
    <t>А40-0405</t>
  </si>
  <si>
    <t>4670159304050</t>
  </si>
  <si>
    <t>ПП-00273844</t>
  </si>
  <si>
    <t>Альбом для рисования А4 40л. ФУТБОЛЬНАЯ ТЕМА - 12 (40-1814) 2 диз.в сп, скреп, картон. обл., офс</t>
  </si>
  <si>
    <t>40-1814</t>
  </si>
  <si>
    <t>4670159318149</t>
  </si>
  <si>
    <t>ПП-00258106</t>
  </si>
  <si>
    <t>Альбом для рисования А4 40л. ЯРКОЕ ТВОРЧЕСТВО - 2 (40-7785) 2 диз в сп, скреп, картон. обл., офс</t>
  </si>
  <si>
    <t>40-7785</t>
  </si>
  <si>
    <t>4670159277859</t>
  </si>
  <si>
    <t>Альбомы А4 40л Стандарт скрепка с обработками</t>
  </si>
  <si>
    <t>Альбом А4 40л. Стандарт скрепка, лён</t>
  </si>
  <si>
    <t>ПП-00259239</t>
  </si>
  <si>
    <t>Альбом для рисования А4 40л. МЯЧ В СЕТКЕ (А40-8232) скрепка, 1 диз. в спайке, лен</t>
  </si>
  <si>
    <t>А40-8232</t>
  </si>
  <si>
    <t>4670159282327</t>
  </si>
  <si>
    <t>ПП-00269401</t>
  </si>
  <si>
    <t>Альбом для рисования А4 40л. СТИЛЬНЫЙ ЧЁРНЫЙ - 18 (А40-0406) скрепка, 2 диз. в спайке, лен</t>
  </si>
  <si>
    <t>А40-0406</t>
  </si>
  <si>
    <t>4670159304067</t>
  </si>
  <si>
    <t>ПП-00259234</t>
  </si>
  <si>
    <t>Альбом для рисования А4 40л. ЧЁРНЫЕ ВНЕДОРОЖНИКИ (А40-8229) скрепка, 2 диз. в спайке, лен</t>
  </si>
  <si>
    <t>А40-8229</t>
  </si>
  <si>
    <t>4670159282297</t>
  </si>
  <si>
    <t>Альбом для рисования 40л. скрепка, 6+0 лён</t>
  </si>
  <si>
    <t>ПП-00205271</t>
  </si>
  <si>
    <t xml:space="preserve"> Альбом для рисования А4 40л. ЯРКИЕ РОЛИКИ (40-4925) скрепка, 2 диз. в спайке, 6+0 лен</t>
  </si>
  <si>
    <t>40-4925</t>
  </si>
  <si>
    <t>4670159049258</t>
  </si>
  <si>
    <t xml:space="preserve"> Альбомы А4 40л Стандарт гребень </t>
  </si>
  <si>
    <t>Альбомы А4 40л Стандарт гребень без обработок</t>
  </si>
  <si>
    <t>Альбом А4 40л. Стандарт гребень</t>
  </si>
  <si>
    <t>ПП-00268459</t>
  </si>
  <si>
    <t>Альбом для рисования А4 40л. КЛАССИКА ОДНОТОННАЯ - 28 (А40-0236) 2 диз.в сп.+ стикеры, гребень,офсет</t>
  </si>
  <si>
    <t>А40-0236</t>
  </si>
  <si>
    <t>4670159302360</t>
  </si>
  <si>
    <t>Альбомы А4 40л Стандарт гребень с обработками</t>
  </si>
  <si>
    <t>Альбом А4 40л. Стандарт гребень, лён</t>
  </si>
  <si>
    <t>ПП-00258086</t>
  </si>
  <si>
    <t>Альбом для рисования А4 40л. АВТО И ПРИРОДА - 10 (40-7776) гребень, лён, 2 диз в сп.</t>
  </si>
  <si>
    <t>40-7776</t>
  </si>
  <si>
    <t>4670159277767</t>
  </si>
  <si>
    <t>ПП-00262993</t>
  </si>
  <si>
    <t>Альбом для рисования А4 40л. КЛАССИКА ОДНОТОННАЯ - 11 (40-9098) гребень, лён, 2 диз в сп.</t>
  </si>
  <si>
    <t>40-9098</t>
  </si>
  <si>
    <t>4670159290988</t>
  </si>
  <si>
    <t>ПП-00269403</t>
  </si>
  <si>
    <t>Альбом для рисования А4 40л. СТИЛЬНЫЙ ЧЁРНЫЙ - 19 (А40-0407) гребень, лён, 2 диз в сп.</t>
  </si>
  <si>
    <t>А40-0407</t>
  </si>
  <si>
    <t>4670159304074</t>
  </si>
  <si>
    <t>Альбом А4 40л. Стандарт гребень, матовая лам.выб.лак.</t>
  </si>
  <si>
    <t>ПП-00259551</t>
  </si>
  <si>
    <t>Альбом для рисования А4 40л. ЗЕЛЕНОГЛАЗЫЙ КОТИК (А40-8350) греб, бл.100г,мат.лам, выб.лак</t>
  </si>
  <si>
    <t>А40-8350</t>
  </si>
  <si>
    <t>4670159283508</t>
  </si>
  <si>
    <t xml:space="preserve">Альбомы А4 40л Повышенная плотность гребень </t>
  </si>
  <si>
    <t>Альбом А4 40л. Стандарт гребень, блок 160 гр, микроперфорация</t>
  </si>
  <si>
    <t>ПП-00262995</t>
  </si>
  <si>
    <t>Альбом для рисования А4 40л. КЛАССИКА ОДНОТОННАЯ -13 (А40-9100) греб, микр.,2 диз. в сп,офс 160г</t>
  </si>
  <si>
    <t>А40-9100</t>
  </si>
  <si>
    <t>4670159291008</t>
  </si>
  <si>
    <t xml:space="preserve"> Альбомы А4 40л Стандарт КБС</t>
  </si>
  <si>
    <t>Альбом А4 40л, Стандарт КБС без обработок</t>
  </si>
  <si>
    <t>ПП-00264181</t>
  </si>
  <si>
    <t>Альбом для рисования А4 40л. КЛАССИКА ОДНОТОННАЯ - 14 (А40-9222) КБС, картон. обл., офсет,2 диз.в сп</t>
  </si>
  <si>
    <t>А40-9222</t>
  </si>
  <si>
    <t>4670159292227</t>
  </si>
  <si>
    <t>ПП-00264229</t>
  </si>
  <si>
    <t>Альбом для рисования А4 40л. ПРИРОДА (А40-9247) КБС, картон. обл., офсет</t>
  </si>
  <si>
    <t>А40-9247</t>
  </si>
  <si>
    <t>4670159292470</t>
  </si>
  <si>
    <t>ПП-00269184</t>
  </si>
  <si>
    <t>Альбом для рисования А4 40л. ФУТБОЛЬНЫЙ МЯЧ - 34 (40-0322) КБС, картон. обл., офсет</t>
  </si>
  <si>
    <t>40-0322</t>
  </si>
  <si>
    <t>4670159303220</t>
  </si>
  <si>
    <t>Альбомы А4 40л Повышенная плотность КБС</t>
  </si>
  <si>
    <t>Альбом А4 40л. КБС, блок 160 гр</t>
  </si>
  <si>
    <t>ПП-00259196</t>
  </si>
  <si>
    <t>Альбом для рисования А4 40л. БАЙКАЛ. ОСТРОВ ОЛЬХОН (А40-8218) КБС,1диз в кор,5шт.в сп,офс160г,отр.бл</t>
  </si>
  <si>
    <t>А40-8218</t>
  </si>
  <si>
    <t>4670159282181</t>
  </si>
  <si>
    <t>ПП-00244084</t>
  </si>
  <si>
    <t>Альбом для рисования А4 40л. БЕЛЫЙ АВТОМОБИЛЬ-5 (40-3884) КБС,1диз в кор,5шт.в сп,офс 160г, отр.блок</t>
  </si>
  <si>
    <t>40-3884</t>
  </si>
  <si>
    <t>4670159238942</t>
  </si>
  <si>
    <t>ПП-00259197</t>
  </si>
  <si>
    <t>Альбом для рисования А4 40л. БЕЛЫЙ КОТИК НА КАЧЕЛЯХ (А40-8219) КБС,1д. в кор,5шт.в сп,офс160г,отр.бл</t>
  </si>
  <si>
    <t>А40-8219</t>
  </si>
  <si>
    <t>4670159282198</t>
  </si>
  <si>
    <t>ПП-00262994</t>
  </si>
  <si>
    <t>Альбом для рисования А4 40л. КЛАССИКА ОДНОТОННАЯ-12 (А40-9099) КБС, 2 диз в сп,офс160г,отр.б</t>
  </si>
  <si>
    <t>А40-9099</t>
  </si>
  <si>
    <t>4670159290995</t>
  </si>
  <si>
    <t>Альбомы для рисования, 48 листов</t>
  </si>
  <si>
    <t xml:space="preserve"> Альбомы А4 48л Стандарт КБС </t>
  </si>
  <si>
    <t>Альбом А4 48л. Стандарт КБС матовая лам, выб. лак</t>
  </si>
  <si>
    <t>ПП-00246103</t>
  </si>
  <si>
    <t>Альбом для рисования А4 48л. K-POP (А48-4661) КБС, матовая лам, выб. лак, 2диз в сп</t>
  </si>
  <si>
    <t>А48-4661</t>
  </si>
  <si>
    <t>4670159246619</t>
  </si>
  <si>
    <t>ПП-00259557</t>
  </si>
  <si>
    <t>Альбом для рисования А4 48л. ВЗГЛЯД КОТЁНКА (А48-8353) КБС, матовая лам, выб. лак  2диз в сп</t>
  </si>
  <si>
    <t>А48-8353</t>
  </si>
  <si>
    <t>4670159283539</t>
  </si>
  <si>
    <t>ПП-00259558</t>
  </si>
  <si>
    <t>Альбом для рисования А4 48л. МЯЧ В КОСМОСЕ (А48-8354) КБС, матовая лам, выб. лак  2диз в сп</t>
  </si>
  <si>
    <t>А48-8354</t>
  </si>
  <si>
    <t>4670159283546</t>
  </si>
  <si>
    <t>Альбомы А4 48л Стандарт цветная спираль</t>
  </si>
  <si>
    <t>Альбомы А4 48л Стандарт цветная спираль с обработками</t>
  </si>
  <si>
    <t>Альбом для рисования 48л. (цветная спираль), обложка - целлюлозный картон, твин-лак</t>
  </si>
  <si>
    <t>ПП-00259243</t>
  </si>
  <si>
    <t>Альбом для рисования А4 48л. НЕПОСЕДЛИВЫЕ КОТИКИ (А48-8234) цвет.спир., твин-лак, офсет, 2 диз в сп</t>
  </si>
  <si>
    <t>А48-8234</t>
  </si>
  <si>
    <t>4670159282341</t>
  </si>
  <si>
    <t>ПП-00259244</t>
  </si>
  <si>
    <t>Альбом для рисования А4 48л. ЧЁРНО-БЕЛЫЙ АВТОДУЭТ (А48-8235) цвет.спир., твин-лак, офсет, 2 диз в сп</t>
  </si>
  <si>
    <t>А48-8235</t>
  </si>
  <si>
    <t>4670159282358</t>
  </si>
  <si>
    <t>05. Продукция для творчества</t>
  </si>
  <si>
    <t>01. Раскраски, прописи, альбомы с наклейками, аппликации, брошюры</t>
  </si>
  <si>
    <t>01. Bright Kids</t>
  </si>
  <si>
    <t xml:space="preserve">   Раскраски</t>
  </si>
  <si>
    <t>Раскраски с нестандартным контентом</t>
  </si>
  <si>
    <t>"Битва на карандашах" 6л,цв.обл.-цел.к200г,уф-л,бл-офс100г полноцв, скр, 198х260</t>
  </si>
  <si>
    <t>ПП-00208440</t>
  </si>
  <si>
    <t>Развив. брошюра БУМАЖНЫЕ ВОЙНЫ (АКТ-4765) 6л,цв.обл.-цел.кар,уф-лак,блок-офсет полноцв, скр198х260</t>
  </si>
  <si>
    <t>АКТ-4765</t>
  </si>
  <si>
    <t>4670159047650</t>
  </si>
  <si>
    <t>ПП-00208441</t>
  </si>
  <si>
    <t>Развив. брошюра ВПЕРЕД К ПОБЕДЕ! (АКТ-4766) 6л,цв.обл.-цел.кар,уф-лак,блок-офсет полноцв, скр198х260</t>
  </si>
  <si>
    <t>АКТ-4766</t>
  </si>
  <si>
    <t>4670159047667</t>
  </si>
  <si>
    <t xml:space="preserve">  Водные раскраски</t>
  </si>
  <si>
    <t>ПП-00199500</t>
  </si>
  <si>
    <t>БОЛЬШАЯ ВОДНАЯ РАСКРАСКА "ДЛЯ МАЛЬЧИКОВ" (РВ-0628)238х330, 8л,обл-целл.карт,гл.л,бл офс 160г,4+0,скр</t>
  </si>
  <si>
    <t>РВ-0628</t>
  </si>
  <si>
    <t>4670159006282</t>
  </si>
  <si>
    <t>ВОДНАЯ РАСКРАСКА В ПАПКЕ</t>
  </si>
  <si>
    <t>ПП-00252307</t>
  </si>
  <si>
    <t>ВОДНАЯ РАСКРАСКА ДЛЯ МАЛЫШЕЙ В ПАПКЕ (Р-5571) 190х190,30л,бл-офс.160г,4+0,папка-ц.к,гл.л,4+0,инд уп</t>
  </si>
  <si>
    <t>Р-5571</t>
  </si>
  <si>
    <t>9785378355716</t>
  </si>
  <si>
    <t>ГИГАНТСКАЯ ВОДНАЯ РАСКРАСКА,А3,10л,обл-целл.карт,УФ-лак,блок-офс.160г,1+0,перф,тв.подл,скреп,300х430</t>
  </si>
  <si>
    <t>ПП-00236363</t>
  </si>
  <si>
    <t>ГИГАНТСКАЯ ВОДНАЯ РАСКРАСКА «ВЕСЁЛЫЕ ДИНО» (Р-5064) А3,10л,обл-к,УФ-л,офс.160г,1+0,перф,тв.подл,скр</t>
  </si>
  <si>
    <t>Р-5064</t>
  </si>
  <si>
    <t>9785378350643</t>
  </si>
  <si>
    <t>ПП-00236366</t>
  </si>
  <si>
    <t>ГИГАНТСКАЯ ВОДНАЯ РАСКРАСКА «ВОЛШЕБНЫЕ ЕДИНОРОГИ» (Р-5066) А3,10л,обл-к,УФ-л,офс.160г,1+0,перф,тв.п</t>
  </si>
  <si>
    <t>Р-5066</t>
  </si>
  <si>
    <t>9785378350667</t>
  </si>
  <si>
    <t>ПП-00236365</t>
  </si>
  <si>
    <t>ГИГАНТСКАЯ ВОДНАЯ РАСКРАСКА «ОЗОРНЫЕ ДЕТЁНЫШИ» (Р-5065) А3,10л,обл-к,УФ-л,офс.160г,1+0,перф,тв.подл</t>
  </si>
  <si>
    <t>Р-5065</t>
  </si>
  <si>
    <t>9785378350650</t>
  </si>
  <si>
    <t xml:space="preserve">  Прописи А4, А5</t>
  </si>
  <si>
    <t>Прописи А5</t>
  </si>
  <si>
    <t>Пропись с заданиями  А5 "ДЛЯ ЛЕВШЕЙ", полноцвет, 8л., обл.-целл.картон, блок-офсет, скрепка 163х210</t>
  </si>
  <si>
    <t>ПП-00125269</t>
  </si>
  <si>
    <t>Прописи А5 "ДЛЯ ЛЕВШЕЙ" В ДЕРЕВНЕ (ПР-5925) 8л.,полноцвет, обл.- мел.картон, бл--офсет,163х210</t>
  </si>
  <si>
    <t>ПР-5925</t>
  </si>
  <si>
    <t>4630079159253</t>
  </si>
  <si>
    <t>ПП-00125270</t>
  </si>
  <si>
    <t>Прописи А5 "ДЛЯ ЛЕВШЕЙ" В ЛЕСУ (ПР-5926) 8л.,полноцвет, обл.- мел.картон, бл--офсет,163х210</t>
  </si>
  <si>
    <t>ПР-5926</t>
  </si>
  <si>
    <t>4630079159260</t>
  </si>
  <si>
    <t>Альбомы и панорамы с наклейками</t>
  </si>
  <si>
    <t>Альбомы с наклейками</t>
  </si>
  <si>
    <t>АЛЬБОМ-РАСКРАСКИ С НАКЛЕЙКАМИ"ДЛЯ САМЫХ МАЛЕНЬКИХ 2+"215*215,4л+2лнакл+обл,полноц бл мел обл скреп</t>
  </si>
  <si>
    <t>ПП-00170069</t>
  </si>
  <si>
    <t>Альбом-раскраска с наклейками"ДЛЯ САМЫХ МАЛЕНЬКИХ ГЕОМЕТРИЯ (Р-9933)полно115гобл мел кар</t>
  </si>
  <si>
    <t>Р-9933</t>
  </si>
  <si>
    <t>4610144869331</t>
  </si>
  <si>
    <t>Альбомы с необычным контентом</t>
  </si>
  <si>
    <t>Стикербук "СТИКЕРНИ" А6 16л самоклейка, цв печать, 2 л чистых, обл- цел картон 200г уф-лак, гребень</t>
  </si>
  <si>
    <t>ПП-00211211</t>
  </si>
  <si>
    <t>СТИКЕРНИ А6 ХЮГГЕ (СБ16-7764) 16л самоклейка, цв печ,2 л чистых, обл- цел.картон,уф-лак,греб</t>
  </si>
  <si>
    <t>СБ16-7764</t>
  </si>
  <si>
    <t>4670159077640</t>
  </si>
  <si>
    <t>Альбомы-одевашки</t>
  </si>
  <si>
    <t>"Создай образ" А5,4л,цв.обл цел к200г,глян.лам,бл.офс100 полноцв,скреп</t>
  </si>
  <si>
    <t>ПП-00202628</t>
  </si>
  <si>
    <t>ПП-00202627</t>
  </si>
  <si>
    <t>Развив. брошюра с накл. MAGIC GIRLS (РТ-1739) А5,4л,цв.обл цел кар,глян.лам,бл.офс полноцв,скр</t>
  </si>
  <si>
    <t>РТ-1739</t>
  </si>
  <si>
    <t>4620129717397</t>
  </si>
  <si>
    <t>ПП-00202630</t>
  </si>
  <si>
    <t>Развив. брошюра с накл. SUPERHEROES (РТ-1742) А5,4л,цв.обл цел кар,глян.лам,бл.офс полноцв,скр</t>
  </si>
  <si>
    <t>РТ-1742</t>
  </si>
  <si>
    <t>4620129717427</t>
  </si>
  <si>
    <t>Аппликации и наборы для творчества</t>
  </si>
  <si>
    <t>Нескучные аппликации. Учимся вырезать и клеить А5,24л,бл офс.100г, обл цел.карт 200г 4+0,Уф-лак, скр</t>
  </si>
  <si>
    <t>ПП-00191448</t>
  </si>
  <si>
    <t>Учимся вырезать и клеить А5 МОНСТРИКИ (АПЛ-4717) 24л, бл офс, обл цел.карт, скрепка</t>
  </si>
  <si>
    <t>АПЛ-4717</t>
  </si>
  <si>
    <t>4620129747172</t>
  </si>
  <si>
    <t>ПП-00191452</t>
  </si>
  <si>
    <t>Учимся вырезать и клеить А5 РОБОТЫ В КОСМОСЕ (АПЛ-4721) 24л, бл офс, обл цел.карт, скрепка</t>
  </si>
  <si>
    <t>АПЛ-4721</t>
  </si>
  <si>
    <t>4620129747219</t>
  </si>
  <si>
    <t>Складывай и играй 3Д</t>
  </si>
  <si>
    <t>ПП-00203311</t>
  </si>
  <si>
    <t>Набор для дет.творч.МОНСТРИКИ(Р-0077)100*210,16л,офсет100г,4+0,Обл цел карт190-200г,Уф-лак,КБС</t>
  </si>
  <si>
    <t>Р-0077</t>
  </si>
  <si>
    <t>4670159000778</t>
  </si>
  <si>
    <t>Наклейки</t>
  </si>
  <si>
    <t>Наклейки в пакете 130*230 с европодвесом</t>
  </si>
  <si>
    <t>ПП-00216585</t>
  </si>
  <si>
    <t>Наклейки "I love wednesday, thursday, friday" (НН-1082) 130*230 1л. самоклейка, высечка лазером</t>
  </si>
  <si>
    <t>НН-1082</t>
  </si>
  <si>
    <t>4670159110828</t>
  </si>
  <si>
    <t>ПП-00177954</t>
  </si>
  <si>
    <t>Наклейки "Азбука" (НН-7426) 130*230 1л. самоклейка, высечка лазером</t>
  </si>
  <si>
    <t>НН-7426</t>
  </si>
  <si>
    <t>4610144874267</t>
  </si>
  <si>
    <t>ПП-00176310</t>
  </si>
  <si>
    <t>Наклейки "Для девочек" (НН-7419) 130*230 1л. самоклейка, высечка лазером</t>
  </si>
  <si>
    <t>НН-7419</t>
  </si>
  <si>
    <t>4610144874199</t>
  </si>
  <si>
    <t>Наклейки в пакете А5 без отделки, с европодвесом, 150х225</t>
  </si>
  <si>
    <t>ПП-00177369</t>
  </si>
  <si>
    <t>Наклейки в пакете ФРУКТЫ А5 (НН-7415) без отделки, 150х225</t>
  </si>
  <si>
    <t>НН-7415</t>
  </si>
  <si>
    <t>4610144874151</t>
  </si>
  <si>
    <t>Наклейки в пакете А5 с блестками, с европодвесом, 150х225</t>
  </si>
  <si>
    <t>ПП-00194477</t>
  </si>
  <si>
    <t>Наклейки в пакете МОДНИЦА А5 (НН-8131) с блестками, 150х225</t>
  </si>
  <si>
    <t>НН-8131</t>
  </si>
  <si>
    <t>4610144881333</t>
  </si>
  <si>
    <t>ПП-00194479</t>
  </si>
  <si>
    <t>Наклейки в пакете РОБОТЫ А5 (НН-8133) с блестками, 150х225</t>
  </si>
  <si>
    <t>НН-8133</t>
  </si>
  <si>
    <t>4610144881357</t>
  </si>
  <si>
    <t>Светящиеся наклейки А4 195х295, европодвес, полноцвет, свет. лак</t>
  </si>
  <si>
    <t>ПП-00184268</t>
  </si>
  <si>
    <t>Светящиеся наклейки А4 КОСМОС (НН-2838) 195х295, европакет, полноцвет, свет. лак</t>
  </si>
  <si>
    <t>НН-2838</t>
  </si>
  <si>
    <t>4620129728386</t>
  </si>
  <si>
    <t>Развивающие брошюры и пособия</t>
  </si>
  <si>
    <t>Графические диктанты</t>
  </si>
  <si>
    <t>"Графические диктанты", А5, 8 л., ч/б офс100г, обл.цел.к200г, 165х210,скреп</t>
  </si>
  <si>
    <t>ПП-00199018</t>
  </si>
  <si>
    <t>Графические диктанты(ПР-0148/ПР-0149/ПР-0150/ПР-0151/ПР-0152/ПР-0153/ПР-0154/ПР-0155)</t>
  </si>
  <si>
    <t>ГД-01</t>
  </si>
  <si>
    <t>4620129701501</t>
  </si>
  <si>
    <t>Развив. брошюра с накл. "Нескучные графические диктанты",А4,8л,бл.оф100 полноц,обл.ц.к200,уф-л,скр</t>
  </si>
  <si>
    <t>ПП-00205815</t>
  </si>
  <si>
    <t>Развив. брошюра ВЕСЁЛЫЙ ПИКНИК (РТ-0060) А4,8л,бл.офс,обл.цел.к,уф-лак,скрепка</t>
  </si>
  <si>
    <t>РТ-0060</t>
  </si>
  <si>
    <t>4670159000600</t>
  </si>
  <si>
    <t>Многоразовые раскраски</t>
  </si>
  <si>
    <t>Развивающая брошюра Развитие межполушарных связей. Обведи двумя руками. Многоразовая</t>
  </si>
  <si>
    <t>ПП-00229405</t>
  </si>
  <si>
    <t>НАБОР Развитие межполуш.связей.Обведи 2-мя руками.ДОМАШНИЕ ЖИВОТНЫЕ(РТ-4909/4908/4910/Ф-8632/) (!)</t>
  </si>
  <si>
    <t>РТ-4909микс</t>
  </si>
  <si>
    <t>4670159176671</t>
  </si>
  <si>
    <t>Рабочая тетрадь</t>
  </si>
  <si>
    <t>"УЧИМСЯ ЧИТАТЬ" с наклейками,198х260,8л,обл.цел.к200г,уф-лак, ч/б офс100г,скр</t>
  </si>
  <si>
    <t>ПП-00198057</t>
  </si>
  <si>
    <t>Рабочая тетрадь с наклейками УЧУСЬ ЧИТАТЬ САМ И ПИСАТЬ КРАСИВО(РТ-8108)8л,обл.цел.к,уф-лак,бл офс(!)</t>
  </si>
  <si>
    <t>РТ-8108</t>
  </si>
  <si>
    <t>4610144881081</t>
  </si>
  <si>
    <t>Любимая книга маленьких почемучек А4,10л,цв.обл цел к200г уф-л,бл.офс100 полноцв,скреп</t>
  </si>
  <si>
    <t>ПП-00211019</t>
  </si>
  <si>
    <t>Развив. брошюра ДИКИЕ ЗВЕРЯТА (РТ-2147) А4,10л,бл.офс полноцв,обл.цел.кар.уф-л,скр</t>
  </si>
  <si>
    <t>РТ-2147</t>
  </si>
  <si>
    <t>4670159021476</t>
  </si>
  <si>
    <t>ПП-00211021</t>
  </si>
  <si>
    <t>Развив. брошюра УДИВИТЕЛЬНАЯ ПРИРОДА (РТ-2149) А4,10л,бл.офс полноцв,обл.цел.кар.уф-л,скр</t>
  </si>
  <si>
    <t>РТ-2149</t>
  </si>
  <si>
    <t>4670159021490</t>
  </si>
  <si>
    <t>Развивающие брошюры с наклейками</t>
  </si>
  <si>
    <t>"Нейропсихологическая тетрадь-раскраска"А4,12л,бл.оф100г полноц,об.ц.к200г,уф</t>
  </si>
  <si>
    <t>ПП-00194636</t>
  </si>
  <si>
    <t>Развив. брошюра. ДАВАЙ ПОВТОРИМ! (РТ-6224) 12л,бл.офс,обл.ц.к.уф-лак,198х260,скр</t>
  </si>
  <si>
    <t>РТ-6224</t>
  </si>
  <si>
    <t>4620129762243</t>
  </si>
  <si>
    <t>02. Проф-пресс</t>
  </si>
  <si>
    <t>02. Раскраски А4, А5</t>
  </si>
  <si>
    <t>09. Ч/Б РАСКРАСКИ А5 обложка-мелов.бумага, на скрепке, 145х205</t>
  </si>
  <si>
    <t>ПП-00059132</t>
  </si>
  <si>
    <t xml:space="preserve"> Раскраска "ВЕСЕЛЫЕ ЦВЕТА" А5 Ч/Б. ФЕИ (08-3341) 8л.,на скрепке,обл.-мелов.бумага</t>
  </si>
  <si>
    <t>08-3341</t>
  </si>
  <si>
    <t>4665299633412</t>
  </si>
  <si>
    <t>ПП-00020731</t>
  </si>
  <si>
    <t>Раскраска А5 Ч/Б. ПРИНЦЕССЫ (Р-7671) (8л.,на скрепке,обл.-мелов.бумага)</t>
  </si>
  <si>
    <t>Р-7671</t>
  </si>
  <si>
    <t>9785378076710</t>
  </si>
  <si>
    <t>04. Прописи А4, А5</t>
  </si>
  <si>
    <t>02. Прописи А4 и А5 КАЛЛИГРАФИЧЕСКИЕ обложка-мелов.бумага, на скрепке</t>
  </si>
  <si>
    <t>Прописи А4 КАЛЛИГРАФИЧЕСКИЕ обложка-мелов.бумага, на скрепке</t>
  </si>
  <si>
    <t>ПП-00040409</t>
  </si>
  <si>
    <t>Пропись А4 КАЛЛИГРАФИЧЕСКОЕ НАПИСАНИЕ СЛОВ (ПР-9318) 8л, обл.-цветная мелов.бумага</t>
  </si>
  <si>
    <t>ПР-9318</t>
  </si>
  <si>
    <t>4665297793187</t>
  </si>
  <si>
    <t>Прописи А5 КАЛЛИГРАФИЧЕСКИЕ обложка-мелов.бумага, на скрепке</t>
  </si>
  <si>
    <t>ПП-00057371</t>
  </si>
  <si>
    <t>Пропись А5 альбомный Каллиграфическая СТРОЧНЫЕ БУКВЫ И ЦИФРЫ (ПР-3003) 8л,обл.-цвет мел.бум</t>
  </si>
  <si>
    <t>ПР-3003</t>
  </si>
  <si>
    <t>4665299630039</t>
  </si>
  <si>
    <t>05. Прописи А5 ПРОПИСИ ПО ТОЧКАМ обложка-мелов.бумага, на скрепке</t>
  </si>
  <si>
    <t>ПП-00057267</t>
  </si>
  <si>
    <t>Прописи А5 ВЕСЕЛЫЕ ЛИНИИ (ПР-2973) 8л., по точкам, обл.-цветная мелов.бумага</t>
  </si>
  <si>
    <t>ПР-2973</t>
  </si>
  <si>
    <t>4665299629736</t>
  </si>
  <si>
    <t>ПП-00057269</t>
  </si>
  <si>
    <t>Прописи А5 МОИ ПЕРВЫЕ УРОКИ (ПР-2975) 8л., по точкам, обл.-цветная мелов.бумага</t>
  </si>
  <si>
    <t>ПР-2975</t>
  </si>
  <si>
    <t>4665299629750</t>
  </si>
  <si>
    <t>07. Прописи А5 ПРОПИСИ ДЛЯ ЛЕВШЕЙ обложка-мелов.бумага, на скрепке</t>
  </si>
  <si>
    <t>ПП-00060294</t>
  </si>
  <si>
    <t>Пропись для левшей А5 ПИШЕМ ПРАВИЛЬНО (ПР-3808) 8л., обл.-цветная мелов.бумага</t>
  </si>
  <si>
    <t>ПР-3808</t>
  </si>
  <si>
    <t>4665299638080</t>
  </si>
  <si>
    <t>08. Прописи А5 ПРОПИСИ ДЛЯ ЛЕВШЕЙ И ПРАВШЕЙ обложка-мелов.бумага, на скрепке</t>
  </si>
  <si>
    <t>ПП-00072634</t>
  </si>
  <si>
    <t>Пропись А5 ПРОПИСИ ДЛЯ ЛЕВШЕЙ И ПРАВШЕЙ ВЕСЕЛЫЕ УРОКИ (ПР-7144) 4л., обл.-цветная мелов.бумага</t>
  </si>
  <si>
    <t>ПР-7144</t>
  </si>
  <si>
    <t>4665302671448</t>
  </si>
  <si>
    <t>ПП-00072635</t>
  </si>
  <si>
    <t>Пропись А5 ПРОПИСИ ДЛЯ ЛЕВШЕЙ И ПРАВШЕЙ ВОЛШЕБНАЯ АЗБУКА (ПР-7145) 4л., обл.-цветная мелов.бумага</t>
  </si>
  <si>
    <t>ПР-7145</t>
  </si>
  <si>
    <t>4665302671455</t>
  </si>
  <si>
    <t>ПП-00072636</t>
  </si>
  <si>
    <t>Пропись А5 ПРОПИСИ ДЛЯ ЛЕВШЕЙ И ПРАВШЕЙ ГРАФИЧЕСКИЕ НАВЫКИ (ПР-7146) 4л., обл.-цветная мелов.бумага</t>
  </si>
  <si>
    <t>ПР-7146</t>
  </si>
  <si>
    <t>4665302671462</t>
  </si>
  <si>
    <t>ПП-00072637</t>
  </si>
  <si>
    <t>Пропись А5 ПРОПИСИ ДЛЯ ЛЕВШЕЙ И ПРАВШЕЙ Я СЧИТАЮ (ПР-7147) 4л., обл.-цветная мелов.бумага</t>
  </si>
  <si>
    <t>ПР-7147</t>
  </si>
  <si>
    <t>4665302671479</t>
  </si>
  <si>
    <t>02. Картон и бумага для творчества</t>
  </si>
  <si>
    <t>02. Белый картон А4</t>
  </si>
  <si>
    <t xml:space="preserve"> TM"Profit"Картон белый А4 7л. папка, односторон. 210х297</t>
  </si>
  <si>
    <t>ПП-00260699</t>
  </si>
  <si>
    <t>TM"Profit"Картон белый А4 7л. БЕЛЫЙ ЩЕНОК - 1 (07-8540) папка, односторон. 7л.</t>
  </si>
  <si>
    <t>07-8540</t>
  </si>
  <si>
    <t>4670159285403</t>
  </si>
  <si>
    <t>ПП-00260698</t>
  </si>
  <si>
    <t>TM"Profit"Картон белый А4 7л. МИЛЫЙ КОТЁНОК - 3 (07-8539) папка, односторон. 7л.</t>
  </si>
  <si>
    <t>07-8539</t>
  </si>
  <si>
    <t>4670159285397</t>
  </si>
  <si>
    <t xml:space="preserve"> TM"Profit"Картон белый А4 8л., КБС, 185х274</t>
  </si>
  <si>
    <t>ПП-00228770</t>
  </si>
  <si>
    <t>TM"Profit"Картон белый А4 8л. ОРАНЖЕВО-ГОЛУБОЕ АВТО - 1 (08-7231) КБС, 8 листов 185х274</t>
  </si>
  <si>
    <t>08-7231</t>
  </si>
  <si>
    <t>4670159172314</t>
  </si>
  <si>
    <t>ПП-00152993</t>
  </si>
  <si>
    <t>TM"Profit"Картон белый А4 8л. СЕМЕЙСТВО ПАНД (08-7875) КБС, 8 листов 185х274</t>
  </si>
  <si>
    <t>08-7875</t>
  </si>
  <si>
    <t>4680088468754</t>
  </si>
  <si>
    <t xml:space="preserve"> Белый картон А4 10л. папка, 210х297</t>
  </si>
  <si>
    <t>ПП-00271888</t>
  </si>
  <si>
    <t>Белый картон А4 СТАНДАРТ. БЕЛЫЙ ТИГРЁНОК (10-1122) папка, двустор. 10л, 210х297</t>
  </si>
  <si>
    <t>10-1122</t>
  </si>
  <si>
    <t>4670159311225</t>
  </si>
  <si>
    <t>ПП-00271886</t>
  </si>
  <si>
    <t>Белый картон А4 СТАНДАРТ. ЗАЙЧИК СО ЗВЕЗДОЙ (10-1121) папка, двустор. 10л, 210х297</t>
  </si>
  <si>
    <t>10-1121</t>
  </si>
  <si>
    <t>4670159311218</t>
  </si>
  <si>
    <t xml:space="preserve"> Белый картон А4 5л. папка, 192х274</t>
  </si>
  <si>
    <t>ПП-00153383</t>
  </si>
  <si>
    <t>Картон белый А4 5л. ВЕСЕЛЬЕ В ЗООПАРКЕ (05-7683) папка</t>
  </si>
  <si>
    <t>05-7683</t>
  </si>
  <si>
    <t>4680088476834</t>
  </si>
  <si>
    <t>ПП-00153381</t>
  </si>
  <si>
    <t>Картон белый А4 5л. МЕДВЕДЬ И СНЕГИРЬ (05-7681) папка</t>
  </si>
  <si>
    <t>05-7681</t>
  </si>
  <si>
    <t>4680088476810</t>
  </si>
  <si>
    <t xml:space="preserve"> Белый картон А4 8л. папка, 210х297</t>
  </si>
  <si>
    <t>ПП-00273336</t>
  </si>
  <si>
    <t>Белый картон А4 СТАНДАРТ. ПИНГВИНЁНОК-1 (08-1674) папка, двустор.8л, 210х297</t>
  </si>
  <si>
    <t>08-1674</t>
  </si>
  <si>
    <t>4670159316749</t>
  </si>
  <si>
    <t>Белый картон А4 в ПЭТ</t>
  </si>
  <si>
    <t>ПП-00244281</t>
  </si>
  <si>
    <t>Картон белый А4 50л. (50-3957) цв. вкладыш + ПЭТ 200х282</t>
  </si>
  <si>
    <t>50-3957</t>
  </si>
  <si>
    <t>4670159239574</t>
  </si>
  <si>
    <t>03. Цветной картон А4 и А5</t>
  </si>
  <si>
    <t xml:space="preserve">  TM"Profit" Цветной картон А4 8цв. КБС, 185х274</t>
  </si>
  <si>
    <t>ПП-00272441</t>
  </si>
  <si>
    <t>TM"Profit" Цветной картон А4. МИЛАЯ КОШКА - 1 (08-1483) КБС, одностор, 8л 8цв 185х274</t>
  </si>
  <si>
    <t>08-1483</t>
  </si>
  <si>
    <t>4670159314462</t>
  </si>
  <si>
    <t xml:space="preserve"> Цветной картон А4 8л. 8цв. папка 210х297</t>
  </si>
  <si>
    <t>ПП-00272434</t>
  </si>
  <si>
    <t>Цветной картон А4 СТАНДАРТ. МИЛАЯ КАПИБАРА - 4 (08-1480) папка, одностор. 8л. 8 цв. 210х297</t>
  </si>
  <si>
    <t>08-1480</t>
  </si>
  <si>
    <t>4670159314417</t>
  </si>
  <si>
    <t>ПП-00272435</t>
  </si>
  <si>
    <t>Цветной картон А4 СТАНДАРТ. МИЛАЯ СОБАКА - 1 (08-1481) папка, одностор. 8л. 8 цв. 210х297</t>
  </si>
  <si>
    <t>08-1481</t>
  </si>
  <si>
    <t>4670159314424</t>
  </si>
  <si>
    <t xml:space="preserve"> Цветной картон А4, 10л.10цв. папка 210x297</t>
  </si>
  <si>
    <t>ПП-00272445</t>
  </si>
  <si>
    <t>Цветной картон "ВОЛШЕБНЫЙ" А4 10л. МИЛЫЙ КОТЁНОК - 5 (10-1448) папка, одностор,зол+сереб+8цв 210x297</t>
  </si>
  <si>
    <t>10-1448</t>
  </si>
  <si>
    <t>4670159314486</t>
  </si>
  <si>
    <t>ПП-00272444</t>
  </si>
  <si>
    <t>Цветной картон "ВОЛШЕБНЫЙ" А4 10л. МИЛЫЙ ТИГРЁНОК - 1(10-1447) папка, одностор,зол+сереб+8цв 210x297</t>
  </si>
  <si>
    <t>10-1447</t>
  </si>
  <si>
    <t>4670159314479</t>
  </si>
  <si>
    <t xml:space="preserve"> Цветной картон А4, А5 на клею/КБС</t>
  </si>
  <si>
    <t>ПП-00159488</t>
  </si>
  <si>
    <t xml:space="preserve"> НАБОР ДЛЯ ДЕТ.ТВОРЧЕСТВА Картон цветной А4 8л. БУМАЖНЫЕ РЫБКИ (08-8965) КБС,8 цветов</t>
  </si>
  <si>
    <t>08-8965</t>
  </si>
  <si>
    <t>Цветной картон А5 10 листов 195x138</t>
  </si>
  <si>
    <t>ПП-00155350</t>
  </si>
  <si>
    <t>НАБОР ДЛЯ ДЕТ.ТВОРЧЕСТВА Картон цв"ВОЛШЕБНЫЙ" А5 10л АРБУЗЫ В ГАМАКЕ (10-8928)КБС,з+с+8ц 195x138</t>
  </si>
  <si>
    <t>10-8928</t>
  </si>
  <si>
    <t>4680088489285</t>
  </si>
  <si>
    <t>ПП-00155345</t>
  </si>
  <si>
    <t>НАБОР ДЛЯ ДЕТ.ТВОРЧЕСТВА Картон цв"ВОЛШЕБНЫЙ" А5 10л НАРИСОВАННЫЕ КОТЫ (10-8925) КБС,з+с+8ц 195x138</t>
  </si>
  <si>
    <t>10-8925</t>
  </si>
  <si>
    <t>4680088489254</t>
  </si>
  <si>
    <t>ПП-00155349</t>
  </si>
  <si>
    <t>НАБОР ДЛЯ ДЕТ.ТВОРЧЕСТВА Картон цв"ВОЛШЕБНЫЙ" А5 10л ПАНДЫ ЗА ОБЕДОМ (10-8927)КБС,з+с+8ц 195x138</t>
  </si>
  <si>
    <t>10-8927</t>
  </si>
  <si>
    <t>4680088489278</t>
  </si>
  <si>
    <t>ПП-00155347</t>
  </si>
  <si>
    <t>НАБОР ДЛЯ ДЕТ.ТВОРЧЕСТВА Картон цв"ВОЛШЕБНЫЙ"А5 10л КОСМОНАВТ НА ЛУНОХОДЕ(10-8926)КБС,з+с+8ц 195x138</t>
  </si>
  <si>
    <t>10-8926</t>
  </si>
  <si>
    <t>4680088489261</t>
  </si>
  <si>
    <t>04. Цветная бумага А4</t>
  </si>
  <si>
    <t>Цветная бумага А4 на скрепке</t>
  </si>
  <si>
    <t xml:space="preserve"> Цветная бумага А4 8 листов 200х275</t>
  </si>
  <si>
    <t>Цветная бумага А4 8л  8цв 200х275</t>
  </si>
  <si>
    <t>ПП-00273143</t>
  </si>
  <si>
    <t>Бумага цветная 8л. двусторонняя А4 ЛИСЁНОК-1 (08-1612) 8л,8цв.скр, 200х275</t>
  </si>
  <si>
    <t>08-1612</t>
  </si>
  <si>
    <t>4670159316121</t>
  </si>
  <si>
    <t>ПП-00273144</t>
  </si>
  <si>
    <t>Бумага цветная 8л. двусторонняя А4 СЕРЫЙ КОТЁНОК - 3 (08-1613) 8л,8цв.скр, 200х275</t>
  </si>
  <si>
    <t>08-1613</t>
  </si>
  <si>
    <t>4670159316138</t>
  </si>
  <si>
    <t>ПП-00273145</t>
  </si>
  <si>
    <t>Бумага цветная 8л. двусторонняя А4 СИНИЙ АВТОМОБИЛЬ - 16 (08-1614) 8л,8цв.скр, 200х275</t>
  </si>
  <si>
    <t>08-1614</t>
  </si>
  <si>
    <t>4670159316145</t>
  </si>
  <si>
    <t>ПП-00273139</t>
  </si>
  <si>
    <t>Бумага цветная 8л. односторонняя А4 КРАСНЫЙ АВТОМОБИЛЬ - 11 (08-1609) 8л,8цв.скр, 200х275</t>
  </si>
  <si>
    <t>08-1609</t>
  </si>
  <si>
    <t>4670159316091</t>
  </si>
  <si>
    <t>ПП-00273140</t>
  </si>
  <si>
    <t>Бумага цветная 8л. односторонняя А4 РЫЖИЙ КОТЁНОК - 1 (08-1610) 8л,8цв.скр, 200х275</t>
  </si>
  <si>
    <t>08-1610</t>
  </si>
  <si>
    <t>4670159316107</t>
  </si>
  <si>
    <t>ПП-00273142</t>
  </si>
  <si>
    <t>Бумага цветная 8л. односторонняя А4 ТИГРЁНОК-1 (08-1611) 8л,8цв.скр, 200х275</t>
  </si>
  <si>
    <t>08-1611</t>
  </si>
  <si>
    <t>4670159316114</t>
  </si>
  <si>
    <t>Цветная бумага А4 8л 16цв 200х275</t>
  </si>
  <si>
    <t>ПП-00273147</t>
  </si>
  <si>
    <t>Бумага цветная 8л. двусторонняя А4 ЗАБАВНЫЕ ПУШИСТИКИ - 2 (08-1616) 8л,16цв.скр, 200х275</t>
  </si>
  <si>
    <t>08-1616</t>
  </si>
  <si>
    <t>4670159316169</t>
  </si>
  <si>
    <t>ПП-00273148</t>
  </si>
  <si>
    <t>Бумага цветная 8л. двусторонняя А4 ПАНДА НА КАЧЕЛЯХ (08-1617) 8л,16цв.скр, 200х275</t>
  </si>
  <si>
    <t>08-1617</t>
  </si>
  <si>
    <t>4670159316176</t>
  </si>
  <si>
    <t>ПП-00273146</t>
  </si>
  <si>
    <t>Бумага цветная 8л. двусторонняя А4 ФУТБОЛЬНЫЙ МЯЧ - 39 (08-1615) 8л,16цв.скр, 200х275</t>
  </si>
  <si>
    <t>08-1615</t>
  </si>
  <si>
    <t>4670159316152</t>
  </si>
  <si>
    <t>Цветная бумага А4 16 листов 200х275</t>
  </si>
  <si>
    <t>Цветная бумага А4 16л  8цв 200х275</t>
  </si>
  <si>
    <t>ПП-00273134</t>
  </si>
  <si>
    <t>Бумага цветная односторонняя А4 ЖЁЛТЫЙ АВТОМОБИЛЬ - 7 (16-1618) 16л, 8цв.скр, 200х275</t>
  </si>
  <si>
    <t>16-1618</t>
  </si>
  <si>
    <t>4670159316183</t>
  </si>
  <si>
    <t>ПП-00273338</t>
  </si>
  <si>
    <t>Бумага цветная односторонняя А4 РЫЖИЙ КОТЁНОК - 2 (16-1676) 16л, 8цв.скр, 200х275</t>
  </si>
  <si>
    <t>16-1676</t>
  </si>
  <si>
    <t>4670159316763</t>
  </si>
  <si>
    <t>Цветная бумага А4 16л 16цв 200х275</t>
  </si>
  <si>
    <t>ПП-00274123</t>
  </si>
  <si>
    <t>Бумага цветная двусторонняя А4 ДЕТЁНЫШ ИРБИСА - 1 (16-1912) 16л, 16цв.скр, 200х275</t>
  </si>
  <si>
    <t>16-1912</t>
  </si>
  <si>
    <t>4670159319122</t>
  </si>
  <si>
    <t>ПП-00274124</t>
  </si>
  <si>
    <t>Бумага цветная двусторонняя А4 ЗОЛОТИСТЫЙ ЩЕНОК (16-1913) 16л, 16цв.скр, 200х275</t>
  </si>
  <si>
    <t>16-1913</t>
  </si>
  <si>
    <t>4670159319139</t>
  </si>
  <si>
    <t>ПП-00274122</t>
  </si>
  <si>
    <t>Бумага цветная двусторонняя А4 СИНИЙ ДЖИП - 2 (16-1911) 16л, 16цв.скр, 200х275</t>
  </si>
  <si>
    <t>16-1911</t>
  </si>
  <si>
    <t>4670159319115</t>
  </si>
  <si>
    <t>ПП-00274125</t>
  </si>
  <si>
    <t>Бумага цветная двусторонняя А4 ФУТБОЛЬНЫЙ МЯЧ - 41 (16-1914) 16л, 16цв.скр, 200х275</t>
  </si>
  <si>
    <t>16-1914</t>
  </si>
  <si>
    <t>4670159319146</t>
  </si>
  <si>
    <t>ПП-00274117</t>
  </si>
  <si>
    <t>Бумага цветная односторонняя А4 КОТЁНОК С ПОНЧИКОМ (16-1906) 16л, 16цв.скр, 200х275</t>
  </si>
  <si>
    <t>16-1906</t>
  </si>
  <si>
    <t>4670159319061</t>
  </si>
  <si>
    <t>ПП-00274118</t>
  </si>
  <si>
    <t>Бумага цветная односторонняя А4 КРАСНЫЙ СПОРТКАР - 5 (16-1907) 16л, 16цв.скр, 200х275</t>
  </si>
  <si>
    <t>16-1907</t>
  </si>
  <si>
    <t>4670159319078</t>
  </si>
  <si>
    <t>03. Акварель и черчение</t>
  </si>
  <si>
    <t>01. Папки для рисования, А3 и А4</t>
  </si>
  <si>
    <t>Папки для рисования, А3 8л.</t>
  </si>
  <si>
    <t>ПП-00241794</t>
  </si>
  <si>
    <t>Папка  для рисования А3, 8л. ЧЁРНО-БЕЛЫЕ МОТИВЫ - 1 (08-2251) цветная обл. вн.блок 120г/м2</t>
  </si>
  <si>
    <t>08-2251</t>
  </si>
  <si>
    <t>4670159222514</t>
  </si>
  <si>
    <t>ПП-00241793</t>
  </si>
  <si>
    <t>Папка  для рисования А3, 8л. ЧЁРНО-БЕЛЫЕ МОТИВЫ (08-2250) цветная обл. вн.блок 120г/м2</t>
  </si>
  <si>
    <t>08-2250</t>
  </si>
  <si>
    <t>4670159222507</t>
  </si>
  <si>
    <t>Папки для рисования, А4 10л.</t>
  </si>
  <si>
    <t>ПП-00241795</t>
  </si>
  <si>
    <t>Папка для рисования А4, 10л. ЧЁРНО-БЕЛЫЕ МОТИВЫ - 2 (10-2252) цветная обл. вн.блок 120г/м2</t>
  </si>
  <si>
    <t>10-2252</t>
  </si>
  <si>
    <t>4670159222521</t>
  </si>
  <si>
    <t>ПП-00241796</t>
  </si>
  <si>
    <t>Папка для рисования А4, 10л. ЧЁРНО-БЕЛЫЕ МОТИВЫ - 3 (10-2253) цветная обл. вн.блок 120г/м2</t>
  </si>
  <si>
    <t>10-2253</t>
  </si>
  <si>
    <t>4670159222538</t>
  </si>
  <si>
    <t>ПП-00205754</t>
  </si>
  <si>
    <t>Папка для рисования А4, 10л. ЭСКИЗ ГОРОДА (10-4123) цветная обл. вн.блок 120г/м2 (!)</t>
  </si>
  <si>
    <t>10-4123</t>
  </si>
  <si>
    <t>4620129741231</t>
  </si>
  <si>
    <t>Папки для рисования, А4 20л.</t>
  </si>
  <si>
    <t>ПП-00058589</t>
  </si>
  <si>
    <t>Папка для рисования А4, 20л. СЕМЕЙСТВО ЛЕОПАРДОВ (20-3221) цветная обл. вн.блок 120г/м2</t>
  </si>
  <si>
    <t>20-3221</t>
  </si>
  <si>
    <t>4665299632248</t>
  </si>
  <si>
    <t>ПП-00176931</t>
  </si>
  <si>
    <t>Папка для рисования А4, 20л. ЦВЕТОЧНЫЕ ПОЛЯ (20-3222) цветная обл. вн.блок 120г/м2 (!)</t>
  </si>
  <si>
    <t>20-3222</t>
  </si>
  <si>
    <t>4665299632255</t>
  </si>
  <si>
    <t>ПП-00241797</t>
  </si>
  <si>
    <t>Папка для рисования А4, 20л. ЧЁРНО-БЕЛЫЕ МОТИВЫ - 4 (20-2254) цветная обл. вн.блок 120г/м2</t>
  </si>
  <si>
    <t>20-2254</t>
  </si>
  <si>
    <t>4670159222545</t>
  </si>
  <si>
    <t>ПП-00241798</t>
  </si>
  <si>
    <t>Папка для рисования А4, 20л. ЧЁРНО-БЕЛЫЕ МОТИВЫ - 5 (20-2255) цветная обл. вн.блок 120г/м2</t>
  </si>
  <si>
    <t>20-2255</t>
  </si>
  <si>
    <t>4670159222552</t>
  </si>
  <si>
    <t>02. Папки для черчения, А3 и А4</t>
  </si>
  <si>
    <t>Папки для черчения, А2, А3 и А4</t>
  </si>
  <si>
    <t xml:space="preserve"> TM"Profit" Папки для черчения, А3 10л. 160г/м2</t>
  </si>
  <si>
    <t>ПП-00239294</t>
  </si>
  <si>
    <t xml:space="preserve"> TM"Profit" ПАПКА  ДЛЯ ЧЕРЧЕНИЯ  А3, 10л.- СИНЕЕ ОБРАМЛЕНИЕ (10-1915) цв.обл., без рамки, 160г/м2</t>
  </si>
  <si>
    <t>10-1915</t>
  </si>
  <si>
    <t>4670159219156</t>
  </si>
  <si>
    <t xml:space="preserve"> TM"Profit" Папки для черчения, А3 20л. 160г/м2</t>
  </si>
  <si>
    <t>ПП-00239297</t>
  </si>
  <si>
    <t xml:space="preserve"> TM"Profit" ПАПКА  ДЛЯ ЧЕРЧЕНИЯ  А3, 20л.- СИНЕЕ ОБРАМЛЕНИЕ -1 (20-1916) цв.обл., без рамки, 160г/м2</t>
  </si>
  <si>
    <t>20-1916</t>
  </si>
  <si>
    <t>4670159219163</t>
  </si>
  <si>
    <t xml:space="preserve"> TM"Profit" Папки для черчения, А4 10л. 160г/м2</t>
  </si>
  <si>
    <t>ПП-00239298</t>
  </si>
  <si>
    <t xml:space="preserve"> TM"Profit" ПАПКА  ДЛЯ ЧЕРЧЕНИЯ  А4, 10л.- СИНЕЕ ОБРАМЛЕНИЕ -2 (10-1917) цв.обл., без рамки, 160г/м2</t>
  </si>
  <si>
    <t>10-1917</t>
  </si>
  <si>
    <t>4670159219170</t>
  </si>
  <si>
    <t xml:space="preserve"> TM"Profit" Папки для черчения, А4 20л. 160г/м2</t>
  </si>
  <si>
    <t>ПП-00239302</t>
  </si>
  <si>
    <t xml:space="preserve"> TM"Profit" ПАПКА ДЛЯ ЧЕРЧЕНИЯ А4, 20л.- СИНЕЕ ОБРАМЛЕНИЕ - 3 (20-1918) цв.обл., без рамки, 160г/м2</t>
  </si>
  <si>
    <t>20-1918</t>
  </si>
  <si>
    <t>4670159219187</t>
  </si>
  <si>
    <t xml:space="preserve"> Папки для черчения, А3 10л. 160г/м2</t>
  </si>
  <si>
    <t>ПП-00239330</t>
  </si>
  <si>
    <t xml:space="preserve"> ПАПКА ДЛЯ ЧЕРЧЕНИЯ А3, 10л. ЧЕРТЁЖ МЕХАНИЗМА- 10 (10-1923) цв.обл., с гориз. рамкой, 160г/м2</t>
  </si>
  <si>
    <t>10-1923</t>
  </si>
  <si>
    <t>4670159219231</t>
  </si>
  <si>
    <t>ПП-00239332</t>
  </si>
  <si>
    <t>ПАПКА  ДЛЯ ЧЕРЧЕНИЯ  А3, 10л. ЧЕРТЁЖ МЕХАНИЗМА- 11 (10-1924) цв.обл., с вертик.рамкой, 160г/м2</t>
  </si>
  <si>
    <t>10-1924</t>
  </si>
  <si>
    <t>4670159219248</t>
  </si>
  <si>
    <t>ПП-00239333</t>
  </si>
  <si>
    <t>ПАПКА  ДЛЯ ЧЕРЧЕНИЯ  А3, 10л. ЧЕРТЁЖ МЕХАНИЗМА- 12 (10-1925) цв.обл., без рамки, 160г/м2</t>
  </si>
  <si>
    <t>10-1925</t>
  </si>
  <si>
    <t>4670159219255</t>
  </si>
  <si>
    <t xml:space="preserve"> Папки для черчения, А3 20л. 160г/м2</t>
  </si>
  <si>
    <t>ПП-00239334</t>
  </si>
  <si>
    <t>ПАПКА  ДЛЯ ЧЕРЧЕНИЯ  А3, 20л. ЧЕРТЁЖ МЕХАНИЗМА- 13 (20-1926) цв.обл., с вертик.рамкой, 160г/м2</t>
  </si>
  <si>
    <t>20-1926</t>
  </si>
  <si>
    <t>4670159219262</t>
  </si>
  <si>
    <t xml:space="preserve"> Папки для черчения, А4 10л. 160г/м2</t>
  </si>
  <si>
    <t>ПП-00239340</t>
  </si>
  <si>
    <t>ПАПКА ДЛЯ ЧЕРЧЕНИЯ   А4, 10л. ЧЕРТЁЖ МЕХАНИЗМА- 16 (10-1929) цв.обл., без рамки, 160г/м2</t>
  </si>
  <si>
    <t>10-1929</t>
  </si>
  <si>
    <t>4670159219293</t>
  </si>
  <si>
    <t xml:space="preserve"> Папки для черчения, А4 24л. 160г/м2</t>
  </si>
  <si>
    <t>ПП-00239336</t>
  </si>
  <si>
    <t>ПАПКА ДЛЯ ЧЕРЧЕНИЯ А4, 24л. ЧЕРТЁЖ МЕХАНИЗМА- 14 (24-1927) цв.обл., без рамки, 160г/м2</t>
  </si>
  <si>
    <t>24-1927</t>
  </si>
  <si>
    <t>4670159219279</t>
  </si>
  <si>
    <t xml:space="preserve"> Папки для черчения, А4 40л. 160г/м2</t>
  </si>
  <si>
    <t>ПП-00239338</t>
  </si>
  <si>
    <t>ПАПКА ДЛЯ ЧЕРЧЕНИЯ А4, 40л. ЧЕРТЁЖ МЕХАНИЗМА- 15 (40-1928) цв.обл., без рамки, 160г/м2</t>
  </si>
  <si>
    <t>40-1928</t>
  </si>
  <si>
    <t>4670159219286</t>
  </si>
  <si>
    <t>Папки для черчения, А2 10л. 200г/м2</t>
  </si>
  <si>
    <t>ПП-00239320</t>
  </si>
  <si>
    <t xml:space="preserve"> ПАПКА  ДЛЯ ЧЕРЧЕНИЯ  А2, 10л. СИНЯЯ БУКВА- 1 (10-1920) цв.обл., без рамки, 200г/м2</t>
  </si>
  <si>
    <t>10-1920</t>
  </si>
  <si>
    <t>4670159219200</t>
  </si>
  <si>
    <t>Папки для черчения, А3 40л. 200г/м2</t>
  </si>
  <si>
    <t>ПП-00239308</t>
  </si>
  <si>
    <t>ПАПКА  ДЛЯ ЧЕРЧЕНИЯ  А3, 40л. СИНЯЯ БУКВА (40-1919) цв.обл., без рамки, 200г/м2</t>
  </si>
  <si>
    <t>40-1919</t>
  </si>
  <si>
    <t>4670159219194</t>
  </si>
  <si>
    <t>Папки для черчения, А4 40л. 200г/м2</t>
  </si>
  <si>
    <t>ПП-00239324</t>
  </si>
  <si>
    <t>ПАПКА ДЛЯ ЧЕРЧЕНИЯ А4, 40л. СИНЯЯ БУКВА- 2 (40-1921) цв.обл., без рамки, 200г/м2</t>
  </si>
  <si>
    <t>40-1921</t>
  </si>
  <si>
    <t>4670159219217</t>
  </si>
  <si>
    <t>Папки для черчения, А3 и А4 ГОЗНАК</t>
  </si>
  <si>
    <t>Папки для черчения, А4 24л. ГОЗНАК</t>
  </si>
  <si>
    <t>ПП-00219456</t>
  </si>
  <si>
    <t xml:space="preserve"> ПАПКА ДЛЯ ЧЕРЧЕНИЯ  А4, 10л. ЧЕРТЕЖ МЕХАНИЗМА-6 (10-5816) цв.обл., 200г/м2 (!)</t>
  </si>
  <si>
    <t>10-5816</t>
  </si>
  <si>
    <t>ПП-00219457</t>
  </si>
  <si>
    <t xml:space="preserve"> ПАПКА ДЛЯ ЧЕРЧЕНИЯ  А4, 10л. ЧЕРТЕЖ МЕХАНИЗМА-7 (10-5817) цв.обл., 200г/м2 (!)</t>
  </si>
  <si>
    <t>10-5817</t>
  </si>
  <si>
    <t>03. Альбомы для черчения А4</t>
  </si>
  <si>
    <t>Альбомы для черчения А4 КБС (обложка-целлюлозн. картон, вн.блок 160 гр.)</t>
  </si>
  <si>
    <t>Альбомы для черчения А4 30л. КБС</t>
  </si>
  <si>
    <t>ПП-00239270</t>
  </si>
  <si>
    <t>Альбом для черчения А4 30 л. ЧЕРТЁЖ ЗДАНИЯ - 2 (30-1888) КБС,целл.картон,офсет</t>
  </si>
  <si>
    <t>30-1888</t>
  </si>
  <si>
    <t>4670159218883</t>
  </si>
  <si>
    <t>Альбомы для черчения А4 40л. КБС</t>
  </si>
  <si>
    <t>ПП-00239269</t>
  </si>
  <si>
    <t>Альбом для черчения А4 40 л. ЧЕРТЁЖ ЗДАНИЯ - 1 (40-1887) КБС, целл.картон,офсет</t>
  </si>
  <si>
    <t>40-1887</t>
  </si>
  <si>
    <t>4670159218876</t>
  </si>
  <si>
    <t>Альбомы для черчения А4 на гребне (обложка-целлюлозн. картон, вн.блок 160 гр.)</t>
  </si>
  <si>
    <t>Альбомы для черчения А4 20л. на гребне</t>
  </si>
  <si>
    <t>ПП-00239275</t>
  </si>
  <si>
    <t>Альбом для черчения А4 20 л. АРХИТЕКТУРА В ЧЕРТЕЖАХ - 1 (20-1891) гребень, целл.картон, офсет</t>
  </si>
  <si>
    <t>20-1891</t>
  </si>
  <si>
    <t>4670159218913</t>
  </si>
  <si>
    <t>ПП-00185557</t>
  </si>
  <si>
    <t>Альбом для черчения А4 20 л. АРХИТЕКТУРА НА ЖЕЛТОМ-2 (Ч20-4580) гребень, целл.картон, офсет</t>
  </si>
  <si>
    <t>Ч20-4580</t>
  </si>
  <si>
    <t>4620129745802</t>
  </si>
  <si>
    <t>ПП-00052954</t>
  </si>
  <si>
    <t>Альбом для черчения А4 20 л. САМОЛЕТ (20-1106) гребень, целл.картон, офсет</t>
  </si>
  <si>
    <t>20-1106</t>
  </si>
  <si>
    <t>4665299611069</t>
  </si>
  <si>
    <t>ПП-00231045</t>
  </si>
  <si>
    <t>Альбом для черчения А4 20 л. САМОЛЕТ (20-1106) гребень, целл.картон, офсет (!)</t>
  </si>
  <si>
    <t>Альбомы для черчения А4 40л. на гребне</t>
  </si>
  <si>
    <t>ПП-00239273</t>
  </si>
  <si>
    <t>Альбом для черчения А4 40 л. АРХИТЕКТУРА В ЧЕРТЕЖАХ - 3 (40-1880) гребень, целл.картон, офсет</t>
  </si>
  <si>
    <t>40-1880</t>
  </si>
  <si>
    <t>4670159218937</t>
  </si>
  <si>
    <t>ПП-00239272</t>
  </si>
  <si>
    <t>Альбом для черчения А4 40 л. АРХИТЕКТУРА В ЧЕРТЕЖАХ (40-1890) гребень, целл.картон, офсет</t>
  </si>
  <si>
    <t>40-1890</t>
  </si>
  <si>
    <t>4670159218906</t>
  </si>
  <si>
    <t>04. Папки и бумага для акварели А2, А3 и А4</t>
  </si>
  <si>
    <t>FlyWay Бумага для акварели А2, А3 и А4, инд. в пэт.</t>
  </si>
  <si>
    <t>ПП-00208349</t>
  </si>
  <si>
    <t>TM "FlyWay"Бумага ДЛЯ АКВАРЕЛИ А4 ЖЕЛТАЯ КЛАССИКА-3 (20-5804) 20л,хлоп 100%,бл.210г/м, банд.холст(!)</t>
  </si>
  <si>
    <t>20-5804</t>
  </si>
  <si>
    <t>4620129758048</t>
  </si>
  <si>
    <t>Папки для акварели А2, А3 и А4 цветная обл</t>
  </si>
  <si>
    <t xml:space="preserve">  TM"Profit" Папки для акварели А2 8л. 160г/м2</t>
  </si>
  <si>
    <t>ПП-00232399</t>
  </si>
  <si>
    <t xml:space="preserve"> TM"Profit"Папка  ДЛЯ АКВАРЕЛИ А2 КОРАБЛЬ НА КАРТИНЕ (08-8569) цветная обл., 8л. 160г/м2</t>
  </si>
  <si>
    <t>08-8569</t>
  </si>
  <si>
    <t>4670159185697</t>
  </si>
  <si>
    <t xml:space="preserve"> TM"Profit" Папки для акварели А2 10л. 160г/м2</t>
  </si>
  <si>
    <t>ПП-00232401</t>
  </si>
  <si>
    <t xml:space="preserve"> TM"Profit"Папка  ДЛЯ АКВАРЕЛИ А2 МАЯК НА КАРТИНЕ (10-8570) цветная обл., 10л. 160г/м2</t>
  </si>
  <si>
    <t>10-8570</t>
  </si>
  <si>
    <t>4670159185703</t>
  </si>
  <si>
    <t xml:space="preserve"> Папки для акварели А3 10л. 180г/м2</t>
  </si>
  <si>
    <t>ПП-00241779</t>
  </si>
  <si>
    <t xml:space="preserve"> Папка ДЛЯ АКВАРЕЛИ А3 АКВАРЕЛЬНЫЕ МОМЕНТЫ ЖИЗНИ - 1 (10-2237) цветная обл., 10л. 180г/м2</t>
  </si>
  <si>
    <t>10-2237</t>
  </si>
  <si>
    <t>4670159222378</t>
  </si>
  <si>
    <t>ПП-00264995</t>
  </si>
  <si>
    <t>Папка  ДЛЯ АКВАРЕЛИ А3 АКВАРЕЛЬНЫЕ МОМЕНТЫ ЖИЗНИ- 6 (10-9249) цветная обл., 10л. 180г/м2</t>
  </si>
  <si>
    <t>10-9249</t>
  </si>
  <si>
    <t>4670159292494</t>
  </si>
  <si>
    <t>ПП-00241780</t>
  </si>
  <si>
    <t xml:space="preserve"> Папка ДЛЯ АКВАРЕЛИ А4 АКВАРЕЛЬНЫЕ МОМЕНТЫ ЖИЗНИ - 2 (10-2238) цветная обл., 10л. 180г/м2</t>
  </si>
  <si>
    <t>10-2238</t>
  </si>
  <si>
    <t>4670159222385</t>
  </si>
  <si>
    <t xml:space="preserve"> Папки для акварели А4 20л. 180г/м2</t>
  </si>
  <si>
    <t>ПП-00241782</t>
  </si>
  <si>
    <t xml:space="preserve"> Папка ДЛЯ АКВАРЕЛИ А4 АКВАРЕЛЬНЫЕ МОМЕНТЫ ЖИЗНИ - 4 (20-2240) цветная обл., 20л. 180г/м2</t>
  </si>
  <si>
    <t>20-2240</t>
  </si>
  <si>
    <t>4670159222408</t>
  </si>
  <si>
    <t>ПП-00241783</t>
  </si>
  <si>
    <t xml:space="preserve"> Папка ДЛЯ АКВАРЕЛИ А4 АКВАРЕЛЬНЫЕ МОМЕНТЫ ЖИЗНИ - 5 (20-2241) цветная обл., 20л. 180г/м2</t>
  </si>
  <si>
    <t>20-2241</t>
  </si>
  <si>
    <t>4670159222415</t>
  </si>
  <si>
    <t>Папки для акварели А3 20л. 200г/м2</t>
  </si>
  <si>
    <t>ПП-00241786</t>
  </si>
  <si>
    <t>Папка  ДЛЯ АКВАРЕЛИ А3 РАЗНООБРАЗНАЯ АКВАРЕЛЬ - 1 (20-2243) цветная обл., 20л. 200г/м2</t>
  </si>
  <si>
    <t>20-2243</t>
  </si>
  <si>
    <t>4670159222439</t>
  </si>
  <si>
    <t>Папки для акварели А3 40л. 200г/м2</t>
  </si>
  <si>
    <t>ПП-00241788</t>
  </si>
  <si>
    <t>Папка  ДЛЯ АКВАРЕЛИ А3 РАЗНООБРАЗНАЯ АКВАРЕЛЬ - 3 (40-2245) цветная обл., 40л. 200г/м2</t>
  </si>
  <si>
    <t>40-2245</t>
  </si>
  <si>
    <t>4670159222453</t>
  </si>
  <si>
    <t>Папки для акварели А4 40л. 200г/м2</t>
  </si>
  <si>
    <t>ПП-00241791</t>
  </si>
  <si>
    <t>Папка  ДЛЯ АКВАРЕЛИ А4 РАЗНООБРАЗНАЯ АКВАРЕЛЬ - 6 (40-2248) цветная обл., 40л. 200г/м2</t>
  </si>
  <si>
    <t>40-2248</t>
  </si>
  <si>
    <t>4670159222484</t>
  </si>
  <si>
    <t>ПП-00241792</t>
  </si>
  <si>
    <t>Папка  ДЛЯ АКВАРЕЛИ А4 РАЗНООБРАЗНАЯ АКВАРЕЛЬ - 7 (40-2249) цветная обл., 40л. 200г/м2</t>
  </si>
  <si>
    <t>40-2249</t>
  </si>
  <si>
    <t>4670159222491</t>
  </si>
  <si>
    <t>Папки для акварели А2, А3 и А4 цветная обл. 200г/м2, ГОЗНАК</t>
  </si>
  <si>
    <t>Папки для акварели А3 30л. 200г/м2, ГОЗНАК</t>
  </si>
  <si>
    <t>ПП-00241774</t>
  </si>
  <si>
    <t>Папка  ДЛЯ АКВАРЕЛИ А3 КРАСОТА АКВАРЕЛЬНОЙ ЖИВОПИСИ - 1 (30-2232) цветная обл., 30л. 200г/м2 ГОЗНАК</t>
  </si>
  <si>
    <t>30-2232</t>
  </si>
  <si>
    <t>4670159222323</t>
  </si>
  <si>
    <t>Папки для акварели А3 40л. 200г/м2, ГОЗНАК</t>
  </si>
  <si>
    <t>ПП-00241775</t>
  </si>
  <si>
    <t>Папка  ДЛЯ АКВАРЕЛИ А3 КРАСОТА АКВАРЕЛЬНОЙ ЖИВОПИСИ - 2 (40-2233) цветная обл., 40л. 200г/м2 ГОЗНАК</t>
  </si>
  <si>
    <t>40-2233</t>
  </si>
  <si>
    <t>4670159222330</t>
  </si>
  <si>
    <t>05. Альбомы для акварели А4</t>
  </si>
  <si>
    <t>FlyWay Альбомы для акварели А4, КБС, мат. лам, выб. лак, в пэт по 5шт</t>
  </si>
  <si>
    <t>ПП-00208353</t>
  </si>
  <si>
    <t>TM "FlyWay"Альбом ДЛЯ АКВАРЕЛИ А4 20л. ФИОЛЕТОВАЯ КЛАССИКА (20-5791)хлоп100% 210г/м2, м.лам,в.лак</t>
  </si>
  <si>
    <t>20-5791</t>
  </si>
  <si>
    <t>4620129757911</t>
  </si>
  <si>
    <t>Альбомы для акварели А4, КБС, целл. картон, жест. подл, 200г/м, 282х183</t>
  </si>
  <si>
    <t>ПП-00058585</t>
  </si>
  <si>
    <t>Альбом ДЛЯ АКВАРЕЛИ А4 20л. МЕЛЬНИЦА (20-3219) КБС,целл.картон, жестк.подложка,200 г/м2,282х183</t>
  </si>
  <si>
    <t>20-3219</t>
  </si>
  <si>
    <t>4665299632224</t>
  </si>
  <si>
    <t>04. Скетчбуки</t>
  </si>
  <si>
    <t>FlyWay</t>
  </si>
  <si>
    <t>Акварельная бумага 300г/м2  50% хлопок</t>
  </si>
  <si>
    <t>Скетчпад 165х190мм, 20л., 7БЦ, гребень, 300г/м2 50% хлопок + калька,  твин-лак,инд.в пэт.</t>
  </si>
  <si>
    <t>ПП-00172835</t>
  </si>
  <si>
    <t>Скетчпад 20л. КАРТА СОЗВЕЗДИЙ (20-7969) 7БЦ, гребень,300г/м2,50%хлопок,твин-лак,165х190 индив. ПЭТ</t>
  </si>
  <si>
    <t>20-7969</t>
  </si>
  <si>
    <t>4610144879699</t>
  </si>
  <si>
    <t>Акварельная бумага 200г/м2</t>
  </si>
  <si>
    <t>06. Скетчбук А4, 24л. 7БЦ КБС МОЛЬБЕРТ с блоком для акварели 200гм2, софт-тач, инд.в пэт</t>
  </si>
  <si>
    <t>ПП-00205766</t>
  </si>
  <si>
    <t>Скетчбук А4, 24л. WEDNESDAY IMAGE (24-5081), 7БЦ КБС МОЛЬБЕРТ, софт-тач, 200г/м2</t>
  </si>
  <si>
    <t>24-5081</t>
  </si>
  <si>
    <t>4670159050711</t>
  </si>
  <si>
    <t>ПП-00209904</t>
  </si>
  <si>
    <t>Скетчбук А4, 24л. ИЗЯЩНАЯ ПРОСТОТА (24-7377), 7БЦ КБС МОЛЬБЕРТ, софт-тач, 200г/м2</t>
  </si>
  <si>
    <t>24-7377</t>
  </si>
  <si>
    <t>4670159073772</t>
  </si>
  <si>
    <t>ПП-00209908</t>
  </si>
  <si>
    <t>Скетчбук А4, 24л. МАГИЧЕСКИЙ ЖЕЗЛ (24-7379), 7БЦ КБС МОЛЬБЕРТ, софт-тач, 200г/м2</t>
  </si>
  <si>
    <t>24-7379</t>
  </si>
  <si>
    <t>4670159073796</t>
  </si>
  <si>
    <t>Белая бумага офсет 100г/м2</t>
  </si>
  <si>
    <t>01. Скетчбуки А5, 80л, 7БЦ, переплет сверху, мат.ламин., выб.лак, резинка, 100г/м2, инд.в пэт</t>
  </si>
  <si>
    <t>ПП-00214984</t>
  </si>
  <si>
    <t>Скетчбук А5, 80л, ПРОНЗИТЕЛЬНЫЙ ВЗГЛЯД (80-9983) 7БЦ, переплет сверху, мат. ламин. лак, резинка</t>
  </si>
  <si>
    <t>80-9983</t>
  </si>
  <si>
    <t>4670159099833</t>
  </si>
  <si>
    <t>02. Скетчбуки 200х200мм, 40л, 7БЦ, переплет сверху, мат.ламин., выб.лак, резинка, 100г/м2, инд.в пэт</t>
  </si>
  <si>
    <t>ПП-00214979</t>
  </si>
  <si>
    <t>Скетчбук 200х200мм, 40л, АРХИТЕКТУРНЫЙ ЭСКИЗ (40-9980) 7БЦ,переп сверху, мат. лам., выб. л, рез</t>
  </si>
  <si>
    <t>40-9980</t>
  </si>
  <si>
    <t>4670159099802</t>
  </si>
  <si>
    <t>ПП-00214978</t>
  </si>
  <si>
    <t>Скетчбук 200х200мм, 40л, КОШАЧИЙ ПОРТРЕТ (40-9979) 7БЦ,переп сверху, мат. лам., выб. л, рез</t>
  </si>
  <si>
    <t>40-9979</t>
  </si>
  <si>
    <t>4670159099796</t>
  </si>
  <si>
    <t>ПП-00214977</t>
  </si>
  <si>
    <t>Скетчбук 200х200мм, 40л, ПЕЙЗАЖНАЯ ЖИВОПИСЬ (40-9978) 7БЦ,переп сверху, мат. лам., выб. л, рез</t>
  </si>
  <si>
    <t>40-9978</t>
  </si>
  <si>
    <t>4670159099789</t>
  </si>
  <si>
    <t>ПП-00214976</t>
  </si>
  <si>
    <t>Скетчбук 200х200мм, 40л, ПРОНЗИТЕЛЬНЫЙ ВЗГЛЯД (40-9977) 7БЦ,переп сверху, мат. лам., выб. л, рез</t>
  </si>
  <si>
    <t>40-9977</t>
  </si>
  <si>
    <t>4670159099772</t>
  </si>
  <si>
    <t>Скетчбуки 165х165 мм, 40л., 7БЦ, матовая ламинация выб. лак, 100г/м2</t>
  </si>
  <si>
    <t>ПП-00172827</t>
  </si>
  <si>
    <t>Скетчбук А5, 40л, ПОП ИТ РОБОТ (40-7979) 7БЦ, матовая ламин., выб. лак, 100г/м2</t>
  </si>
  <si>
    <t>40-7979</t>
  </si>
  <si>
    <t>4610144879798</t>
  </si>
  <si>
    <t>Белая бумага офсет 120г/м2</t>
  </si>
  <si>
    <t>Белая+черная бумага офсет 120 г/м2</t>
  </si>
  <si>
    <t>My exclusive scetchbook с обложкой-раскраской,черно-бел.блок120г,194х194,48л,греб,обл.-целл.карт,соф</t>
  </si>
  <si>
    <t>ПП-00203216</t>
  </si>
  <si>
    <t>My exclusive scetchbook с обложкой-раскраской ХАМЕЛЕОН(120-8337),черно-бел.блок120г,194х194,48л,гр</t>
  </si>
  <si>
    <t>120-8337</t>
  </si>
  <si>
    <t>4620129783378</t>
  </si>
  <si>
    <t>Скетчбук софт-тач</t>
  </si>
  <si>
    <t>ПП-00270010</t>
  </si>
  <si>
    <t>Скетчбук 130х210 мм, 80л. (СБ80-0616) 7БЦ,обл.- софт-тач, кр угл, резинка, ляссе, белый блок 120г/м2</t>
  </si>
  <si>
    <t>СБ80-0616</t>
  </si>
  <si>
    <t>4670159306160</t>
  </si>
  <si>
    <t>Белая бумага офсет 160г/м2</t>
  </si>
  <si>
    <t>01. Скетчбуки 165х165 мм, 48л., 7БЦ, матовая ламинация, лен, ляссе, резинка, 160г/м2, инд. в пэт</t>
  </si>
  <si>
    <t>ПП-00220849</t>
  </si>
  <si>
    <t>Скетчбук 48л. АНИМЕ СТАЙЛ (48-3000) 7БЦ, матовая ламинация, ляссе, лен, резинка, 165х165мм</t>
  </si>
  <si>
    <t>48-3000</t>
  </si>
  <si>
    <t>4670159130192</t>
  </si>
  <si>
    <t>ПП-00138423</t>
  </si>
  <si>
    <t>Скетчбук 48л. ЛИНИИ ЛИЦ (48-0579) 7БЦ, матовая ламинация, ляссе, лен, резинка, 165х165мм</t>
  </si>
  <si>
    <t>48-0579</t>
  </si>
  <si>
    <t>4680088405797</t>
  </si>
  <si>
    <t>ПП-00138421</t>
  </si>
  <si>
    <t>Скетчбук 48л. НАБРОСОК ГОРОДА (48-0572) 7БЦ, матовая ламинация, ляссе, лен, резинка, 165х165мм</t>
  </si>
  <si>
    <t>48-0572</t>
  </si>
  <si>
    <t>ПП-00157911</t>
  </si>
  <si>
    <t>Скетчбук 48л. ПИОНЫ И ЗМЕИ (48-0636) 7БЦ, матовая ламинация, ляссе, лен, резинка, 165х165мм</t>
  </si>
  <si>
    <t>48-0636</t>
  </si>
  <si>
    <t>4610144806367</t>
  </si>
  <si>
    <t>02. Скетчбуки А5, 40л, КБС, твин-лак, холодная фольга, 160г/м2</t>
  </si>
  <si>
    <t>ПП-00210885</t>
  </si>
  <si>
    <t>Скетчбук А5, 40л. WEDNESDAY MADNESS (40-5085) КБС, твин-лак, хол. фольга</t>
  </si>
  <si>
    <t>40-5085</t>
  </si>
  <si>
    <t>04. Скетчбуки 165х165 мм, 48л., 7БЦ, софт-тач, пантон, ляссе, резинка, 160гм2, инд. в пэт</t>
  </si>
  <si>
    <t>ПП-00225735</t>
  </si>
  <si>
    <t>Скетчбук 48л. ANDY (48-5750) 7БЦ, софт-тач, пантон, ляссе, резинка, 165х165мм</t>
  </si>
  <si>
    <t>48-5750</t>
  </si>
  <si>
    <t>4670159157403</t>
  </si>
  <si>
    <t>Крафтовая бумага 80г/м2</t>
  </si>
  <si>
    <t>01. Скетчбуки 190х190 мм, 40л., гребень сбоку, обл.- мел.картон, крафт, жест.подл.,мат.лам, выб.лак</t>
  </si>
  <si>
    <t>ПП-00215219</t>
  </si>
  <si>
    <t>Скетчбук 40л. ГОРОДСКОЙ ПРОСПЕКТ (40-0312) греб. сбоку,обл. мел. кар, бл-крафт, мат.л,выб.л, 190х190</t>
  </si>
  <si>
    <t>40-0312</t>
  </si>
  <si>
    <t>4670159103127</t>
  </si>
  <si>
    <t>02. Скетчбуки с пошаговыми эскизами 145х203,7БЦ,КБС с рез,80л., 5л. 4+0, обл.крафт,выб.лак</t>
  </si>
  <si>
    <t>ПП-00180066</t>
  </si>
  <si>
    <t>Скетчбук с пошаговыми эскизами БЕЗЗАБОТНОЕ НАСТРОЕНИЕ(РТ-1669)7БЦ,КБС с рез80л бл-краф бум,крафт,в.л</t>
  </si>
  <si>
    <t>РТ-1669</t>
  </si>
  <si>
    <t>4620129716697</t>
  </si>
  <si>
    <t>ПП-00180064</t>
  </si>
  <si>
    <t>Скетчбук с пошаговыми эскизами ДИКИЙ МИР (РТ-1668)7БЦ,КБС с рез,80л бл-крафт бум,обл.крафт,выб.л</t>
  </si>
  <si>
    <t>РТ-1668</t>
  </si>
  <si>
    <t>4620129716680</t>
  </si>
  <si>
    <t>ПП-00205990</t>
  </si>
  <si>
    <t>Скетчбук с пошаговыми эскизами КОШАЧИЙ(РТ-5194)7БЦ,КБС с рез80л бл-краф бум,крафт,в.л</t>
  </si>
  <si>
    <t>РТ-5194</t>
  </si>
  <si>
    <t>4670159051947</t>
  </si>
  <si>
    <t>ПП-00205991</t>
  </si>
  <si>
    <t>Скетчбук с пошаговыми эскизами УДИВИТЕЛЬНЫЕ СУЩЕСТВА(РТ-5195)7БЦ,КБС с рез80л бл-краф бум,крафт,в.л</t>
  </si>
  <si>
    <t>РТ-5195</t>
  </si>
  <si>
    <t>4670159051954</t>
  </si>
  <si>
    <t>ПП-00180067</t>
  </si>
  <si>
    <t>Кремовая бумага 100г/м2</t>
  </si>
  <si>
    <t>ПП-00214015</t>
  </si>
  <si>
    <t>Скетчбук А5, 80л, БЕЗМЯТЕЖНЫЙ ПЕЙЗАЖ (80-9625) книжн, 7БЦ, матовая лам, выб.лак, резинка</t>
  </si>
  <si>
    <t>80-9625</t>
  </si>
  <si>
    <t>4670159096252</t>
  </si>
  <si>
    <t>05. Скетчбуки В6 (180х120мм),72л,крем.бумага, тканевый корешок,100г/м2, микроперф., кругление углов</t>
  </si>
  <si>
    <t>ПП-00172564</t>
  </si>
  <si>
    <t>Скетчбук В6, 72л, КОСМИЧЕСКИЙ КОЛЛАЖ-3 (72-7811) ткан.корешок,крем бум100гм2,микропер, круг.угл</t>
  </si>
  <si>
    <t>72-7811</t>
  </si>
  <si>
    <t>4610144878111</t>
  </si>
  <si>
    <t>06. Скетчбуки А3, 30л,на гребне, крем.бумага, мяг.обл. б/о с жесткой подложкой 100г/м2</t>
  </si>
  <si>
    <t>ПП-00214982</t>
  </si>
  <si>
    <t>Скетчбук А3, 100г, ЖИЗНЬ ДИНОЗАВРОВ (30-9982), гребень, жесткая подложка, 30л</t>
  </si>
  <si>
    <t>30-9982</t>
  </si>
  <si>
    <t>4670159099826</t>
  </si>
  <si>
    <t>ПП-00157420</t>
  </si>
  <si>
    <t>Скетчбук А3, 100г, МОСТ АКВАРЕЛЬЮ (30-0351), гребень, жесткая подложка, 30л</t>
  </si>
  <si>
    <t>30-0351</t>
  </si>
  <si>
    <t>4610144803540</t>
  </si>
  <si>
    <t>07. Скетчбуки А5, 64л, 7БЦ,крем.бумага, на цв. спирали слева, матовая ламинация 100г/м2</t>
  </si>
  <si>
    <t>ПП-00218480</t>
  </si>
  <si>
    <t>Скетчбук А5, 64л, ХОККЕИСТ -1 (64-1787) 7БЦ, на спирали слева, матовая ламинация 100гм2</t>
  </si>
  <si>
    <t>64-1787</t>
  </si>
  <si>
    <t>4670159116875</t>
  </si>
  <si>
    <t>08. Скетчбуки А4, 64л, 7БЦ,  крем.бумага, на цв. спирали сверху, матовая ламинация 100г/м2</t>
  </si>
  <si>
    <t>ПП-00218482</t>
  </si>
  <si>
    <t>Скетчбук А4, 64л, РОЗОВЫЕ МЕЧТЫ (64-1781) 7БЦ, на спирали сверху, матовая ламинация 100гм2</t>
  </si>
  <si>
    <t>64-1781</t>
  </si>
  <si>
    <t>4670159116813</t>
  </si>
  <si>
    <t>ПП-00218481</t>
  </si>
  <si>
    <t>Скетчбук А4, 64л, ТЕМНЫЙ ЛЕС (64-1780) 7БЦ, на спирали сверху, матовая ламинация 100гм2</t>
  </si>
  <si>
    <t>64-1780</t>
  </si>
  <si>
    <t>4670159116806</t>
  </si>
  <si>
    <t>ПП-00218484</t>
  </si>
  <si>
    <t>Скетчбук А4, 64л, ХОККЕИСТ  (64-1783) 7БЦ, на спирали сверху, матовая ламинация 100гм2</t>
  </si>
  <si>
    <t>64-1783</t>
  </si>
  <si>
    <t>4670159116837</t>
  </si>
  <si>
    <t>09. Скетчбуки 190х190 мм, 48л., крем.бумага, гребень, мяг.обл. б/о с жесткой подложкой 100г/м2</t>
  </si>
  <si>
    <t>ПП-00218486</t>
  </si>
  <si>
    <t xml:space="preserve">Скетчбук 48л. АВТОМОДА-4 (48-1276) гребень, мяг.обл. б/о с жесткой подложкой 100гм2, 190х190 мм </t>
  </si>
  <si>
    <t>48-1276</t>
  </si>
  <si>
    <t>4670159116769</t>
  </si>
  <si>
    <t>Скетчбуки А4, 64л, 7БЦ, кремовая бумага, глянц. ламинирование 100г/м2</t>
  </si>
  <si>
    <t>ПП-00160238</t>
  </si>
  <si>
    <t>Скетчбук А4, 64л, СПЕЛЫЕ ЯГОДЫ (64-8176), 7БЦ, глянц. лам.</t>
  </si>
  <si>
    <t>64-8176</t>
  </si>
  <si>
    <t>4680088481760</t>
  </si>
  <si>
    <t>Скетчбуки А5, 40л, 7БЦ, кремовая бумага, твин-лак, холодная фольга, 100г/м2</t>
  </si>
  <si>
    <t>ПП-00164626</t>
  </si>
  <si>
    <t>Скетчбук А5, 40л. РОБОТ И НЕОН (40-3804) 7БЦ, твин-лак, холодная фольга</t>
  </si>
  <si>
    <t>40-3804</t>
  </si>
  <si>
    <t>4610144838047</t>
  </si>
  <si>
    <t>Кремовая бумага 80г/м2</t>
  </si>
  <si>
    <t>Скетчбуки А5 80г/м2</t>
  </si>
  <si>
    <t>Скетчбуки А5, 40л, скрепка,  крем.бумага, глянцевая ламинация, альбомные</t>
  </si>
  <si>
    <t>ПП-00061040</t>
  </si>
  <si>
    <t>Скетчбук А5, 40л. ДЕВОЧКА С МИШКОЙ (40-3910) скрепка, обл. мелов. картон, глянцевая лам., альбомный</t>
  </si>
  <si>
    <t>40-3910</t>
  </si>
  <si>
    <t>4665299639100</t>
  </si>
  <si>
    <t>ПП-00061036</t>
  </si>
  <si>
    <t>Скетчбук А5, 40л. ЦВЕТНЫЕ СОВЫ (40-3907) скрепка, обл. мелов. картон, глянцевая лам., альбомный</t>
  </si>
  <si>
    <t>40-3907</t>
  </si>
  <si>
    <t>4665299639070</t>
  </si>
  <si>
    <t>Мелованная бумага 150г/м2 для маркеров</t>
  </si>
  <si>
    <t>Скетчбуки для маркеров 190х190мм 40л. гребень, 150г/м2, жестк.подл., обл. мат.ламин.</t>
  </si>
  <si>
    <t>ПП-00209238</t>
  </si>
  <si>
    <t>Скетчбук 40л. ДЕВУШКА С МАСКОЙ (40-5250) на гребне,мат.лам,бл- мел.бум.150г/м2, жест.подл,190х190</t>
  </si>
  <si>
    <t>40-5250</t>
  </si>
  <si>
    <t>4670159052500</t>
  </si>
  <si>
    <t>ПП-00209239</t>
  </si>
  <si>
    <t>Скетчбук 40л. ДЕВУШКА У РЕКИ (40-5249) на гребне,мат.лам,блок- мел.бум.150г/м2, жест.подл,190х190</t>
  </si>
  <si>
    <t>40-5249</t>
  </si>
  <si>
    <t>4670159052494</t>
  </si>
  <si>
    <t>ПП-00206105</t>
  </si>
  <si>
    <t>Скетчбук 40л. ДЕВУШКА У РЕКИ (40-5249) на гребне,мат.лам,блок- мелов.бум.150г/м2, жест.подл,190х190</t>
  </si>
  <si>
    <t>Мелованная бумага 80г/м2 для маркеров</t>
  </si>
  <si>
    <t>Скетчбуки 215х215мм 36л. КБС, 80г/м2 для маркеров, обл. матовая ламинация</t>
  </si>
  <si>
    <t>ПП-00215001</t>
  </si>
  <si>
    <t>Скетчбук для маркеров, 215х215, 36л, ЕДИНОРОГ В ПОЛЕ (36-0105) 80гм2, КБС, обл. мат.ламин</t>
  </si>
  <si>
    <t>36-0105</t>
  </si>
  <si>
    <t>4670159101055</t>
  </si>
  <si>
    <t>ПП-00214980</t>
  </si>
  <si>
    <t>Скетчбук для маркеров, 215х215, 36л, ИГРОВЫЕ АТРИБУТЫ (36-0103) 80гм2, КБС, обл. мат.ламин</t>
  </si>
  <si>
    <t>36-0103</t>
  </si>
  <si>
    <t>4670159101031</t>
  </si>
  <si>
    <t>ПП-00215000</t>
  </si>
  <si>
    <t>Скетчбук для маркеров, 215х215, 36л, У КАМИНА (36-0104) 80гм2, КБС, обл. мат.ламин</t>
  </si>
  <si>
    <t>36-0104</t>
  </si>
  <si>
    <t>4670159101048</t>
  </si>
  <si>
    <t>Экстрабелая бумага 150г/м2 для маркеров</t>
  </si>
  <si>
    <t>Скетчбуки А5 (125х210 мм) 16л. (гармошка) 150г/м2 для маркеров матовая лам выб. лак, инд.в пэт</t>
  </si>
  <si>
    <t>ПП-00214937</t>
  </si>
  <si>
    <t>Скетчбук-гармошка для маркеров А5,16л. АРХИТЕКТУРНЫЕ НАБРОСКИ (08-9997) одност.,150г,мат лам выб лак</t>
  </si>
  <si>
    <t>08-9997</t>
  </si>
  <si>
    <t>4670159099970</t>
  </si>
  <si>
    <t>ПП-00214938</t>
  </si>
  <si>
    <t>Скетчбук-гармошка для маркеров А5,16л. ГОНКИ (08-9998) одност.,150г,мат лам выб лак</t>
  </si>
  <si>
    <t>08-9998</t>
  </si>
  <si>
    <t>4670159099987</t>
  </si>
  <si>
    <t>ПП-00214940</t>
  </si>
  <si>
    <t>Скетчбук-гармошка для маркеров А5,16л. КОШАЧЬЕ УДИВЛЕНИЕ (08-9999) одност.,150г,мат лам выб лак</t>
  </si>
  <si>
    <t>08-9999</t>
  </si>
  <si>
    <t>4670159099994</t>
  </si>
  <si>
    <t>ПП-00214941</t>
  </si>
  <si>
    <t>Скетчбук-гармошка для маркеров А5,16л. НА БЕРЕГУ РЕКИ (08-0000) одност.,150г,мат лам выб лак</t>
  </si>
  <si>
    <t>08-0000</t>
  </si>
  <si>
    <t>4670159100003</t>
  </si>
  <si>
    <t>Скетчбуки А5+, 20л., тетрадная сшивка, 150г/м2 для маркеров твин-лак, холодная фольга</t>
  </si>
  <si>
    <t>ПП-00218475</t>
  </si>
  <si>
    <t>Скетчбук А5+, 20л., ГРИБЫ В ЛЕСУ (20-1673) тетр. сшивка,150гм2 для маркеров твин-лак, хол. фольг.</t>
  </si>
  <si>
    <t>20-1673</t>
  </si>
  <si>
    <t>4670159116738</t>
  </si>
  <si>
    <t>ПП-00218474</t>
  </si>
  <si>
    <t>Скетчбук А5+, 20л., ЧЕРНО-БЕЛЫЙ СОН (20-1672) тетр. сшивка,150гм2 для маркеров твин-лак, хол. фольг.</t>
  </si>
  <si>
    <t>20-1672</t>
  </si>
  <si>
    <t>4670159116721</t>
  </si>
  <si>
    <t>ПП-00218476</t>
  </si>
  <si>
    <t>Скетчбук А5+, 20л.,ВДОХНОВЕНИЕ ВЕСНЫ (20-1674) тетр.сшивка,150гм2 для маркеров твин-лак, хол. фольг.</t>
  </si>
  <si>
    <t>20-1674</t>
  </si>
  <si>
    <t>4670159116745</t>
  </si>
  <si>
    <t>Скетчбуки А5+, 40л., тетрадная сшивка, твин-лак, холодная фольга</t>
  </si>
  <si>
    <t>ПП-00166838</t>
  </si>
  <si>
    <t>Скетчбук А5+, 40л. ГРОЗНАЯ АКУЛА (40-5545) тетрадная сшивка, твин-лак, холодная фольга</t>
  </si>
  <si>
    <t>40-5545</t>
  </si>
  <si>
    <t>4610144845458</t>
  </si>
  <si>
    <t>05. Артлайн терапия</t>
  </si>
  <si>
    <t>02. Альбом для рисования ВОЛШЕБСТВО ПРОСТЫХ ТЕХНИК А4, 24л, на гребне</t>
  </si>
  <si>
    <t>ПП-00155978</t>
  </si>
  <si>
    <t>Альбом для рисования ВОЛШЕБСТВО ПРОСТЫХ ТЕХНИК А4 ГРАФФИТИ (24-6226) 24л,на гребне,обл-цел кар</t>
  </si>
  <si>
    <t>24-6226</t>
  </si>
  <si>
    <t>4680088461267</t>
  </si>
  <si>
    <t>05. Папка для акварель.набросков Акварельные этюды"А4,10л.ч/б акв.бум.200г,+1л. мел. бум115г.,цв.печ</t>
  </si>
  <si>
    <t>ПП-00173094</t>
  </si>
  <si>
    <t>Папка для акварельных набросков "Акварельные этюды" ЦВЕТЫ (Р-2047)папка А4,10л.ч/б акв.бум.200г,+1л.</t>
  </si>
  <si>
    <t>Р-2047</t>
  </si>
  <si>
    <t>4610144880473</t>
  </si>
  <si>
    <t>13. Раскраска для маркеров c подложкой 215*215 24л офс 120г, ч/б, ламин подлож. обл цел карт КБС отр</t>
  </si>
  <si>
    <t>ПП-00219473</t>
  </si>
  <si>
    <t>Раскраска ANIME (Р-6412) 24л офс 120г, ч/б, ламин подлож. обл цел карт КБС отр</t>
  </si>
  <si>
    <t>Р-6412</t>
  </si>
  <si>
    <t>15. Раскраска BLACK ANIME,А4,32л,7БЦ,софт-тач,бл-офс120,1+1,чер.фон,греб,подл.д/маркер,инд.уп196х260</t>
  </si>
  <si>
    <t>ПП-00229415</t>
  </si>
  <si>
    <t>Раскраска ЁКАЙ. МИФЫ (Р-7244) А4,32л,7БЦ,софт-тач,бл-офсчерн.фон,гребень,подл.д/маркер</t>
  </si>
  <si>
    <t>Р-7244</t>
  </si>
  <si>
    <t>4670159172444</t>
  </si>
  <si>
    <t>ПП-00229417</t>
  </si>
  <si>
    <t>Раскраска ИСЕКАЙ. МИРЫ (Р-7245) А4,32л,7БЦ,софт-тач,бл-офсчерн.фон,гребень,подл.д/маркер</t>
  </si>
  <si>
    <t>Р-7245</t>
  </si>
  <si>
    <t>4670159172451</t>
  </si>
  <si>
    <t>ПП-00229409</t>
  </si>
  <si>
    <t>Раскраска СЁДЗЁ. РОМАНТИКА (Р-7242) А4,32л,7БЦ,софт-тач,бл-офсчерн.фон,гребень,подл.д/маркер</t>
  </si>
  <si>
    <t>Р-7242</t>
  </si>
  <si>
    <t>4670159172420</t>
  </si>
  <si>
    <t>ПП-00229413</t>
  </si>
  <si>
    <t>Раскраска СЁНЭН. СИЛА (Р-7243) А4,32л,7БЦ,софт-тач,бл-офсчерн.фон,гребень,подл.д/маркер</t>
  </si>
  <si>
    <t>Р-7243</t>
  </si>
  <si>
    <t>4670159172437</t>
  </si>
  <si>
    <t>16. СПИРАЛЬНАЯ РАСКРАСКА,192х192,12л,обл-ц.карт,бл-офс160г,1+1,жестк.подл,гребень</t>
  </si>
  <si>
    <t>ПП-00241661</t>
  </si>
  <si>
    <t>СПИРАЛЬНАЯ РАСКРАСКА «K-POP» (Р-5192),192х192,12л,обл-ц.карт,бл-офс160г,1+1,жестк.подл,гребень</t>
  </si>
  <si>
    <t>Р-5192</t>
  </si>
  <si>
    <t>9785378351923</t>
  </si>
  <si>
    <t>06. Цветотерапия (Антистресс)</t>
  </si>
  <si>
    <t xml:space="preserve"> Раскраски-антистресс А5, В5 КБС</t>
  </si>
  <si>
    <t>ПП-00047901</t>
  </si>
  <si>
    <t>Раскраска-антистресс, В5, 56, ПУТЕШЕСТВИЕ (Р-9739) КБС, мягк.обл.,уф-лак, блок офсет (193х252)</t>
  </si>
  <si>
    <t>Р-9739</t>
  </si>
  <si>
    <t>4665299597394</t>
  </si>
  <si>
    <t>ПП-00047899</t>
  </si>
  <si>
    <t>Раскраска-антистресс, В5, 56, ТАИНСТВЕННЫЙ ЛЕС (Р-9737) КБС, мягк.обл.,уф-лак, блок офсет (193х252)</t>
  </si>
  <si>
    <t>Р-9737</t>
  </si>
  <si>
    <t>4665299597370</t>
  </si>
  <si>
    <t>АРТ-книга с узорами, 16л., обл. цел. карт200г, твин-лак, ч/б блок офс.100г, 283х283, скрепка</t>
  </si>
  <si>
    <t>ПП-00211008</t>
  </si>
  <si>
    <t>Арт-книга с узорами ЗАВОРАЖИВАЮЩАЯ ФЛОРА И ФАУНА (Р-7795) 16л,обл цел карт,твин-лак,бл.офс.ч/б</t>
  </si>
  <si>
    <t>Р-7795</t>
  </si>
  <si>
    <t>4620129777957</t>
  </si>
  <si>
    <t>ПП-00211011</t>
  </si>
  <si>
    <t>Арт-книга с узорами ПУТЕШЕСТВИЕ В ЗАЧАРОВАННЫЙ МИР (Р-7796) 16л,обл цел карт,твин-лак,бл.офс.ч/б</t>
  </si>
  <si>
    <t>Р-7796</t>
  </si>
  <si>
    <t>4620129777964</t>
  </si>
  <si>
    <t>ПП-00211012</t>
  </si>
  <si>
    <t>Арт-книга с узорами ФАНТАСТИЧЕСКИЕ ЖИВОТНЫЕ (Р-7797) 16л,обл цел карт,твин-лак,бл.офс.ч/б</t>
  </si>
  <si>
    <t>Р-7797</t>
  </si>
  <si>
    <t>4620129777971</t>
  </si>
  <si>
    <t>06. Продукция для девочек</t>
  </si>
  <si>
    <t xml:space="preserve"> Анкеты для друзей, переплёт 7БЦ</t>
  </si>
  <si>
    <t>Анкеты для друзей А5</t>
  </si>
  <si>
    <t>Анкета для друзей А5 112л., 7БЦ, глиттер 145*203</t>
  </si>
  <si>
    <t>ПП-00246260</t>
  </si>
  <si>
    <t>Анкета для друзей А5 112л. K POP (112-4717) перепл.7БЦ,глиттер, цвет.мелов.обл</t>
  </si>
  <si>
    <t>112-4717</t>
  </si>
  <si>
    <t>4670159247173</t>
  </si>
  <si>
    <t>ПП-00246262</t>
  </si>
  <si>
    <t>Анкета для друзей А5 112л. ДЕВОЧКИ-ПОДРУЖКИ - 1 (112-4719) перепл.7БЦ,глиттер, цвет.мелов.обл</t>
  </si>
  <si>
    <t>112-4719</t>
  </si>
  <si>
    <t>4670159247197</t>
  </si>
  <si>
    <t>ПП-00203918</t>
  </si>
  <si>
    <t>Анкета для друзей А5 112л. РУСАЛКА МЕЛОМАН (112-5744) перепл.7БЦ,глиттер, цвет.мелов.обл</t>
  </si>
  <si>
    <t>112-5744</t>
  </si>
  <si>
    <t>4620129757447</t>
  </si>
  <si>
    <t>ПП-00211796</t>
  </si>
  <si>
    <t>Анкета для друзей А5 112л. ФОТОСЪЁМКА (АНК-8203) перепл.7БЦ,глиттер, цвет.мелов.обл</t>
  </si>
  <si>
    <t>АНК-8203</t>
  </si>
  <si>
    <t>4670159082033</t>
  </si>
  <si>
    <t>Анкеты для друзей А6</t>
  </si>
  <si>
    <t>Анкеты для друзей А6, 64л., 7БЦ, глянцевая ламинация(101*148)</t>
  </si>
  <si>
    <t>ПП-00185099</t>
  </si>
  <si>
    <t>Анкеты для друзей А6, 64л. ДЕВОЧКА-АНИМЕ арт.64-4115 (перепл. 7БЦ, глянц.лам., цвет.мелов.обл.)</t>
  </si>
  <si>
    <t>64-4115</t>
  </si>
  <si>
    <t>4620129741156</t>
  </si>
  <si>
    <t>ПП-00185101</t>
  </si>
  <si>
    <t>Анкеты для друзей А6, 64л. ЖИЗНЬ ЕЖИКОВ арт.64-4117 (перепл. 7БЦ, глянц.лам., цвет.мелов.обл.)</t>
  </si>
  <si>
    <t>64-4117</t>
  </si>
  <si>
    <t>4620129741170</t>
  </si>
  <si>
    <t>ПП-00191529</t>
  </si>
  <si>
    <t>ПП-00211795</t>
  </si>
  <si>
    <t>Анкеты для друзей А6, 64л. ЛИСЁНОК С КОФЕ арт.АНК-8202 (перепл. 7БЦ, глянц.лам., цвет.мелов.обл.)</t>
  </si>
  <si>
    <t>АНК-8202</t>
  </si>
  <si>
    <t>4670159082026</t>
  </si>
  <si>
    <t>Дневнички для девочек</t>
  </si>
  <si>
    <t>Дневнички для девочек А5, 64л. (145х200) переплёт 7БЦ, глиттер</t>
  </si>
  <si>
    <t>ПП-00218906</t>
  </si>
  <si>
    <t>Дневничок для девочки А5, 64л. BE BEAUTIFUL (Д64-2146) 7БЦ, глиттер, цвет.мелов.обл.</t>
  </si>
  <si>
    <t>Д64-2146</t>
  </si>
  <si>
    <t>4670159121466</t>
  </si>
  <si>
    <t>ПП-00237235</t>
  </si>
  <si>
    <t>Дневничок для девочки А5, 64л. ВЕСЁЛЫЕ ПОДРУЖКИ (Д64-1155) 7БЦ, глиттер, цвет.мелов.обл.</t>
  </si>
  <si>
    <t>Д64-1155</t>
  </si>
  <si>
    <t>4670159211556</t>
  </si>
  <si>
    <t>ПП-00237334</t>
  </si>
  <si>
    <t>Дневничок для девочки А5, 64л. ВЕСЁЛЫЕ ПОДРУЖКИ (Д64-1155) 7БЦ, глиттер, цвет.мелов.обл. (!)</t>
  </si>
  <si>
    <t>ПП-00208056</t>
  </si>
  <si>
    <t>Дневничок для девочки А5, 64л. ВОЛШЕБНЫЕ СНЫ (Д64-6308) 7БЦ, глиттер, цвет.мелов.обл.</t>
  </si>
  <si>
    <t>Д64-6308</t>
  </si>
  <si>
    <t>4670159063087</t>
  </si>
  <si>
    <t>ПП-00208055</t>
  </si>
  <si>
    <t>Дневничок для девочки А5, 64л. ДЕВОЧКА И ПАНДЫ (Д64-6307) 7БЦ, глиттер, цвет.мелов.обл.</t>
  </si>
  <si>
    <t>Д64-6307</t>
  </si>
  <si>
    <t>4670159063070</t>
  </si>
  <si>
    <t>ПП-00237333</t>
  </si>
  <si>
    <t>Дневничок для девочки А5, 64л. ДЕВОЧКА И РЫЖИЙ КОТ (Д64-1154) 7БЦ, глиттер, цвет.мелов.обл. (!)</t>
  </si>
  <si>
    <t>Д64-1154</t>
  </si>
  <si>
    <t>4670159211549</t>
  </si>
  <si>
    <t>Дневнички для девочек А6, 80л. (110х148) переплёт 7БЦ глиттер</t>
  </si>
  <si>
    <t>ПП-00187767</t>
  </si>
  <si>
    <t>Дневничок для девочки А6, 80л. КОТЫ ПРИЯТЕЛИ арт.80-5750 (перепл. 7БЦ, глиттер, цвет.мелов.обл.)</t>
  </si>
  <si>
    <t>80-5750</t>
  </si>
  <si>
    <t>4620129757508</t>
  </si>
  <si>
    <t>ПП-00199210</t>
  </si>
  <si>
    <t>Записные книжки для девочек</t>
  </si>
  <si>
    <t xml:space="preserve"> Записные книжки для девочек А5, 80л. (150х204)  переплёт 7БЦ, глиттер</t>
  </si>
  <si>
    <t>ПП-00239899</t>
  </si>
  <si>
    <t>Записная книжка ДЛЯ ДЕВОЧЕК А5 80л. K-POP IDOLS (80-2104) переплёт 7БЦ, глиттер</t>
  </si>
  <si>
    <t>80-2104</t>
  </si>
  <si>
    <t>4670159221043</t>
  </si>
  <si>
    <t>ПП-00187848</t>
  </si>
  <si>
    <t>Записная книжка ДЛЯ ДЕВОЧЕК А5 80л. ДРУЖЕЛЮБНЫЙ ПЕСИК-1 (80-5769) переплёт 7БЦ, глиттер</t>
  </si>
  <si>
    <t>80-5769</t>
  </si>
  <si>
    <t>4620129757690</t>
  </si>
  <si>
    <t>ПП-00205595</t>
  </si>
  <si>
    <t>ПП-00187841</t>
  </si>
  <si>
    <t>Записная книжка ДЛЯ ДЕВОЧЕК А5 80л. КОТСМОНАВТЫ (80-5766) переплёт 7БЦ, глиттер</t>
  </si>
  <si>
    <t>80-5766</t>
  </si>
  <si>
    <t>4620129757669</t>
  </si>
  <si>
    <t>ПП-00203926</t>
  </si>
  <si>
    <t>ПП-00209758</t>
  </si>
  <si>
    <t>Записная книжка ДЛЯ ДЕВОЧЕК А5 80л. МОИ ЛЮБИМЫЕ ПИТОМЦЫ - 1 (80-7281) переплёт 7БЦ, глиттер</t>
  </si>
  <si>
    <t>80-7281</t>
  </si>
  <si>
    <t>4670159072614</t>
  </si>
  <si>
    <t>ПП-00187845</t>
  </si>
  <si>
    <t>Записная книжка ДЛЯ ДЕВОЧЕК А5 80л. ПАНДЫ В НЕБЕСАХ (80-5768) переплёт 7БЦ, глиттер</t>
  </si>
  <si>
    <t>80-5768</t>
  </si>
  <si>
    <t>4620129757683</t>
  </si>
  <si>
    <t>ПП-00228541</t>
  </si>
  <si>
    <t>Записная книжка ДЛЯ ДЕВОЧЕК А5 80л. СТИЛЬ И МОДА (80-7180) 7БЦ, глиттер, выборочн.лак., мат.</t>
  </si>
  <si>
    <t>80-7180</t>
  </si>
  <si>
    <t>4670159171805</t>
  </si>
  <si>
    <t>ПП-00187844</t>
  </si>
  <si>
    <t>Записная книжка ДЛЯ ДЕВОЧЕК А5 80л. СТИЛЬНАЯ ДЕВЧОНКА-1 (80-5767) переплёт 7БЦ, глиттер</t>
  </si>
  <si>
    <t>80-5767</t>
  </si>
  <si>
    <t>4620129757676</t>
  </si>
  <si>
    <t>Записные книжки для девочек А5, 80л. (148х205) переплет 7БЦ, твин-лак, холодная фольга</t>
  </si>
  <si>
    <t>ПП-00237230</t>
  </si>
  <si>
    <t>Записная книжка ДЛЯ ДЕВОЧЕК А5 80л. PINK &amp; BLACK (80-1156) перепл.7БЦ, твин-лак, холодн фольга</t>
  </si>
  <si>
    <t>80-1156</t>
  </si>
  <si>
    <t>4670159211563</t>
  </si>
  <si>
    <t>ПП-00237798</t>
  </si>
  <si>
    <t>Записная книжка ДЛЯ ДЕВОЧЕК А5 80л. PINK &amp; BLACK (80-1156) перепл.7БЦ, твин-лак, холодн фольга (!)</t>
  </si>
  <si>
    <t>ПП-00219603</t>
  </si>
  <si>
    <t>Записная книжка ДЛЯ ДЕВОЧЕК А5 80л. WEDNESDAY. ТАНЕЦ (80-5163) перепл.7БЦ, твин-лак, хол. фольга (!)</t>
  </si>
  <si>
    <t>80-5163</t>
  </si>
  <si>
    <t>ПП-00205938</t>
  </si>
  <si>
    <t>Записная книжка ДЛЯ ДЕВОЧЕК А5 80л. WEDNESDAY. ТАНЕЦ (80-5163) перепл.7БЦ, твин-лак, холодная фольга</t>
  </si>
  <si>
    <t>4670159051930</t>
  </si>
  <si>
    <t>ПП-00228542</t>
  </si>
  <si>
    <t>Записная книжка ДЛЯ ДЕВОЧЕК А5 80л. WEDNESDAY. ТАНЕЦ (80-7181) перепл.7БЦ, твин-лак, хол. фольга</t>
  </si>
  <si>
    <t>80-7181</t>
  </si>
  <si>
    <t>4670159171812</t>
  </si>
  <si>
    <t>ПП-00206939</t>
  </si>
  <si>
    <t>Записная книжка ДЛЯ ДЕВОЧЕК А5 80л. СТИЛЬ И МОДА (80-5786) перепл.7БЦ, твин-лак, холодная фольга</t>
  </si>
  <si>
    <t>80-5786</t>
  </si>
  <si>
    <t>4670159057468</t>
  </si>
  <si>
    <t>ПП-00219606</t>
  </si>
  <si>
    <t>Записная книжка ДЛЯ ДЕВОЧЕК А5 80л. СТИЛЬ И МОДА (80-5786) перепл.7БЦ, твин-лак, холодная фольга (!)</t>
  </si>
  <si>
    <t>Записные книжки для девочек А6, 80л. (110х148)  переплёт 7БЦ, глиттер</t>
  </si>
  <si>
    <t>ПП-00209757</t>
  </si>
  <si>
    <t>Записная книжка ДЛЯ ДЕВОЧЕК А6 80л. ВЕСЕННИЙ БУКЕТ - 1 (80-7280) переплёт 7БЦ, глиттер</t>
  </si>
  <si>
    <t>80-7280</t>
  </si>
  <si>
    <t>4670159072607</t>
  </si>
  <si>
    <t>ПП-00209756</t>
  </si>
  <si>
    <t>Записная книжка ДЛЯ ДЕВОЧЕК А6 80л. ВЕСЕННЯЯ ПРОГУЛКА (80-7279) переплёт 7БЦ, глиттер</t>
  </si>
  <si>
    <t>80-7279</t>
  </si>
  <si>
    <t>4670159072591</t>
  </si>
  <si>
    <t>ПП-00185098</t>
  </si>
  <si>
    <t>Записная книжка ДЛЯ ДЕВОЧЕК А6 80л. МОПС В ЮБОЧКЕ (80-5120) переплёт 7БЦ, глиттер</t>
  </si>
  <si>
    <t>80-5120</t>
  </si>
  <si>
    <t>4620129741200</t>
  </si>
  <si>
    <t>07. Текстильная продукция</t>
  </si>
  <si>
    <t>01 Продукция для художников</t>
  </si>
  <si>
    <t>Пенал-скрутка, печать на ткани (200х50)</t>
  </si>
  <si>
    <t>ПП-00181268</t>
  </si>
  <si>
    <t>Пенал-скрутка ВОЗДУШНЫЕ ШАРЫ-1 (ПН-5565) 200х50, печать на ткани</t>
  </si>
  <si>
    <t>ПН-5565</t>
  </si>
  <si>
    <t>4620129725651</t>
  </si>
  <si>
    <t>ПП-00181270</t>
  </si>
  <si>
    <t>Пенал-скрутка ГРАЦИОЗНЫЕ ЕДИНОРОГИ (ПН-5567) 200х50, печать на ткани</t>
  </si>
  <si>
    <t>ПН-5567</t>
  </si>
  <si>
    <t>4620129725675</t>
  </si>
  <si>
    <t>ПП-00181267</t>
  </si>
  <si>
    <t>Пенал-скрутка ЗАБАВНЫЙ ФАСТ-ФУД (ПН-5564) 200х50, печать на ткани</t>
  </si>
  <si>
    <t>ПН-5564</t>
  </si>
  <si>
    <t>4620129725644</t>
  </si>
  <si>
    <t>ПП-00181264</t>
  </si>
  <si>
    <t>Пенал-скрутка МНОЖЕСТВО СКЕЙТОВ (ПН-5561) 200х50, печать на ткани</t>
  </si>
  <si>
    <t>ПН-5561</t>
  </si>
  <si>
    <t>4620129725613</t>
  </si>
  <si>
    <t>ПП-00181263</t>
  </si>
  <si>
    <t>Пенал-скрутка НЕОНОВЫЕ ГРИБОЧКИ (ПН-5560) 200х50, печать на ткани</t>
  </si>
  <si>
    <t>ПН-5560</t>
  </si>
  <si>
    <t>4620129725606</t>
  </si>
  <si>
    <t>ПП-00181269</t>
  </si>
  <si>
    <t>Пенал-скрутка ПРИВЕТЛИВЫЕ БУЛЬДОГИ (ПН-5566) 200х50, печать на ткани</t>
  </si>
  <si>
    <t>ПН-5566</t>
  </si>
  <si>
    <t>4620129725668</t>
  </si>
  <si>
    <t>ПП-00181266</t>
  </si>
  <si>
    <t>Пенал-скрутка РЯДЫ КАРАНДАШЕЙ (ПН-5563) 200х50, печать на ткани</t>
  </si>
  <si>
    <t>ПН-5563</t>
  </si>
  <si>
    <t>4620129725637</t>
  </si>
  <si>
    <t>ПП-00181265</t>
  </si>
  <si>
    <t>Пенал-скрутка ТАЧКИ ДЛЯ РАЛЛИ (ПН-5562) 200х50, печать на ткани</t>
  </si>
  <si>
    <t>ПН-5562</t>
  </si>
  <si>
    <t>4620129725620</t>
  </si>
  <si>
    <t>Пеналы для кистей (100х270) инд. в пэт.</t>
  </si>
  <si>
    <t>ПП-00054994</t>
  </si>
  <si>
    <t>Пенал для кистей КРАСНЫЙ (ПК-1192) 100х270, ткань</t>
  </si>
  <si>
    <t>ПК-1192</t>
  </si>
  <si>
    <t>4665299611922</t>
  </si>
  <si>
    <t>ПП-00194271</t>
  </si>
  <si>
    <t>Пенал для кистей ОРАНЖЕВЫЙ (ПК-8591) 100х270, ткань</t>
  </si>
  <si>
    <t>ПК-8591</t>
  </si>
  <si>
    <t>4620129785914</t>
  </si>
  <si>
    <t>ПП-00054995</t>
  </si>
  <si>
    <t>Пенал для кистей СЕРЫЙ (ПК-1193) 100х270, ткань</t>
  </si>
  <si>
    <t>ПК-1193</t>
  </si>
  <si>
    <t>4665299611939</t>
  </si>
  <si>
    <t>ПП-00054996</t>
  </si>
  <si>
    <t>Пенал для кистей СИНИЙ (ПК-1191) 100х270, ткань</t>
  </si>
  <si>
    <t>ПК-1191</t>
  </si>
  <si>
    <t>4665299611915</t>
  </si>
  <si>
    <t>ПП-00055049</t>
  </si>
  <si>
    <t>Пенал для кистей ЧЕРНЫЙ (ПК-1190) 100х270, ткань</t>
  </si>
  <si>
    <t>ПК-1190</t>
  </si>
  <si>
    <t>4665299611908</t>
  </si>
  <si>
    <t>Пеналы для кистей (100х320) инд. в пэт.</t>
  </si>
  <si>
    <t>ПП-00054401</t>
  </si>
  <si>
    <t>Пенал для кистей КРАСНЫЙ (ПК-1185) 100х320, ткань</t>
  </si>
  <si>
    <t>ПК-1185</t>
  </si>
  <si>
    <t>4665299611854</t>
  </si>
  <si>
    <t>ПП-00194275</t>
  </si>
  <si>
    <t>Пенал для кистей ОРАНЖЕВЫЙ (ПК-8592) 100х320, ткань</t>
  </si>
  <si>
    <t>ПК-8592</t>
  </si>
  <si>
    <t>4620129785921</t>
  </si>
  <si>
    <t>ПП-00054399</t>
  </si>
  <si>
    <t>Пенал для кистей СЕРЫЙ (ПК-1186) 100х320, ткань</t>
  </si>
  <si>
    <t>ПК-1186</t>
  </si>
  <si>
    <t>4665299611861</t>
  </si>
  <si>
    <t>ПП-00054402</t>
  </si>
  <si>
    <t>Пенал для кистей СИНИЙ (ПК-1184) 100х320, ткань</t>
  </si>
  <si>
    <t>ПК-1184</t>
  </si>
  <si>
    <t>4665299611847</t>
  </si>
  <si>
    <t>ПП-00054400</t>
  </si>
  <si>
    <t>Пенал для кистей ЧЕРНЫЙ (ПК-1183) 100х320, ткань</t>
  </si>
  <si>
    <t>ПК-1183</t>
  </si>
  <si>
    <t>4665299611830</t>
  </si>
  <si>
    <t>Пеналы для кистей (100х380) инд. в пэт.</t>
  </si>
  <si>
    <t>ПП-00054743</t>
  </si>
  <si>
    <t>Пенал для кистей СЕРЫЙ (ПК-1179) 100х380, ткань</t>
  </si>
  <si>
    <t>ПК-1179</t>
  </si>
  <si>
    <t>4665299611793</t>
  </si>
  <si>
    <t>ПП-00056104</t>
  </si>
  <si>
    <t>Пенал для кистей СИНИЙ (ПК-1177) 100х380, ткань</t>
  </si>
  <si>
    <t>ПК-1177</t>
  </si>
  <si>
    <t>4665299611779</t>
  </si>
  <si>
    <t>ПП-00054745</t>
  </si>
  <si>
    <t>Пенал для кистей ЧЕРНЫЙ (ПК-1176) 100х380, ткань</t>
  </si>
  <si>
    <t>ПК-1176</t>
  </si>
  <si>
    <t>4665299611762</t>
  </si>
  <si>
    <t>Пеналы для кистей, печать на ткани (100х270) инд.упак</t>
  </si>
  <si>
    <t>ПП-00201255</t>
  </si>
  <si>
    <t>Пенал для кистей АРТ (ПН-9555) 100х270, печать на ткани</t>
  </si>
  <si>
    <t>ПН-9555</t>
  </si>
  <si>
    <t>4670159025559</t>
  </si>
  <si>
    <t>ПП-00201250</t>
  </si>
  <si>
    <t>Пенал для кистей ГЕОМЕТРИЯ-1 (ПН-9554) 100х270, печать на ткани</t>
  </si>
  <si>
    <t>ПН-9554</t>
  </si>
  <si>
    <t>4670159025542</t>
  </si>
  <si>
    <t>ПП-00201256</t>
  </si>
  <si>
    <t>Пенал для кистей КОШКИ НА РОЗОВОМ (ПН-9556) 100х270, печать на ткани</t>
  </si>
  <si>
    <t>ПН-9556</t>
  </si>
  <si>
    <t>4670159025566</t>
  </si>
  <si>
    <t>ПП-00201257</t>
  </si>
  <si>
    <t>Пенал для кистей МЕХАНИЗМЫ (ПН-9557) 100х270, печать на ткани</t>
  </si>
  <si>
    <t>ПН-9557</t>
  </si>
  <si>
    <t>4670159025573</t>
  </si>
  <si>
    <t>ПП-00201258</t>
  </si>
  <si>
    <t>Пенал для кистей МЛЕЧНЫЙ ПУТЬ (ПН-9558) 100х270, печать на ткани</t>
  </si>
  <si>
    <t>ПН-9558</t>
  </si>
  <si>
    <t>4670159025580</t>
  </si>
  <si>
    <t>ПП-00201259</t>
  </si>
  <si>
    <t>Пенал для кистей НАДПИСИ БЕЛЫМ (ПН-9559) 100х270, печать на ткани</t>
  </si>
  <si>
    <t>ПН-9559</t>
  </si>
  <si>
    <t>4670159025597</t>
  </si>
  <si>
    <t>ПП-00201261</t>
  </si>
  <si>
    <t>Пенал для кистей ПЕРЦЫ ЧИЛИ (ПН-9561) 100х270, печать на ткани</t>
  </si>
  <si>
    <t>ПН-9561</t>
  </si>
  <si>
    <t>4670159025610</t>
  </si>
  <si>
    <t>ПП-00201260</t>
  </si>
  <si>
    <t>Пенал для кистей УТКИ (ПН-9560) 100х270, печать на ткани</t>
  </si>
  <si>
    <t>ПН-9560</t>
  </si>
  <si>
    <t>4670159025603</t>
  </si>
  <si>
    <t>Чехлы для кистей (335х118)</t>
  </si>
  <si>
    <t>ПП-00047979</t>
  </si>
  <si>
    <t>Чехол для кистей СИНИЙ (ЧК-0340) 335х118, ткань</t>
  </si>
  <si>
    <t>ЧК-0340</t>
  </si>
  <si>
    <t>4665297803404</t>
  </si>
  <si>
    <t>02 Пеналы школьные</t>
  </si>
  <si>
    <t>01 Пеналы 1-секционные малые (190х65)</t>
  </si>
  <si>
    <t xml:space="preserve"> ТМ "Profit" Пеналы 1-секц, малые, 190х65, ламинированный картон</t>
  </si>
  <si>
    <t>ПП-00243133</t>
  </si>
  <si>
    <t>ТМ "Profit" Пенал 1-секц, малый АППЕТИТНАЯ НАДПИСЬ (ПН-8078) 190х65, ламинированный картон</t>
  </si>
  <si>
    <t>ПН-8078</t>
  </si>
  <si>
    <t>4670159230786</t>
  </si>
  <si>
    <t>ПП-00243132</t>
  </si>
  <si>
    <t>ТМ "Profit" Пенал 1-секц, малый БИРЮЗОВЫЙ СПОРТКАР (ПН-8077) 190х65, ламинированный картон</t>
  </si>
  <si>
    <t>ПН-8077</t>
  </si>
  <si>
    <t>4670159230779</t>
  </si>
  <si>
    <t>ПП-00243137</t>
  </si>
  <si>
    <t>ТМ "Profit" Пенал 1-секц, малый ЗАЙКА БАЛЕРИНА (ПН-8082) 190х65, ламинированный картон</t>
  </si>
  <si>
    <t>ПН-8082</t>
  </si>
  <si>
    <t>4670159230823</t>
  </si>
  <si>
    <t>ПП-00243131</t>
  </si>
  <si>
    <t>ТМ "Profit" Пенал 1-секц, малый ЗОЛОТИСТЫЙ СПОРТКАР (ПН-8076) 190х65, ламинированный картон</t>
  </si>
  <si>
    <t>ПН-8076</t>
  </si>
  <si>
    <t>4670159230762</t>
  </si>
  <si>
    <t>ПП-00243140</t>
  </si>
  <si>
    <t>ТМ "Profit" Пенал 1-секц, малый МЯЧ В ГОРАХ (ПН-8085) 190х65, ламинированный картон</t>
  </si>
  <si>
    <t>ПН-8085</t>
  </si>
  <si>
    <t>4670159230854</t>
  </si>
  <si>
    <t>ПП-00243135</t>
  </si>
  <si>
    <t>ТМ "Profit" Пенал 1-секц, малый ОРАНЖЕВЫЙ МОТОЦИКЛ (ПН-8080) 190х65, ламинированный картон</t>
  </si>
  <si>
    <t>ПН-8080</t>
  </si>
  <si>
    <t>4670159230809</t>
  </si>
  <si>
    <t>ПП-00243139</t>
  </si>
  <si>
    <t>ТМ "Profit" Пенал 1-секц, малый СОБАКЕН (ПН-8084) 190х65, ламинированный картон</t>
  </si>
  <si>
    <t>ПН-8084</t>
  </si>
  <si>
    <t>4670159230847</t>
  </si>
  <si>
    <t>ПП-00243134</t>
  </si>
  <si>
    <t>ТМ "Profit" Пенал 1-секц, малый СТАРТ (ПН-8079) 190х65, ламинированный картон</t>
  </si>
  <si>
    <t>ПН-8079</t>
  </si>
  <si>
    <t>4670159230793</t>
  </si>
  <si>
    <t>ПП-00217176</t>
  </si>
  <si>
    <t>ТМ "Profit" Пенал 1-секц, малый СЧАСТЛИВЫЕ ЧАСЫ (ПН-1569) 190х65, ламинированный картон</t>
  </si>
  <si>
    <t>ПН-1569</t>
  </si>
  <si>
    <t>4670159115694</t>
  </si>
  <si>
    <t>ПП-00243138</t>
  </si>
  <si>
    <t>ТМ "Profit" Пенал 1-секц, малый УЛЫБКА ЁЖИКА (ПН-8083) 190х65, ламинированный картон</t>
  </si>
  <si>
    <t>ПН-8083</t>
  </si>
  <si>
    <t>4670159230830</t>
  </si>
  <si>
    <t>02 Пеналы 1-секционные средние (190х90)</t>
  </si>
  <si>
    <t xml:space="preserve"> ТМ "Profit" Пеналы 1-секц, средние, 190х90, ламинированный картон</t>
  </si>
  <si>
    <t>ПП-00243143</t>
  </si>
  <si>
    <t>ТМ "Profit" Пенал 1-секц, средний ДЕВУШКА В ОРАНЖЕВОЙ КУРТКЕ (ПН-8088) 190х90, ламинированный картон</t>
  </si>
  <si>
    <t>ПН-8088</t>
  </si>
  <si>
    <t>4670159230885</t>
  </si>
  <si>
    <t>ПП-00243147</t>
  </si>
  <si>
    <t>ТМ "Profit" Пенал 1-секц, средний ЗАБАВНЫЙ ЕНОТИК (ПН-8092) 190х90, ламинированный картон</t>
  </si>
  <si>
    <t>ПН-8092</t>
  </si>
  <si>
    <t>4670159230922</t>
  </si>
  <si>
    <t>ПП-00243145</t>
  </si>
  <si>
    <t>ТМ "Profit" Пенал 1-секц, средний КАПИБАРА С ПТИЧКОЙ (ПН-8090) 190х90, ламинированный картон</t>
  </si>
  <si>
    <t>ПН-8090</t>
  </si>
  <si>
    <t>4670159230908</t>
  </si>
  <si>
    <t>ПП-00243149</t>
  </si>
  <si>
    <t>ТМ "Profit" Пенал 1-секц, средний КРАСНЫЙ МОТОЦИКЛ (ПН-8094) 190х90, ламинированный картон</t>
  </si>
  <si>
    <t>ПН-8094</t>
  </si>
  <si>
    <t>4670159230946</t>
  </si>
  <si>
    <t>ПП-00243141</t>
  </si>
  <si>
    <t>ТМ "Profit" Пенал 1-секц, средний КРУТАЯ ТАЧКА (ПН-8086) 190х90, ламинированный картон</t>
  </si>
  <si>
    <t>ПН-8086</t>
  </si>
  <si>
    <t>4670159230861</t>
  </si>
  <si>
    <t>ПП-00217608</t>
  </si>
  <si>
    <t>ТМ "Profit" Пенал 1-секц, средний МЯГКАЯ ИГРУШКА (ПН-1721) 190х90, ламинированный картон</t>
  </si>
  <si>
    <t>ПН-1721</t>
  </si>
  <si>
    <t>4670159117216</t>
  </si>
  <si>
    <t>ПП-00243150</t>
  </si>
  <si>
    <t>ТМ "Profit" Пенал 1-секц, средний ПУШИСТИК - 1 (ПН-8095) 190х90, ламинированный картон</t>
  </si>
  <si>
    <t>ПН-8095</t>
  </si>
  <si>
    <t>4670159230953</t>
  </si>
  <si>
    <t>ПП-00243148</t>
  </si>
  <si>
    <t>ТМ "Profit" Пенал 1-секц, средний СМАЙЛИК НА ЧЁРНОМ ФОНЕ (ПН-8093) 190х90, ламинированный картон</t>
  </si>
  <si>
    <t>ПН-8093</t>
  </si>
  <si>
    <t>4670159230939</t>
  </si>
  <si>
    <t>ПП-00243146</t>
  </si>
  <si>
    <t>ТМ "Profit" Пенал 1-секц, средний ФУТБОЛЬНЫЙ МЯЧ - 2 (ПН-8091) 190х90, ламинированный картон</t>
  </si>
  <si>
    <t>ПН-8091</t>
  </si>
  <si>
    <t>4670159230915</t>
  </si>
  <si>
    <t>ПП-00217609</t>
  </si>
  <si>
    <t>ТМ "Profit" Пенал 1-секц, средний ФУТБОЛЬНЫЙ МЯЧ (ПН-1722) 190х90, ламинированный картон</t>
  </si>
  <si>
    <t>ПН-1722</t>
  </si>
  <si>
    <t>4670159117223</t>
  </si>
  <si>
    <t>Пеналы  1-секц, средние, 190х90, ламинированный картон</t>
  </si>
  <si>
    <t>ПП-00217186</t>
  </si>
  <si>
    <t>Пенал 1-секц, средний ЗАПУСК (ПН-1579) 190х90, ламинированный картон</t>
  </si>
  <si>
    <t>ПН-1579</t>
  </si>
  <si>
    <t>4670159115793</t>
  </si>
  <si>
    <t>ПП-00217187</t>
  </si>
  <si>
    <t>Пенал 1-секц, средний ИСПУГ (ПН-1580) 190х90, ламинированный картон</t>
  </si>
  <si>
    <t>ПН-1580</t>
  </si>
  <si>
    <t>4670159115809</t>
  </si>
  <si>
    <t>ПП-00217190</t>
  </si>
  <si>
    <t>Пенал 1-секц, средний КОТИК И КОФЕ (ПН-1583) 190х90, ламинированный картон</t>
  </si>
  <si>
    <t>ПН-1583</t>
  </si>
  <si>
    <t>4670159115830</t>
  </si>
  <si>
    <t>ПП-00217189</t>
  </si>
  <si>
    <t>Пенал 1-секц, средний КОТЫ В ТРАВЕ (ПН-1582) 190х90, ламинированный картон</t>
  </si>
  <si>
    <t>ПН-1582</t>
  </si>
  <si>
    <t>4670159115823</t>
  </si>
  <si>
    <t>ПП-00217184</t>
  </si>
  <si>
    <t>Пенал 1-секц, средний МГНОВЕНИЕ ЧУДА (ПН-1577) 190х90, ламинированный картон</t>
  </si>
  <si>
    <t>ПН-1577</t>
  </si>
  <si>
    <t>4670159115779</t>
  </si>
  <si>
    <t>ПП-00217182</t>
  </si>
  <si>
    <t>Пенал 1-секц, средний МИЛАЯ ДЕВОЧКА (ПН-1575) 190х90, ламинированный картон</t>
  </si>
  <si>
    <t>ПН-1575</t>
  </si>
  <si>
    <t>4670159115755</t>
  </si>
  <si>
    <t>ПП-00217185</t>
  </si>
  <si>
    <t>Пенал 1-секц, средний МИШКА С ТЕЛЕФОНОМ (ПН-1578) 190х90, ламинированный картон</t>
  </si>
  <si>
    <t>ПН-1578</t>
  </si>
  <si>
    <t>4670159115786</t>
  </si>
  <si>
    <t>ПП-00217188</t>
  </si>
  <si>
    <t>Пенал 1-секц, средний СВЕРХСКОРОСТЬ-1 (ПН-1581) 190х90, ламинированный картон</t>
  </si>
  <si>
    <t>ПН-1581</t>
  </si>
  <si>
    <t>4670159115816</t>
  </si>
  <si>
    <t>ПП-00171887</t>
  </si>
  <si>
    <t>Пенал 1-секц, средний СПЕЛЫЕ АВОКАДО (ПН-7440) 190х90, ламинированный картон</t>
  </si>
  <si>
    <t>ПН-7440</t>
  </si>
  <si>
    <t>4610144874403</t>
  </si>
  <si>
    <t>ПП-00217191</t>
  </si>
  <si>
    <t>Пенал 1-секц, средний ФУТБОЛИСТ (ПН-1584) 190х90, ламинированный картон</t>
  </si>
  <si>
    <t>ПН-1584</t>
  </si>
  <si>
    <t>4670159115847</t>
  </si>
  <si>
    <t>Пеналы 1-секц, средние, 190х90, печать на ткани, инд. в пэт</t>
  </si>
  <si>
    <t>ПП-00229070</t>
  </si>
  <si>
    <t>Пенал 1-секц, средний АНИМЕШНАЯ ДЕВЧОНКА (ПН-7371) (190х90) (печать на ткани)</t>
  </si>
  <si>
    <t>ПН-7371</t>
  </si>
  <si>
    <t>4670159173748</t>
  </si>
  <si>
    <t>ПП-00229082</t>
  </si>
  <si>
    <t>Пенал 1-секц, средний ДЕВОЧКА С ЩЕНОЧКОМ (ПН-7372) (190х90) (печать на ткани)</t>
  </si>
  <si>
    <t>ПН-7372</t>
  </si>
  <si>
    <t>4670159173755</t>
  </si>
  <si>
    <t>ПП-00229084</t>
  </si>
  <si>
    <t>Пенал 1-секц, средний МОТОЦИКЛ НА ЖЁЛТОМ ФОНЕ (ПН-7374) (190х90) (печать на ткани)</t>
  </si>
  <si>
    <t>ПН-7374</t>
  </si>
  <si>
    <t>4670159173779</t>
  </si>
  <si>
    <t>ПП-00229088</t>
  </si>
  <si>
    <t>Пенал 1-секц, средний ЧЕТЫРЕ ЛАПЫ (ПН-7378) (190х90) (печать на ткани)</t>
  </si>
  <si>
    <t>ПН-7378</t>
  </si>
  <si>
    <t>4670159173816</t>
  </si>
  <si>
    <t>03 Пеналы 1-секционные большие (190х115)</t>
  </si>
  <si>
    <t xml:space="preserve">  ТМ "Profit"  Пеналы 1-секц, большие, 190х115, ламинированный картон</t>
  </si>
  <si>
    <t>ПП-00192360</t>
  </si>
  <si>
    <t xml:space="preserve"> ТМ "Profit" Пенал 1-секц, большой АТАКА ПРИШЕЛЬЦЕВ (ПН-7679) 190х115, ламинированный картон</t>
  </si>
  <si>
    <t>ПН-7679</t>
  </si>
  <si>
    <t>4620129776790</t>
  </si>
  <si>
    <t>ПП-00243126</t>
  </si>
  <si>
    <t>ТМ "Profit" Пенал 1-секц, большой БЛА-БЛА-БЛА (ПН-8074) 190х115, ламинированный картон</t>
  </si>
  <si>
    <t>ПН-8074</t>
  </si>
  <si>
    <t>4670159230748</t>
  </si>
  <si>
    <t>ПП-00218378</t>
  </si>
  <si>
    <t>ТМ "Profit" Пенал 1-секц, большой ГЛОБУС НА КНИГАХ (ПН-1934) 190х115, ламинированный картон</t>
  </si>
  <si>
    <t>ПН-1934</t>
  </si>
  <si>
    <t>4670159119340</t>
  </si>
  <si>
    <t>ПП-00243122</t>
  </si>
  <si>
    <t>ТМ "Profit" Пенал 1-секц, большой ДЕВУШКА В КЛЕТЧАТОЙ ЮБКЕ (ПН-8072) 190х115, ламинированный картон</t>
  </si>
  <si>
    <t>ПН-8072</t>
  </si>
  <si>
    <t>4670159230724</t>
  </si>
  <si>
    <t>ПП-00218364</t>
  </si>
  <si>
    <t>ПП-00243108</t>
  </si>
  <si>
    <t>ТМ "Profit" Пенал 1-секц, большой ДРАКОШИ (ПН-8064) 190х115, ламинированный картон</t>
  </si>
  <si>
    <t>ПН-8064</t>
  </si>
  <si>
    <t>4670159230649</t>
  </si>
  <si>
    <t>ПП-00243109</t>
  </si>
  <si>
    <t>ТМ "Profit" Пенал 1-секц, большой ЗВЕЗДА ФУТБОЛА (ПН-8065) 190х115, ламинированный картон</t>
  </si>
  <si>
    <t>ПН-8065</t>
  </si>
  <si>
    <t>4670159230656</t>
  </si>
  <si>
    <t>ПП-00243124</t>
  </si>
  <si>
    <t>ТМ "Profit" Пенал 1-секц, большой ЗОЛОТИСТЫЙ МОТОЦИКЛ (ПН-8073) 190х115, ламинированный картон</t>
  </si>
  <si>
    <t>ПН-8073</t>
  </si>
  <si>
    <t>4670159230731</t>
  </si>
  <si>
    <t>ПП-00243111</t>
  </si>
  <si>
    <t>ТМ "Profit" Пенал 1-секц, большой КРУТАЯ ТАЧКА (ПН-8066) 190х115, ламинированный картон</t>
  </si>
  <si>
    <t>ПН-8066</t>
  </si>
  <si>
    <t>4670159230663</t>
  </si>
  <si>
    <t>ПП-00218371</t>
  </si>
  <si>
    <t>ТМ "Profit" Пенал 1-секц, большой ЛЕДИ ПЁС (ПН-1930) 190х115, ламинированный картон</t>
  </si>
  <si>
    <t>ПН-1930</t>
  </si>
  <si>
    <t>4670159119302</t>
  </si>
  <si>
    <t>ПП-00243113</t>
  </si>
  <si>
    <t>ТМ "Profit" Пенал 1-секц, большой ЛУЧШИЕ ДРУЗЬЯ (ПН-8067) 190х115, ламинированный картон</t>
  </si>
  <si>
    <t>ПН-8067</t>
  </si>
  <si>
    <t>4670159230670</t>
  </si>
  <si>
    <t>ПП-00243115</t>
  </si>
  <si>
    <t>ТМ "Profit" Пенал 1-секц, большой МАЛЕНЬКИЙ КОРГИ (ПН-8068) 190х115, ламинированный картон</t>
  </si>
  <si>
    <t>ПН-8068</t>
  </si>
  <si>
    <t>4670159230687</t>
  </si>
  <si>
    <t>ПП-00243420</t>
  </si>
  <si>
    <t>ТМ "Profit" Пенал 1-секц, большой МИЛЫЙ БЕЛЫЙ МИШКА (ПН-3208) 190х115, ламинированный картон</t>
  </si>
  <si>
    <t>ПН-3208</t>
  </si>
  <si>
    <t>4670159232070</t>
  </si>
  <si>
    <t>ПП-00243421</t>
  </si>
  <si>
    <t>ТМ "Profit" Пенал 1-секц, большой МОЙ ДВОР - МОИ ПРАВИЛА! (ПН-3209) 190х115, ламинированный картон</t>
  </si>
  <si>
    <t>ПН-3209</t>
  </si>
  <si>
    <t>4670159232087</t>
  </si>
  <si>
    <t>ПП-00218363</t>
  </si>
  <si>
    <t>ТМ "Profit" Пенал 1-секц, большой МЯЧ НА ЗЕЛЕНОМ ПОЛЕ (ПН-1926) 190х115, ламинированный картон</t>
  </si>
  <si>
    <t>ПН-1926</t>
  </si>
  <si>
    <t>4670159119265</t>
  </si>
  <si>
    <t>ПП-00218358</t>
  </si>
  <si>
    <t>ТМ "Profit" Пенал 1-секц, большой ПАНДА-МЕЛОМАН (ПН-1923) 190х115, ламинированный картон</t>
  </si>
  <si>
    <t>ПН-1923</t>
  </si>
  <si>
    <t>4670159119234</t>
  </si>
  <si>
    <t>ПП-00243117</t>
  </si>
  <si>
    <t>ТМ "Profit" Пенал 1-секц, большой ПУШИСТИК (ПН-8069) 190х115, ламинированный картон</t>
  </si>
  <si>
    <t>ПН-8069</t>
  </si>
  <si>
    <t>4670159230694</t>
  </si>
  <si>
    <t>ПП-00218359</t>
  </si>
  <si>
    <t>ТМ "Profit" Пенал 1-секц, большой РИСУНКИ ПОНИ (ПН-1924) 190х115, ламинированный картон</t>
  </si>
  <si>
    <t>ПН-1924</t>
  </si>
  <si>
    <t>4670159119241</t>
  </si>
  <si>
    <t>ПП-00243120</t>
  </si>
  <si>
    <t>ТМ "Profit" Пенал 1-секц, большой СИНЕЕ КУПЕ (ПН-8071) 190х115, ламинированный картон</t>
  </si>
  <si>
    <t>ПН-8071</t>
  </si>
  <si>
    <t>4670159230717</t>
  </si>
  <si>
    <t>ПП-00243119</t>
  </si>
  <si>
    <t>ТМ "Profit" Пенал 1-секц, большой СПАЙДЕР (ПН-8070) 190х115, ламинированный картон</t>
  </si>
  <si>
    <t>ПН-8070</t>
  </si>
  <si>
    <t>4670159230700</t>
  </si>
  <si>
    <t>ПП-00243419</t>
  </si>
  <si>
    <t>ТМ "Profit" Пенал 1-секц, большой СЧАСТЛИВЫЙ КОТИК (ПН-3207) 190х115, ламинированный картон</t>
  </si>
  <si>
    <t>ПН-3207</t>
  </si>
  <si>
    <t>4670159232063</t>
  </si>
  <si>
    <t xml:space="preserve">  ТМ "Profit" Пеналы 1-секц, большие с откидной планкой, 190х115, ламинированный картон</t>
  </si>
  <si>
    <t>ПП-00217843</t>
  </si>
  <si>
    <t>ТМ "Profit" Пенал 1-секц, большой, с отк.планкой БЕЛЫЙ ЗАЯЦ (ПН-1775)(190х115)лам.к</t>
  </si>
  <si>
    <t>ПН-1775</t>
  </si>
  <si>
    <t>4670159117759</t>
  </si>
  <si>
    <t>ПП-00217844</t>
  </si>
  <si>
    <t>ТМ "Profit" Пенал 1-секц, большой, с отк.планкой ВЕСЁЛАЯ СОБАЧКА (ПН-1776)(190х115)лам.к</t>
  </si>
  <si>
    <t>ПН-1776</t>
  </si>
  <si>
    <t>4670159117766</t>
  </si>
  <si>
    <t>ПП-00217841</t>
  </si>
  <si>
    <t>ТМ "Profit" Пенал 1-секц, большой, с отк.планкой ДЕВОЧКА В ШАПКЕ (ПН-1774)(190х115)лам.к</t>
  </si>
  <si>
    <t>ПН-1774</t>
  </si>
  <si>
    <t>4670159117742</t>
  </si>
  <si>
    <t>ПП-00192380</t>
  </si>
  <si>
    <t>ТМ "Profit" Пенал 1-секц, большой, с отк.планкой ПУТЕШЕСТВИЕ СКВОЗЬ МИРЫ (ПН-7690)(190х115)лам.к</t>
  </si>
  <si>
    <t>ПН-7690</t>
  </si>
  <si>
    <t>4620129776905</t>
  </si>
  <si>
    <t>ПП-00217845</t>
  </si>
  <si>
    <t>ТМ "Profit" Пенал 1-секц, большой, с отк.планкой ФУТБОЛ ЛОГОТИП (ПН-1777)(190х115)лам.к</t>
  </si>
  <si>
    <t>ПН-1777</t>
  </si>
  <si>
    <t>4670159117773</t>
  </si>
  <si>
    <t>Пеналы 1-секц, большие с откидной планкой, 190х115, ламинированный картон</t>
  </si>
  <si>
    <t>ПП-00243103</t>
  </si>
  <si>
    <t>Пенал 1-секц, большой, с отк.планкой ГУСЬ-МЕЛОМАН (ПН-8045) (190х115) ламинир. картон</t>
  </si>
  <si>
    <t>ПН-8045</t>
  </si>
  <si>
    <t>4670159230458</t>
  </si>
  <si>
    <t>ПП-00243100</t>
  </si>
  <si>
    <t>Пенал 1-секц, большой, с отк.планкой КОШКА-БАЛЕРИНА (ПН-8043) (190х115) ламинир. картон</t>
  </si>
  <si>
    <t>ПН-8043</t>
  </si>
  <si>
    <t>4670159230434</t>
  </si>
  <si>
    <t>ПП-00218391</t>
  </si>
  <si>
    <t>ПП-00195453</t>
  </si>
  <si>
    <t>Пенал 1-секц, большой, с отк.планкой ПОНИ БАЛЕРИНА (ПН-9969) (190х115) ламинир. картон</t>
  </si>
  <si>
    <t>ПН-9969</t>
  </si>
  <si>
    <t>4620129789691</t>
  </si>
  <si>
    <t>ПП-00243102</t>
  </si>
  <si>
    <t>Пенал 1-секц, большой, с отк.планкой СПЯЩАЯ ЛИСИЧКА (ПН-8044) (190х115) ламинир. картон</t>
  </si>
  <si>
    <t>ПН-8044</t>
  </si>
  <si>
    <t>4670159230441</t>
  </si>
  <si>
    <t>ПП-00243099</t>
  </si>
  <si>
    <t>Пенал 1-секц, большой, с отк.планкой ЧЁРНОЕ АВТО С ПОЛОСАМИ (ПН-8042) (190х115) ламинир. картон</t>
  </si>
  <si>
    <t>ПН-8042</t>
  </si>
  <si>
    <t>4670159230427</t>
  </si>
  <si>
    <t>Пеналы 1-секц, большие с откидной планкой, 190х115, печать на ткани, инд.в пэт</t>
  </si>
  <si>
    <t>ПП-00218424</t>
  </si>
  <si>
    <t>Пенал 1-секц, печать на ткани, большой, с отк.планкой АВОКАДИКИ (ПН-3059) (190х115)</t>
  </si>
  <si>
    <t>ПН-3059</t>
  </si>
  <si>
    <t>4670159119890</t>
  </si>
  <si>
    <t>ПП-00218421</t>
  </si>
  <si>
    <t>Пенал 1-секц, печать на ткани, большой, с отк.планкой ВЕСЕЛЫЕ МУМИИ (ПН-3056) (190х115)</t>
  </si>
  <si>
    <t>ПН-3056</t>
  </si>
  <si>
    <t>4670159119869</t>
  </si>
  <si>
    <t>ПП-00218428</t>
  </si>
  <si>
    <t>Пенал 1-секц, печать на ткани, большой, с отк.планкой ДЕВОЧКА В МАТРОСКЕ (ПН-3061) (190х115)</t>
  </si>
  <si>
    <t>ПН-3061</t>
  </si>
  <si>
    <t>4670159119913</t>
  </si>
  <si>
    <t>ПП-00218420</t>
  </si>
  <si>
    <t>Пенал 1-секц, печать на ткани, большой, с отк.планкой КАРАНДАШИ ДЛЯ ШКОЛЫ  (ПН-3055) (190х115)</t>
  </si>
  <si>
    <t>ПН-3055</t>
  </si>
  <si>
    <t>4670159119852</t>
  </si>
  <si>
    <t>ПП-00218427</t>
  </si>
  <si>
    <t>Пенал 1-секц, печать на ткани, большой, с отк.планкой НАРИСОВАННЫЙ ДЖИП (ПН-3060) (190х115)</t>
  </si>
  <si>
    <t>ПН-3060</t>
  </si>
  <si>
    <t>4670159119906</t>
  </si>
  <si>
    <t>ПП-00218431</t>
  </si>
  <si>
    <t>Пенал 1-секц, печать на ткани, большой, с отк.планкой НЕДОВОЛЬНАЯ УТКА (ПН-3062) (190х115)</t>
  </si>
  <si>
    <t>ПН-3062</t>
  </si>
  <si>
    <t>4670159119920</t>
  </si>
  <si>
    <t>ПП-00218422</t>
  </si>
  <si>
    <t>Пенал 1-секц, печать на ткани, большой, с отк.планкой СТИЛЬНЫЕ ПОДРУГИ (ПН-3057) (190х115)</t>
  </si>
  <si>
    <t>ПН-3057</t>
  </si>
  <si>
    <t>4670159119876</t>
  </si>
  <si>
    <t>Пеналы 1-секц, большие, 190х115, ламинированный картон</t>
  </si>
  <si>
    <t>ПП-00229092</t>
  </si>
  <si>
    <t>Пенал 1-секц, большой ДЕВОЧКА С КОШЕЧКОЙ (ПН-7382) 190х115, глянц.ламинир.</t>
  </si>
  <si>
    <t>ПН-7382</t>
  </si>
  <si>
    <t>4670159173854</t>
  </si>
  <si>
    <t>ПП-00229093</t>
  </si>
  <si>
    <t>Пенал 1-секц, большой КРАСНО-ЗОЛОТИСТЫЙ МОТОЦИКЛ (ПН-7383) 190х115, глянц.ламинир.</t>
  </si>
  <si>
    <t>ПН-7383</t>
  </si>
  <si>
    <t>4670159173861</t>
  </si>
  <si>
    <t>ПП-00192318</t>
  </si>
  <si>
    <t>Пенал 1-секц, большой МЕЧТАТЕЛЬНЫЙ ПЁСИК (ПН-7660) 190х115, глянц.ламинир.</t>
  </si>
  <si>
    <t>ПН-7660</t>
  </si>
  <si>
    <t>4620129776608</t>
  </si>
  <si>
    <t>ПП-00229096</t>
  </si>
  <si>
    <t>Пенал 1-секц, большой МИЛЫЙ КОТИК-1 (ПН-7386) 190х115, глянц.ламинир.</t>
  </si>
  <si>
    <t>ПН-7386</t>
  </si>
  <si>
    <t>4670159173892</t>
  </si>
  <si>
    <t>ПП-00229098</t>
  </si>
  <si>
    <t>Пенал 1-секц, большой МЯЧИК НА ГАЗОНЕ (ПН-7388) 190х115, глянц.ламинир.</t>
  </si>
  <si>
    <t>ПН-7388</t>
  </si>
  <si>
    <t>4670159173915</t>
  </si>
  <si>
    <t>ПП-00229094</t>
  </si>
  <si>
    <t>Пенал 1-секц, большой ПЁСИК НА РОЗОВОМ (ПН-7384) 190х115, глянц.ламинир.</t>
  </si>
  <si>
    <t>ПН-7384</t>
  </si>
  <si>
    <t>4670159173878</t>
  </si>
  <si>
    <t>ПП-00229090</t>
  </si>
  <si>
    <t>Пенал 1-секц, большой ПРЕМИАЛЬНОЕ АВТО (ПН-7380) 190х115, глянц.ламинир.</t>
  </si>
  <si>
    <t>ПН-7380</t>
  </si>
  <si>
    <t>4670159173830</t>
  </si>
  <si>
    <t>ПП-00192322</t>
  </si>
  <si>
    <t>Пенал 1-секц, большой ПРИКОЛЬНЫЙ ФУТБОЛ (ПН-7664) 190х115, глянц.ламинир.</t>
  </si>
  <si>
    <t>ПН-7664</t>
  </si>
  <si>
    <t>4620129776646</t>
  </si>
  <si>
    <t>ПП-00229099</t>
  </si>
  <si>
    <t>Пенал 1-секц, большой РЕШАЮЩИЙ ГОЛ - 1 (ПН-7389) 190х115, глянц.ламинир.</t>
  </si>
  <si>
    <t>ПН-7389</t>
  </si>
  <si>
    <t>4670159173922</t>
  </si>
  <si>
    <t>ПП-00229097</t>
  </si>
  <si>
    <t>Пенал 1-секц, большой СПАЙДЕР (ПН-7387) 190х115, глянц.ламинир.</t>
  </si>
  <si>
    <t>ПН-7387</t>
  </si>
  <si>
    <t>4670159173908</t>
  </si>
  <si>
    <t>ПП-00229091</t>
  </si>
  <si>
    <t>Пенал 1-секц, большой СТИЛИЗОВАННЫЙ РИСУНОК (ПН-7381) 190х115, глянц.ламинир.</t>
  </si>
  <si>
    <t>ПН-7381</t>
  </si>
  <si>
    <t>4670159173847</t>
  </si>
  <si>
    <t>ПП-00229095</t>
  </si>
  <si>
    <t>Пенал 1-секц, большой ФЛАМИНГО НА ГОЛУБОМ (ПН-7385) 190х115, глянц.ламинир.</t>
  </si>
  <si>
    <t>ПН-7385</t>
  </si>
  <si>
    <t>4670159173885</t>
  </si>
  <si>
    <t>Пеналы 1-секц, большие, 190х115, ламинированный картон, твин-лак, хол фольга</t>
  </si>
  <si>
    <t>ПП-00205344</t>
  </si>
  <si>
    <t>Пенал 1-секц, большой АВТО И ГРАФФИТИ (ПН-4951) 190х115, глянц.ламинир.,твин-лак, хол. фольга</t>
  </si>
  <si>
    <t>ПН-4951</t>
  </si>
  <si>
    <t>4670159049517</t>
  </si>
  <si>
    <t>ПП-00205352</t>
  </si>
  <si>
    <t>Пенал 1-секц, большой ГОЛОДНЫЕ МОНСТРИКИ (ПН-4955) 190х115, глянц.ламинир.,твин-лак, хол. фольга</t>
  </si>
  <si>
    <t>ПН-4955</t>
  </si>
  <si>
    <t>4670159049555</t>
  </si>
  <si>
    <t>ПП-00205346</t>
  </si>
  <si>
    <t>ПП-00205348</t>
  </si>
  <si>
    <t>Пенал 1-секц, большой КОЛЮЧИЙ МОНСТР (ПН-4953) 190х115, глянц.ламинир.,твин-лак, хол. фольга</t>
  </si>
  <si>
    <t>ПН-4953</t>
  </si>
  <si>
    <t>4670159049531</t>
  </si>
  <si>
    <t>ПП-00205350</t>
  </si>
  <si>
    <t>ПП-00205357</t>
  </si>
  <si>
    <t>Пенал 1-секц, большой ОПАСНАЯ ЗОНА (ПН-4958) 190х115, глянц.ламинир.,твин-лак, хол. фольга</t>
  </si>
  <si>
    <t>ПН-4958</t>
  </si>
  <si>
    <t>4670159049586</t>
  </si>
  <si>
    <t>ПП-00205354</t>
  </si>
  <si>
    <t>Пенал 1-секц, большой РЫБКИ И КОРАЛЛЫ (ПН-4956) 190х115, глянц.ламинир.,твин-лак, хол. фольга</t>
  </si>
  <si>
    <t>ПН-4956</t>
  </si>
  <si>
    <t>4670159049562</t>
  </si>
  <si>
    <t>ПП-00205361</t>
  </si>
  <si>
    <t>Пенал 1-секц, большой РЫК ТИГРА (ПН-4960) 190х115, глянц.ламинир.,твин-лак, хол. фольга</t>
  </si>
  <si>
    <t>ПН-4960</t>
  </si>
  <si>
    <t>4670159049609</t>
  </si>
  <si>
    <t>ПП-00205355</t>
  </si>
  <si>
    <t>ПП-00205359</t>
  </si>
  <si>
    <t>Пенал 1-секц, большой ЦВЕТНЫЕ НАДПИСИ (ПН-4959) 190х115, глянц.ламинир.,твин-лак, хол. фольга</t>
  </si>
  <si>
    <t>ПН-4959</t>
  </si>
  <si>
    <t>4670159049593</t>
  </si>
  <si>
    <t>ПП-00219744</t>
  </si>
  <si>
    <t>Пеналы 1-секц, большие, 190х115, печать на ткани, инд. в пэт</t>
  </si>
  <si>
    <t>ПП-00243114</t>
  </si>
  <si>
    <t>Пенал 1-секц, большие, печать на ткани ЗАДУМЧИВЫЙ КОТ (ПН-8052) (190х115)</t>
  </si>
  <si>
    <t>ПН-8052</t>
  </si>
  <si>
    <t>4670159230526</t>
  </si>
  <si>
    <t>ПП-00229108</t>
  </si>
  <si>
    <t>Пеналы 1-секц, большие, печать на ткани АНИМЕШНАЯ ДЕВОЧКА С КОТОМ (ПН-7393) (190х115)</t>
  </si>
  <si>
    <t>ПН-7393</t>
  </si>
  <si>
    <t>4670159173960</t>
  </si>
  <si>
    <t>ПП-00229116</t>
  </si>
  <si>
    <t>Пеналы 1-секц, большие, печать на ткани ЗАБАВНЫЙ ЧЁРНЫЙ КОТ (ПН-7400) (190х115)</t>
  </si>
  <si>
    <t>ПН-7400</t>
  </si>
  <si>
    <t>4670159174035</t>
  </si>
  <si>
    <t>ПП-00229110</t>
  </si>
  <si>
    <t>Пеналы 1-секц, большие, печать на ткани КАПИБАРА С ПТИЦЕЙ (ПН-7395) (190х115)</t>
  </si>
  <si>
    <t>ПН-7395</t>
  </si>
  <si>
    <t>4670159173984</t>
  </si>
  <si>
    <t>ПП-00229122</t>
  </si>
  <si>
    <t>Пеналы 1-секц, большие, печать на ткани КОТ В ЗАБАВНОЙ ШАПКЕ (ПН-7402) (190х115)</t>
  </si>
  <si>
    <t>ПН-7402</t>
  </si>
  <si>
    <t>4670159174059</t>
  </si>
  <si>
    <t>ПП-00229112</t>
  </si>
  <si>
    <t>Пеналы 1-секц, большие, печать на ткани ЛИСИЧКА С ПЛЕЕРОМ (ПН-7397) (190х115)</t>
  </si>
  <si>
    <t>ПН-7397</t>
  </si>
  <si>
    <t>4670159174004</t>
  </si>
  <si>
    <t>ПП-00229109</t>
  </si>
  <si>
    <t>Пеналы 1-секц, большие, печать на ткани НАРИСОВАННЫЙ ЛЕОПАРД (ПН-7394) (190х115)</t>
  </si>
  <si>
    <t>ПН-7394</t>
  </si>
  <si>
    <t>4670159173977</t>
  </si>
  <si>
    <t>ПП-00229102</t>
  </si>
  <si>
    <t>Пеналы 1-секц, большие, печать на ткани РИСУНОК ЗАКАТА И АВТО (ПН-7390) (190х115)</t>
  </si>
  <si>
    <t>ПН-7390</t>
  </si>
  <si>
    <t>4670159173939</t>
  </si>
  <si>
    <t>ПП-00229115</t>
  </si>
  <si>
    <t>Пеналы 1-секц, большие, печать на ткани РИСУНОК МОТОЦИКЛА (ПН-7399) (190х115)</t>
  </si>
  <si>
    <t>ПН-7399</t>
  </si>
  <si>
    <t>4670159174028</t>
  </si>
  <si>
    <t>ПП-00229131</t>
  </si>
  <si>
    <t>Пеналы 1-секц, большие, печать на ткани ЩЕНОК НА КАЧЕЛЯХ (ПН-7405) (190х115)</t>
  </si>
  <si>
    <t>ПН-7405</t>
  </si>
  <si>
    <t>4670159174080</t>
  </si>
  <si>
    <t>ПП-00229125</t>
  </si>
  <si>
    <t>Пеналы 1-секц, большие, печать на ткани ЭКСТРЕМАЛЬНЫЙ СПОРТ - 3 (ПН-7403) (190х115)</t>
  </si>
  <si>
    <t>ПН-7403</t>
  </si>
  <si>
    <t>4670159174066</t>
  </si>
  <si>
    <t>ПП-00229128</t>
  </si>
  <si>
    <t>Пеналы 1-секц, большие, печать на ткани ЯРКИЕ СКЕЙТБОРДЫ (ПН-7404) (190х115)</t>
  </si>
  <si>
    <t>ПН-7404</t>
  </si>
  <si>
    <t>4670159174073</t>
  </si>
  <si>
    <t>04 Пеналы 2-х секционные большие (190х105)</t>
  </si>
  <si>
    <t xml:space="preserve"> ТМ "Profit" Пеналы 2-секц, большие, 190х105, ламинированный картон</t>
  </si>
  <si>
    <t>ПП-00217587</t>
  </si>
  <si>
    <t xml:space="preserve"> ТМ "Profit" Пенал 2-секц, большой ВЕСЁЛАЯ СОБАКА (ПН-1733) 190х105, ламинированный картон</t>
  </si>
  <si>
    <t>ПН-1733</t>
  </si>
  <si>
    <t>4670159117339</t>
  </si>
  <si>
    <t>ПП-00217585</t>
  </si>
  <si>
    <t xml:space="preserve"> ТМ "Profit" Пенал 2-секц, большой ВЕСЁЛЫЙ БУЛЬДОГ (ПН-1731) 190х105, ламинированный картон</t>
  </si>
  <si>
    <t>ПН-1731</t>
  </si>
  <si>
    <t>4670159117315</t>
  </si>
  <si>
    <t>ПП-00217597</t>
  </si>
  <si>
    <t xml:space="preserve"> ТМ "Profit" Пенал 2-секц, большой КОФЕ ЧЕЛЛЕНДЖ (ПН-1743) 190х105, ламинированный картон</t>
  </si>
  <si>
    <t>ПН-1743</t>
  </si>
  <si>
    <t>4670159117438</t>
  </si>
  <si>
    <t>ПП-00217591</t>
  </si>
  <si>
    <t xml:space="preserve"> ТМ "Profit" Пенал 2-секц, большой ЛЕДИ ПЁС (ПН-1737) 190х105, ламинированный картон</t>
  </si>
  <si>
    <t>ПН-1737</t>
  </si>
  <si>
    <t>4670159117377</t>
  </si>
  <si>
    <t>ПП-00217592</t>
  </si>
  <si>
    <t xml:space="preserve"> ТМ "Profit" Пенал 2-секц, большой МИЛАЯ ДЕВОЧКА (ПН-1738) 190х105, ламинированный картон</t>
  </si>
  <si>
    <t>ПН-1738</t>
  </si>
  <si>
    <t>4670159117384</t>
  </si>
  <si>
    <t>ПП-00217593</t>
  </si>
  <si>
    <t xml:space="preserve"> ТМ "Profit" Пенал 2-секц, большой МОНСТРИКИ (ПН-1739) 190х105, ламинированный картон</t>
  </si>
  <si>
    <t>ПН-1739</t>
  </si>
  <si>
    <t>4670159117391</t>
  </si>
  <si>
    <t>ПП-00217580</t>
  </si>
  <si>
    <t xml:space="preserve"> ТМ "Profit" Пенал 2-секц, большой НАУШНИКИ В КРАСКАХ (ПН-1726) 190х105, ламинированный картон</t>
  </si>
  <si>
    <t>ПН-1726</t>
  </si>
  <si>
    <t>4670159117261</t>
  </si>
  <si>
    <t>ПП-00217581</t>
  </si>
  <si>
    <t xml:space="preserve"> ТМ "Profit" Пенал 2-секц, большой ОСЬМИНОГ-СКЕЙТЕР (ПН-1727) 190х105, ламинированный картон</t>
  </si>
  <si>
    <t>ПН-1727</t>
  </si>
  <si>
    <t>4670159117278</t>
  </si>
  <si>
    <t>ПП-00217594</t>
  </si>
  <si>
    <t xml:space="preserve"> ТМ "Profit" Пенал 2-секц, большой ПРИКЛЮЧЕНИЯ ОДНОГО КОТА (ПН-1740) 190х105, ламинированный картон</t>
  </si>
  <si>
    <t>ПН-1740</t>
  </si>
  <si>
    <t>4670159117407</t>
  </si>
  <si>
    <t>05 Пеналы 2-х секционные большие (190х115)</t>
  </si>
  <si>
    <t xml:space="preserve"> Пеналы 2-секц, большие, 190х115, ламинированный картон</t>
  </si>
  <si>
    <t>ПП-00243500</t>
  </si>
  <si>
    <t>Пенал 2-секц, большой BE BEAR (ПН-3315) 190х115, ламинированный картон</t>
  </si>
  <si>
    <t>ПН-3315</t>
  </si>
  <si>
    <t>4670159232896</t>
  </si>
  <si>
    <t>ПП-00206640</t>
  </si>
  <si>
    <t>Пенал 2-секц, большой CRAZY SMILE (ПН-5616) 190х115, ламинированный картон</t>
  </si>
  <si>
    <t>ПН-5616</t>
  </si>
  <si>
    <t>4670159056164</t>
  </si>
  <si>
    <t>ПП-00228254</t>
  </si>
  <si>
    <t>Пенал 2-секц, большой БИРЮЗОВЫЙ МОТОЦИКЛ (ПН-7055) 190х115, ламинированный картон</t>
  </si>
  <si>
    <t>ПН-7055</t>
  </si>
  <si>
    <t>4670159170556</t>
  </si>
  <si>
    <t>ПП-00206641</t>
  </si>
  <si>
    <t>Пенал 2-секц, большой БУДЬ ЗВЕЗДОЙ (ПН-5617) 190х115, ламинированный картон</t>
  </si>
  <si>
    <t>ПН-5617</t>
  </si>
  <si>
    <t>4670159056171</t>
  </si>
  <si>
    <t>ПП-00227509</t>
  </si>
  <si>
    <t>Пенал 2-секц, большой ВНЕДОРОЖНИК (ПН-6581) 190х115, ламинированный картон</t>
  </si>
  <si>
    <t>ПН-6581</t>
  </si>
  <si>
    <t>4670159165972</t>
  </si>
  <si>
    <t>ПП-00243396</t>
  </si>
  <si>
    <t>Пенал 2-секц, большой КОРОНА (ПН-3205) 190х115, ламинированный картон</t>
  </si>
  <si>
    <t>ПН-3205</t>
  </si>
  <si>
    <t>4670159232049</t>
  </si>
  <si>
    <t>ПП-00243397</t>
  </si>
  <si>
    <t>Пенал 2-секц, большой КРАСНОЕ АВТО (ПН-3206) 190х115, ламинированный картон</t>
  </si>
  <si>
    <t>ПН-3206</t>
  </si>
  <si>
    <t>4670159232056</t>
  </si>
  <si>
    <t>ПП-00228250</t>
  </si>
  <si>
    <t>Пенал 2-секц, большой МИЛАЯ ПАРОЧКА КОТОВ (ПН-7051) 190х115, ламинированный картон</t>
  </si>
  <si>
    <t>ПН-7051</t>
  </si>
  <si>
    <t>4670159170518</t>
  </si>
  <si>
    <t>ПП-00228255</t>
  </si>
  <si>
    <t>Пенал 2-секц, большой НАРИСОВАННЫЕ СОБАЧКИ (ПН-7056) 190х115, ламинированный картон</t>
  </si>
  <si>
    <t>ПН-7056</t>
  </si>
  <si>
    <t>4670159170563</t>
  </si>
  <si>
    <t>ПП-00228251</t>
  </si>
  <si>
    <t>Пенал 2-секц, большой ОЧЕНЬ ПУШИСТАЯ ЛИСА (ПН-7052) 190х115, ламинированный картон</t>
  </si>
  <si>
    <t>ПН-7052</t>
  </si>
  <si>
    <t>4670159170525</t>
  </si>
  <si>
    <t>ПП-00206649</t>
  </si>
  <si>
    <t>Пенал 2-секц, большой РАМЭН (ПН-5623) 190х115, ламинированный картон</t>
  </si>
  <si>
    <t>ПН-5623</t>
  </si>
  <si>
    <t>4670159056232</t>
  </si>
  <si>
    <t>ПП-00236846</t>
  </si>
  <si>
    <t>Пенал 2-секц, большой РАМЭН (ПН-5623) 190х115, ламинированный картон !</t>
  </si>
  <si>
    <t>ПП-00228260</t>
  </si>
  <si>
    <t>Пенал 2-секц, большой РОЗОВО-ГОЛУБЫЕ ГРАФФИТИ (ПН-7058) 190х115, ламинированный картон</t>
  </si>
  <si>
    <t>ПН-7058</t>
  </si>
  <si>
    <t>4670159170587</t>
  </si>
  <si>
    <t>ПП-00228252</t>
  </si>
  <si>
    <t>Пенал 2-секц, большой ЧЁРНЫЙ СУПЕРКАР (ПН-7053) 190х115, ламинированный картон</t>
  </si>
  <si>
    <t>ПН-7053</t>
  </si>
  <si>
    <t>4670159170532</t>
  </si>
  <si>
    <t xml:space="preserve"> Пеналы 2-секц, большие, 190х115, ламинированный картон, твин-лак, хол.фольга</t>
  </si>
  <si>
    <t>ПП-00179563</t>
  </si>
  <si>
    <t>Пенал 2-секц, большой АВОКАДОРОГ (ПН-1347) 190х115, ламинированный картон, твин-лак, хол.фольга</t>
  </si>
  <si>
    <t>ПН-1347</t>
  </si>
  <si>
    <t>4620129713474</t>
  </si>
  <si>
    <t>ПП-00179562</t>
  </si>
  <si>
    <t>Пенал 2-секц, большой АВТО ДЛЯ ДРИФТА (ПН-1346) 190х115, ламинирован картон, твин-лак, хол.фольга</t>
  </si>
  <si>
    <t>ПН-1346</t>
  </si>
  <si>
    <t>4620129713467</t>
  </si>
  <si>
    <t>ПП-00206905</t>
  </si>
  <si>
    <t>Пенал 2-секц, большой АКТИВНЫЙ ФУТБОЛ-1 (ПН-1344) 190х115,ламинированный картон,твин-лак, хол.фол</t>
  </si>
  <si>
    <t>ПН-1344</t>
  </si>
  <si>
    <t>4620129713443</t>
  </si>
  <si>
    <t>ПП-00179560</t>
  </si>
  <si>
    <t>Пенал 2-секц, большой АКТИВНЫЙ ФУТБОЛ-1 (ПН-1344) 190х115,ламинированный картон,твин-лак, хол.фольга</t>
  </si>
  <si>
    <t>ПП-00179572</t>
  </si>
  <si>
    <t>Пенал 2-секц, большой ЕДА ДЛЯ РАЗВЛЕЧЕНИЙ (ПН-1352) 190х115,ламинирован картон, твин-лак, хол.фольга</t>
  </si>
  <si>
    <t>ПН-1352</t>
  </si>
  <si>
    <t>4620129713528</t>
  </si>
  <si>
    <t>ПП-00179543</t>
  </si>
  <si>
    <t>Пенал 2-секц, большой ЗВЕРИ ИЗ САВАННЫ (ПН-1350) 190х115, глянц.ламинир.,твин-лак, хол. фольга</t>
  </si>
  <si>
    <t>ПН-1350</t>
  </si>
  <si>
    <t>4620129713504</t>
  </si>
  <si>
    <t>ПП-00179535</t>
  </si>
  <si>
    <t>Пенал 2-секц, большой КРУТОЙ ПРИШЕЛЕЦ-1 (ПН-1343) 190х115,ламинированный картон,твин-лак, хол.фольга</t>
  </si>
  <si>
    <t>ПН-1343</t>
  </si>
  <si>
    <t>4620129713436</t>
  </si>
  <si>
    <t>ПП-00179565</t>
  </si>
  <si>
    <t>Пенал 2-секц, большой ПИНГВИНЫ-СЕРФЕРЫ (ПН-1349) 190х115,ламинированный картон, твин-лак, хол.фольга</t>
  </si>
  <si>
    <t>ПН-1349</t>
  </si>
  <si>
    <t>4620129713498</t>
  </si>
  <si>
    <t>ПП-00186010</t>
  </si>
  <si>
    <t>Пенал 2-секц, большой ПИТАЙЯ (ПН-4832) 190х115, ламинированный картон, твин-лак, хол.фольга</t>
  </si>
  <si>
    <t>ПП-00186009</t>
  </si>
  <si>
    <t>Пенал 2-секц, большой СКЕЛЕТ ТИ-РЕКСА (ПН-4831) 190х115, ламинированный картон, твин-лак, хол.фольга</t>
  </si>
  <si>
    <t>ПН-4831</t>
  </si>
  <si>
    <t>4620129748315</t>
  </si>
  <si>
    <t>ПП-00179561</t>
  </si>
  <si>
    <t>Пенал 2-секц, большой СПОРТИВНЫЙ БАЙК-2 (ПН-1345) 190х115,ламинированный картон,твин-лак, хол.фольга</t>
  </si>
  <si>
    <t>ПН-1345</t>
  </si>
  <si>
    <t>4620129713450</t>
  </si>
  <si>
    <t>ПП-00179571</t>
  </si>
  <si>
    <t>Пенал 2-секц, большой УЛИЧНОЕ ИСКУССТВО (ПН-1351) 190х115,ламинированный картон,твин-лак, хол.фольга</t>
  </si>
  <si>
    <t>ПН-1351</t>
  </si>
  <si>
    <t>4620129713511</t>
  </si>
  <si>
    <t xml:space="preserve"> Пеналы 2-секц, большие, 190х115, софт-тач</t>
  </si>
  <si>
    <t>ПП-00179576</t>
  </si>
  <si>
    <t>Пенал 2-секц, большой ДЕВЧОНКА И КОТИКИ (ПН-1357) 190х115, софт-тач</t>
  </si>
  <si>
    <t>ПН-1357</t>
  </si>
  <si>
    <t>4620129713573</t>
  </si>
  <si>
    <t>ПП-00179573</t>
  </si>
  <si>
    <t>Пенал 2-секц, большой КЛЕВЫЙ ТИ-РЕКС (ПН-1354) 190х115, софт-тач</t>
  </si>
  <si>
    <t>ПН-1354</t>
  </si>
  <si>
    <t>4620129713542</t>
  </si>
  <si>
    <t>ПП-00179578</t>
  </si>
  <si>
    <t>Пенал 2-секц, большой КОШЕЧКА НА ЛУНЕ (ПН-1358) 190х115, софт-тач</t>
  </si>
  <si>
    <t>ПН-1358</t>
  </si>
  <si>
    <t>4620129713580</t>
  </si>
  <si>
    <t>ПП-00185952</t>
  </si>
  <si>
    <t>Пенал 2-секц, большой ЛЕТУЧАЯ МЫШЬ С ПЛАНШЕТОМ (ПН-4807) 190х115, софт-тач</t>
  </si>
  <si>
    <t>ПН-4807</t>
  </si>
  <si>
    <t>4620129748070</t>
  </si>
  <si>
    <t>ПП-00179580</t>
  </si>
  <si>
    <t>Пенал 2-секц, большой МИЛЫЕ СЛАДОСТИ-1 (ПН-1359) 190х115, софт-тач</t>
  </si>
  <si>
    <t>ПН-1359</t>
  </si>
  <si>
    <t>4620129713597</t>
  </si>
  <si>
    <t>ПП-00179537</t>
  </si>
  <si>
    <t>Пенал 2-секц, большой СКЕЛЕТ НА СКЕЙТЕ (ПН-1353) 190х115, софт-тач</t>
  </si>
  <si>
    <t>ПН-1353</t>
  </si>
  <si>
    <t>4620129713535</t>
  </si>
  <si>
    <t>ПП-00201087</t>
  </si>
  <si>
    <t>Пенал 2-секц, большой СКЕЛЕТ НА СКЕЙТЕ (ПН-1353) 190х115, софт-тач !</t>
  </si>
  <si>
    <t>ПП-00179588</t>
  </si>
  <si>
    <t>Пенал 2-секц, большой ЩЕНОЧЕК С НАУШНИКАМИ (ПН-1362) 190х115, софт-тач</t>
  </si>
  <si>
    <t>Пеналы 2-секц, большие, 190х115, печать на ткани, инд. в пэт</t>
  </si>
  <si>
    <t>ПП-00192331</t>
  </si>
  <si>
    <t>Пенал 2-секц, печать на ткани ПОКОРИТЕЛЬ БЕЗДОРОЖЬЯ - 1 (ПН-7669) (190х115)</t>
  </si>
  <si>
    <t>ПН-7669</t>
  </si>
  <si>
    <t>4620129776691</t>
  </si>
  <si>
    <t>ПП-00192334</t>
  </si>
  <si>
    <t>Пенал 2-секц, печать на ткани РОБОСОЛДАТ (ПН-7671) (190х115)</t>
  </si>
  <si>
    <t>ПН-7671</t>
  </si>
  <si>
    <t>4620129776714</t>
  </si>
  <si>
    <t>Пеналы 2-секц, большие, 190х115, принтованная ткань</t>
  </si>
  <si>
    <t>ПП-00194496</t>
  </si>
  <si>
    <t>Пенал 2-секц. ВОЛНА МУЛЬТИ (ПН-8637) 190х115, принт. ткань "капля"</t>
  </si>
  <si>
    <t>ПН-8637</t>
  </si>
  <si>
    <t>4620129786379</t>
  </si>
  <si>
    <t>ПП-00194497</t>
  </si>
  <si>
    <t>Пенал 2-секц. ВОЛНА СЕРЫЙ (ПН-8638) 190х115, принт. ткань "капля"</t>
  </si>
  <si>
    <t>ПН-8638</t>
  </si>
  <si>
    <t>4620129786386</t>
  </si>
  <si>
    <t>06 Пеналы 3-х секционные большие (190х115)</t>
  </si>
  <si>
    <t xml:space="preserve"> ТМ "Profit" Пеналы 3-секц, большие, 190х105, ламинированный картон</t>
  </si>
  <si>
    <t>ПП-00192437</t>
  </si>
  <si>
    <t xml:space="preserve"> ТМ "Profit" Пенал 3-секц, большой КОСМИЧЕСКИЙ ГЕРОЙ (ПН-7736) 190х105, ламинированный картон</t>
  </si>
  <si>
    <t>ПН-7736</t>
  </si>
  <si>
    <t>4620129777360</t>
  </si>
  <si>
    <t>Пеналы  3-секц, большие, 190х115, ламинированный картон</t>
  </si>
  <si>
    <t>ПП-00218392</t>
  </si>
  <si>
    <t>Пенал 3-секц, большой ДЖИП В ПУСТЫНЕ (ПН-1946) (190х115) ламинированный картон</t>
  </si>
  <si>
    <t>ПН-1946</t>
  </si>
  <si>
    <t>4670159119463</t>
  </si>
  <si>
    <t>ПП-00206324</t>
  </si>
  <si>
    <t>Пенал 3-секц, большой ЖЁЛТАЯ ТАЧКА (ПН-5392) (190х115) ламинированный картон</t>
  </si>
  <si>
    <t>ПН-5392</t>
  </si>
  <si>
    <t>4670159053927</t>
  </si>
  <si>
    <t>ПП-00218402</t>
  </si>
  <si>
    <t>Пенал 3-секц, большой ЖЕЛТЫЙ МЯЧ В СЕТКЕ (ПН-1951) (190х115) ламинированный картон</t>
  </si>
  <si>
    <t>ПН-1951</t>
  </si>
  <si>
    <t>4670159119517</t>
  </si>
  <si>
    <t>ПП-00218416</t>
  </si>
  <si>
    <t>Пенал 3-секц, большой КАПИБАРА В ОЧКАХ (ПН-2050) (190х115) ламинированный картон</t>
  </si>
  <si>
    <t>ПН-2050</t>
  </si>
  <si>
    <t>4670159119609</t>
  </si>
  <si>
    <t>ПП-00218398</t>
  </si>
  <si>
    <t>Пенал 3-секц, большой ЛИСЕНОК НА СКЕЙТЕ (ПН-1949) (190х115) ламинированный картон</t>
  </si>
  <si>
    <t>ПН-1949</t>
  </si>
  <si>
    <t>4670159119494</t>
  </si>
  <si>
    <t>ПП-00206329</t>
  </si>
  <si>
    <t>Пенал 3-секц, большой РЫЖИЙ ПЁСИК (ПН-5396) (190х115) ламинированный картон</t>
  </si>
  <si>
    <t>ПН-5396</t>
  </si>
  <si>
    <t>4670159053965</t>
  </si>
  <si>
    <t>Пеналы 3-секц, большие, 190х115, печать на ткани, инд. в пэт.</t>
  </si>
  <si>
    <t>ПП-00196993</t>
  </si>
  <si>
    <t>Пеналы 3-секц, большие, печать на ткани БУКВЫ ГРАФФИТИ (ПН-3010) (190х115)</t>
  </si>
  <si>
    <t>ПН-3010</t>
  </si>
  <si>
    <t>4670159000105</t>
  </si>
  <si>
    <t>ПП-00197007</t>
  </si>
  <si>
    <t>Пеналы 3-секц, большие, печать на ткани ВЕСЕЛЫЕ МОНСТРИКИ - 3 (ПН-3020) (190х115)</t>
  </si>
  <si>
    <t>ПН-3020</t>
  </si>
  <si>
    <t>4670159000204</t>
  </si>
  <si>
    <t>ПП-00197017</t>
  </si>
  <si>
    <t>Пеналы 3-секц, большие, печать на ткани ВИРТУОЗНЫЙ ГОЛ (ПН-3028) (190х115)</t>
  </si>
  <si>
    <t>ПН-3028</t>
  </si>
  <si>
    <t>4670159000280</t>
  </si>
  <si>
    <t>ПП-00197015</t>
  </si>
  <si>
    <t>Пеналы 3-секц, большие, печать на ткани ВРЕМЯ ПОИГРАТЬ (ПН-3026) (190х115)</t>
  </si>
  <si>
    <t>ПН-3026</t>
  </si>
  <si>
    <t>4670159000266</t>
  </si>
  <si>
    <t>ПП-00196998</t>
  </si>
  <si>
    <t>Пеналы 3-секц, большие, печать на ткани КЛЁВЫЕ ДУДЛЫ (ПН-3014) (190х115)</t>
  </si>
  <si>
    <t>ПН-3014</t>
  </si>
  <si>
    <t>4670159000143</t>
  </si>
  <si>
    <t>ПП-00197001</t>
  </si>
  <si>
    <t>Пеналы 3-секц, большие, печать на ткани КОТИК-РУСАЛКА (ПН-3016) (190х115)</t>
  </si>
  <si>
    <t>ПН-3016</t>
  </si>
  <si>
    <t>4670159000167</t>
  </si>
  <si>
    <t>ПП-00197000</t>
  </si>
  <si>
    <t>Пеналы 3-секц, большие, печать на ткани ЛЕВ КОСМОНАВТ (ПН-3015) (190х115)</t>
  </si>
  <si>
    <t>ПН-3015</t>
  </si>
  <si>
    <t>4670159000150</t>
  </si>
  <si>
    <t>ПП-00196995</t>
  </si>
  <si>
    <t>Пеналы 3-секц, большие, печать на ткани ЛЮБОВЬ И КОТИКИ - 1 (ПН-3011) (190х115)</t>
  </si>
  <si>
    <t>ПН-3011</t>
  </si>
  <si>
    <t>4670159000112</t>
  </si>
  <si>
    <t>ПП-00197008</t>
  </si>
  <si>
    <t>Пеналы 3-секц, большие, печать на ткани ПОЕЗДКА ЗВЕРЯТ (ПН-3021) (190х115)</t>
  </si>
  <si>
    <t>ПН-3021</t>
  </si>
  <si>
    <t>4670159000211</t>
  </si>
  <si>
    <t>ПП-00197013</t>
  </si>
  <si>
    <t>Пеналы 3-секц, большие, печать на ткани СЧАСТЬЕ ЗАЙЧИКОВ (ПН-3025) (190х115)</t>
  </si>
  <si>
    <t>ПН-3025</t>
  </si>
  <si>
    <t>4670159000259</t>
  </si>
  <si>
    <t>ПП-00196996</t>
  </si>
  <si>
    <t>Пеналы 3-секц, большие, печать на ткани ЮНАЯ ПРИНЦЕССА - 2 (ПН-3012) (190х115)</t>
  </si>
  <si>
    <t>ПН-3012</t>
  </si>
  <si>
    <t>4670159000129</t>
  </si>
  <si>
    <t>Пеналы, косметички, тубусы, треугольники</t>
  </si>
  <si>
    <t>01 Пеналы-тубусы</t>
  </si>
  <si>
    <t xml:space="preserve"> Пеналы-тубусы однотонные</t>
  </si>
  <si>
    <t xml:space="preserve">  Пеналы круглые 210х75х75</t>
  </si>
  <si>
    <t>ПП-00245121</t>
  </si>
  <si>
    <t>Пенал-тубус ГОЛУБОЙ (ПН-3093)</t>
  </si>
  <si>
    <t>ПН-3093</t>
  </si>
  <si>
    <t>4670159020936</t>
  </si>
  <si>
    <t>ПП-00245128</t>
  </si>
  <si>
    <t>Пенал-тубус ЖЕЛТЫЙ (ПН-3098)</t>
  </si>
  <si>
    <t>ПН-3098</t>
  </si>
  <si>
    <t>4670159020981</t>
  </si>
  <si>
    <t>ПП-00245125</t>
  </si>
  <si>
    <t>Пенал-тубус ЗЕЛЁНЫЙ (ПН-3096)</t>
  </si>
  <si>
    <t>ПН-3096</t>
  </si>
  <si>
    <t>4670159020967</t>
  </si>
  <si>
    <t>ПП-00245120</t>
  </si>
  <si>
    <t>Пенал-тубус КРАСНЫЙ (ПН-3092)</t>
  </si>
  <si>
    <t>ПН-3092</t>
  </si>
  <si>
    <t>4670159020929</t>
  </si>
  <si>
    <t>ПП-00245126</t>
  </si>
  <si>
    <t>Пенал-тубус ОРАНЖЕВЫЙ (ПН-3097)</t>
  </si>
  <si>
    <t>ПН-3097</t>
  </si>
  <si>
    <t>4670159020974</t>
  </si>
  <si>
    <t>ПП-00245123</t>
  </si>
  <si>
    <t>Пенал-тубус РОЗОВЫЙ (ПН-3094)</t>
  </si>
  <si>
    <t>ПН-3094</t>
  </si>
  <si>
    <t>4670159020943</t>
  </si>
  <si>
    <t>ПП-00245132</t>
  </si>
  <si>
    <t>Пенал-тубус ФИОЛЕТОВЫЙ (ПН-3100)</t>
  </si>
  <si>
    <t>ПН-3100</t>
  </si>
  <si>
    <t>4670159021001</t>
  </si>
  <si>
    <t xml:space="preserve"> Пеналы-тубусы с дизайном</t>
  </si>
  <si>
    <t>Пеналы-тубусы с полной печатью на ткани (210х75х75)</t>
  </si>
  <si>
    <t>ПП-00196408</t>
  </si>
  <si>
    <t>Пенал-тубус мягкий на молнии KAWAII (ПМ-9553) полная печать на ткани, 210х75х75</t>
  </si>
  <si>
    <t>ПМ-9553</t>
  </si>
  <si>
    <t>4620129795531</t>
  </si>
  <si>
    <t>ПП-00196568</t>
  </si>
  <si>
    <t>Пенал-тубус мягкий на молнии NEON (ПН-9646) полная печать на ткани, 210х75х75</t>
  </si>
  <si>
    <t>ПН-9646</t>
  </si>
  <si>
    <t>4620129796460</t>
  </si>
  <si>
    <t>ПП-00196410</t>
  </si>
  <si>
    <t>Пенал-тубус мягкий на молнии АНИМЕ (ПМ-9555) полная печать на ткани, 210х75х75</t>
  </si>
  <si>
    <t>ПМ-9555</t>
  </si>
  <si>
    <t>4620129795555</t>
  </si>
  <si>
    <t>ПП-00196415</t>
  </si>
  <si>
    <t>Пенал-тубус мягкий на молнии ДЕРЗКИЕ НАДПИСИ - 1 (ПМ-9560) полная печать на ткани, 210х75х75</t>
  </si>
  <si>
    <t>ПМ-9560</t>
  </si>
  <si>
    <t>4620129795609</t>
  </si>
  <si>
    <t>ПП-00245114</t>
  </si>
  <si>
    <t>Пенал-тубус мягкий на молнии ЖЕЛТЫЙ (ПН-2086) полная печать на ткани, 210х75х75</t>
  </si>
  <si>
    <t>ПН-2086</t>
  </si>
  <si>
    <t>4670159020868</t>
  </si>
  <si>
    <t>ПП-00196414</t>
  </si>
  <si>
    <t>Пенал-тубус мягкий на молнии ЖЁЛТЫЙ ПИКАП (ПМ-9559) полная печать на ткани, 210х75х75</t>
  </si>
  <si>
    <t>ПМ-9559</t>
  </si>
  <si>
    <t>4620129795593</t>
  </si>
  <si>
    <t>ПП-00245116</t>
  </si>
  <si>
    <t>Пенал-тубус мягкий на молнии ЗЕЛЕНЫЙ (ПН-2088) полная печать на ткани, 210х75х75</t>
  </si>
  <si>
    <t>ПН-2088</t>
  </si>
  <si>
    <t>4670159020882</t>
  </si>
  <si>
    <t>ПП-00196412</t>
  </si>
  <si>
    <t>Пенал-тубус мягкий на молнии КОСМИЧЕСКИЙ ТУР - 2 (ПМ-9557) полная печать на ткани, 210х75х75</t>
  </si>
  <si>
    <t>ПМ-9557</t>
  </si>
  <si>
    <t>4620129795579</t>
  </si>
  <si>
    <t>ПП-00196413</t>
  </si>
  <si>
    <t>Пенал-тубус мягкий на молнии ЛЮБОВЬ И КОТИК - 1 (ПМ-9558) полная печать на ткани, 210х75х75</t>
  </si>
  <si>
    <t>ПМ-9558</t>
  </si>
  <si>
    <t>4620129795586</t>
  </si>
  <si>
    <t>ПП-00196411</t>
  </si>
  <si>
    <t>Пенал-тубус мягкий на молнии ПАРКУР (ПМ-9556) полная печать на ткани, 210х75х75</t>
  </si>
  <si>
    <t>ПМ-9556</t>
  </si>
  <si>
    <t>4620129795562</t>
  </si>
  <si>
    <t>ПП-00245115</t>
  </si>
  <si>
    <t>Пенал-тубус мягкий на молнии СЕРЫЙ (ПН-2087) полная печать на ткани, 210х75х75</t>
  </si>
  <si>
    <t>ПН-2087</t>
  </si>
  <si>
    <t>4670159020875</t>
  </si>
  <si>
    <t>ПП-00245118</t>
  </si>
  <si>
    <t>Пенал-тубус мягкий на молнии СИРЕНЕВЫЙ (ПН-3090) полная печать на ткани, 210х75х75</t>
  </si>
  <si>
    <t>ПН-3090</t>
  </si>
  <si>
    <t>4670159020905</t>
  </si>
  <si>
    <t>ПП-00196416</t>
  </si>
  <si>
    <t>Пенал-тубус мягкий на молнии СЛАДКИЙ ПОНИ (ПМ-9561) полная печать на ткани, 210х75х75</t>
  </si>
  <si>
    <t>ПМ-9561</t>
  </si>
  <si>
    <t>4620129795616</t>
  </si>
  <si>
    <t>Пеналы мягкие</t>
  </si>
  <si>
    <t>Пеналы мягкие на молнии (210х45х55) принтованная ткань</t>
  </si>
  <si>
    <t>ПП-00174634</t>
  </si>
  <si>
    <t xml:space="preserve"> Пенал мягкий на молнии БИГ ПРИНТ белый с красным (ПМ-8838) 210х45х55, гладь</t>
  </si>
  <si>
    <t>ПМ-8838</t>
  </si>
  <si>
    <t>4610144888387</t>
  </si>
  <si>
    <t>ПП-00194518</t>
  </si>
  <si>
    <t xml:space="preserve"> Пенал мягкий на молнии ЕДИНОРОГИ ГОЛУБОЙ (ПМ-8662) 210х45х55, гладь</t>
  </si>
  <si>
    <t>ПМ-8662</t>
  </si>
  <si>
    <t>4620129786621</t>
  </si>
  <si>
    <t>ПП-00194587</t>
  </si>
  <si>
    <t xml:space="preserve"> Пенал мягкий на молнии КОШКИ МАЛИНОВЫЙ (ПМ-8727) 210х45х55, гладь</t>
  </si>
  <si>
    <t>ПМ-8727</t>
  </si>
  <si>
    <t>4620129787277</t>
  </si>
  <si>
    <t>ПП-00194519</t>
  </si>
  <si>
    <t xml:space="preserve"> Пенал мягкий на молнии УРБАН РОЗОВЫЙ (ПМ-8663) 210х45х55, гладь</t>
  </si>
  <si>
    <t>ПМ-8663</t>
  </si>
  <si>
    <t>4620129786638</t>
  </si>
  <si>
    <t>ПП-00194520</t>
  </si>
  <si>
    <t xml:space="preserve"> Пенал мягкий на молнии ФИГУРЫ РОЗОВЫЙ (ПМ-8664) 210х45х55, гладь</t>
  </si>
  <si>
    <t>ПМ-8664</t>
  </si>
  <si>
    <t>4620129786645</t>
  </si>
  <si>
    <t>ПП-00174642</t>
  </si>
  <si>
    <t xml:space="preserve"> Пенал мягкий на молнии ФУД ПРИНТ голубой (ПМ-8843) 210х45х55, гладь</t>
  </si>
  <si>
    <t>ПМ-8843</t>
  </si>
  <si>
    <t>4610144888431</t>
  </si>
  <si>
    <t>ПП-00174643</t>
  </si>
  <si>
    <t xml:space="preserve"> Пенал мягкий на молнии ФУД ПРИНТ розовый (ПМ-8844) 210х45х55, гладь</t>
  </si>
  <si>
    <t>ПМ-8844</t>
  </si>
  <si>
    <t>4610144888448</t>
  </si>
  <si>
    <t>02 Пеналы-косметички</t>
  </si>
  <si>
    <t>Пенал-косметичка с печатью, силикон, полиэстр 210х75х55мм, инд. уп.</t>
  </si>
  <si>
    <t>ПП-00205139</t>
  </si>
  <si>
    <t>Пенал-косметичка ЗАБАВНЫЕ ЗВЕРЮШКИ (ПН-4914) с печатью, силикон, полиэстр 210х75х55мм</t>
  </si>
  <si>
    <t>ПН-4914</t>
  </si>
  <si>
    <t>4670159049142</t>
  </si>
  <si>
    <t>ПП-00205142</t>
  </si>
  <si>
    <t>Пенал-косметичка МИЛЫЙ КОСМОС (ПН-4917) с печатью, силикон, полиэстр 210х75х55мм</t>
  </si>
  <si>
    <t>ПН-4917</t>
  </si>
  <si>
    <t>4670159049173</t>
  </si>
  <si>
    <t>ПП-00205140</t>
  </si>
  <si>
    <t>Пенал-косметичка ОЧАРОВАТЕЛЬНЫЕ КОТИКИ (ПН-4915) с печатью, силикон, полиэстр 210х75х55мм</t>
  </si>
  <si>
    <t>ПН-4915</t>
  </si>
  <si>
    <t>4670159049159</t>
  </si>
  <si>
    <t>ПП-00205141</t>
  </si>
  <si>
    <t>Пенал-косметичка ПАНК НА СКЕЙТЕ (ПН-4916) с печатью, силикон, полиэстр 210х75х55мм</t>
  </si>
  <si>
    <t>ПН-4916</t>
  </si>
  <si>
    <t>4670159049166</t>
  </si>
  <si>
    <t>Пеналы с наклейками</t>
  </si>
  <si>
    <t>ПП-00240078</t>
  </si>
  <si>
    <t>Пенал школьный, голубой, 3 отдела, наклейки в комплекте, (ПН-2093) 23*11*8 см</t>
  </si>
  <si>
    <t>ПН-2093</t>
  </si>
  <si>
    <t>4670159220893</t>
  </si>
  <si>
    <t>ПП-00240075</t>
  </si>
  <si>
    <t>Пенал школьный, персиковый, 3 отдела, наклейки в комплекте,(ПН-2090) 23*11*8 см</t>
  </si>
  <si>
    <t>ПН-2090</t>
  </si>
  <si>
    <t>4670159220862</t>
  </si>
  <si>
    <t>ПП-00240077</t>
  </si>
  <si>
    <t>Пенал школьный, розовый, 3 отдела, наклейки в комплекте, (ПН-2092) 23*11*8 см</t>
  </si>
  <si>
    <t>ПН-2092</t>
  </si>
  <si>
    <t>4670159220886</t>
  </si>
  <si>
    <t>ПП-00240066</t>
  </si>
  <si>
    <t>Пенал-косметичка, бежевый, наклейки в комплекте, (ПН-2079) 22*16*6 см</t>
  </si>
  <si>
    <t>ПН-2079</t>
  </si>
  <si>
    <t>4670159220794</t>
  </si>
  <si>
    <t>04 Пеналы 1-секц на молнии прозрачные, сетчатый карман внутри, пластик, 21х8.5х4 см</t>
  </si>
  <si>
    <t>ПП-00178983</t>
  </si>
  <si>
    <t>Пенал на молнии прозрачный, сетчатый карман внутри РОЗОВЫЙ РИФ (ПН-2112)пластик,21х8.5х4.5см</t>
  </si>
  <si>
    <t>ПН-2112</t>
  </si>
  <si>
    <t>4620129711128</t>
  </si>
  <si>
    <t>11 Пеналы корпусные, 3 внутр отделения 21х7х5 см</t>
  </si>
  <si>
    <t>ПП-00214773</t>
  </si>
  <si>
    <t>Пенал, ROSE STYLE, пудровый, три отделения (корпусный) (ПН-0918) 21х7х5 см</t>
  </si>
  <si>
    <t>ПН-0918</t>
  </si>
  <si>
    <t>4670159008187</t>
  </si>
  <si>
    <t>ПП-00214776</t>
  </si>
  <si>
    <t>Пенал, VIOLET STYLE, фиолетовый, три отделения (корпусный) (ПН-0917) 21х7х5 см</t>
  </si>
  <si>
    <t>ПН-0917</t>
  </si>
  <si>
    <t>4670159008170</t>
  </si>
  <si>
    <t>03 Мешки для обуви</t>
  </si>
  <si>
    <t>01 Мешки однотонные</t>
  </si>
  <si>
    <t>01 Мешки для обуви однотонные, 330х400</t>
  </si>
  <si>
    <t>ПП-00085671</t>
  </si>
  <si>
    <t xml:space="preserve"> Мешок для обуви КРАСНЫЙ (Арт.МО-1711) 330х400</t>
  </si>
  <si>
    <t>МО-1711</t>
  </si>
  <si>
    <t>4665303517110</t>
  </si>
  <si>
    <t>ПП-00085672</t>
  </si>
  <si>
    <t xml:space="preserve"> Мешок для обуви МАЛИНОВЫЙ (Арт.МО-1712) 330х400</t>
  </si>
  <si>
    <t>МО-1712</t>
  </si>
  <si>
    <t>4665303517127</t>
  </si>
  <si>
    <t>ПП-00170601</t>
  </si>
  <si>
    <t xml:space="preserve"> Мешок для обуви ОРАНЖЕВЫЙ (Арт.МО-7014) 330х400</t>
  </si>
  <si>
    <t>МО-7014</t>
  </si>
  <si>
    <t>4610144870146</t>
  </si>
  <si>
    <t>ПП-00085673</t>
  </si>
  <si>
    <t xml:space="preserve"> Мешок для обуви СЕРЫЙ (Арт.МО-1713) 330х400</t>
  </si>
  <si>
    <t>МО-1713</t>
  </si>
  <si>
    <t>4665303517134</t>
  </si>
  <si>
    <t>ПП-00085674</t>
  </si>
  <si>
    <t xml:space="preserve"> Мешок для обуви СИНИЙ (Арт.МО-1714) 330х400</t>
  </si>
  <si>
    <t>МО-1714</t>
  </si>
  <si>
    <t>4665303517141</t>
  </si>
  <si>
    <t>02 Мешки для обуви однотонные, 340х450мм, двойной шнурок</t>
  </si>
  <si>
    <t>ПП-00203752</t>
  </si>
  <si>
    <t>Мешок для сменной обуви, 1 отделение ЗЕЛЕНЫЙ (МО-2046), двойной шнурок 340х450мм</t>
  </si>
  <si>
    <t>МО-2046</t>
  </si>
  <si>
    <t>4670159020462</t>
  </si>
  <si>
    <t>ПП-00203758</t>
  </si>
  <si>
    <t>Мешок для сменной обуви, 1 отделение РОЗОВЫЙ (МО-4027), двойной шнурок 340х450мм</t>
  </si>
  <si>
    <t>МО-4027</t>
  </si>
  <si>
    <t>4670159040279</t>
  </si>
  <si>
    <t>02 Мешки принтованная ткань</t>
  </si>
  <si>
    <t>02 Мешки для обуви с карманом принтованная ткань, 360х480мм</t>
  </si>
  <si>
    <t>ПП-00203767</t>
  </si>
  <si>
    <t>Мешок для обуви, 1 отделение, с карманом, МИЛИТАРИ ЖЕЛТЫЙ (МО-4029), принт.ткань 360х480мм</t>
  </si>
  <si>
    <t>МО-4029</t>
  </si>
  <si>
    <t>4670159040293</t>
  </si>
  <si>
    <t>ПП-00203763</t>
  </si>
  <si>
    <t>Мешок для обуви, 1 отделение, с карманом, МИЛИТАРИ ОРАНЖЕВЫЙ (МО-4028), принт.ткань 360х480мм</t>
  </si>
  <si>
    <t>МО-4028</t>
  </si>
  <si>
    <t>4670159040286</t>
  </si>
  <si>
    <t>ПП-00203769</t>
  </si>
  <si>
    <t>Мешок для обуви, 1 отделение, с карманом, ОРНАМЕНТ ЗЕЛЕНЫЙ (МО-4031), принт.ткань</t>
  </si>
  <si>
    <t>МО-4031</t>
  </si>
  <si>
    <t>4670159040316</t>
  </si>
  <si>
    <t>ПП-00203768</t>
  </si>
  <si>
    <t>Мешок для обуви, 1 отделение, с карманом, ОРНАМЕНТ ОРАНЖЕВЫЙ (МО-4030), принт.ткань 360х480м</t>
  </si>
  <si>
    <t>МО-4030</t>
  </si>
  <si>
    <t>4670159040309</t>
  </si>
  <si>
    <t>03 Мешки с дизайном</t>
  </si>
  <si>
    <t>01 Мешки для обуви с дизайном 330х400, инд. в пэт</t>
  </si>
  <si>
    <t>ПП-00174267</t>
  </si>
  <si>
    <t>Мешок для обуви 1 отделение АВО-КОТО (МО-8863) 330х400</t>
  </si>
  <si>
    <t>МО-8863</t>
  </si>
  <si>
    <t>4610144888639</t>
  </si>
  <si>
    <t>ПП-00174263</t>
  </si>
  <si>
    <t>Мешок для обуви 1 отделение АКУЛА И НАДПИСИ (МО-8859) 330х400</t>
  </si>
  <si>
    <t>МО-8859</t>
  </si>
  <si>
    <t>4610144888592</t>
  </si>
  <si>
    <t>ПП-00174262</t>
  </si>
  <si>
    <t>Мешок для обуви 1 отделение ДЕРЗКАЯ ТАЧКА (МО-8858) 330х400</t>
  </si>
  <si>
    <t>МО-8858</t>
  </si>
  <si>
    <t>4610144888585</t>
  </si>
  <si>
    <t>ПП-00174266</t>
  </si>
  <si>
    <t>Мешок для обуви 1 отделение КОНТУРНЫЙ ПОРТРЕТ-2 (МО-8862) 330х400</t>
  </si>
  <si>
    <t>МО-8862</t>
  </si>
  <si>
    <t>4610144888622</t>
  </si>
  <si>
    <t>ПП-00174265</t>
  </si>
  <si>
    <t>Мешок для обуви 1 отделение ТУКАНЫ НА ВЕТКЕ-1 (МО-8861) 330х400</t>
  </si>
  <si>
    <t>МО-8861</t>
  </si>
  <si>
    <t>4610144888615</t>
  </si>
  <si>
    <t>03 Мешки для обуви двусторонний дизайн, 360х480 (перевертыш)</t>
  </si>
  <si>
    <t>ПП-00203803</t>
  </si>
  <si>
    <t>Мешок для обуви 1 отд, двуст. дизайн, АВТО И ПИКСЕЛИ (МО-4056) 360х480</t>
  </si>
  <si>
    <t>МО-4056</t>
  </si>
  <si>
    <t>4670159040569</t>
  </si>
  <si>
    <t>ПП-00203802</t>
  </si>
  <si>
    <t>Мешок для обуви 1 отд, двуст. дизайн, ВДОХНОВЕНИЕ МОЛОДЁЖИ (МО-4055) 360х480</t>
  </si>
  <si>
    <t>МО-4055</t>
  </si>
  <si>
    <t>4670159040552</t>
  </si>
  <si>
    <t>ПП-00203801</t>
  </si>
  <si>
    <t>Мешок для обуви 1 отд, двуст. дизайн, МИЛАЯ ДЕВОЧКА (МО-4054) 360х480</t>
  </si>
  <si>
    <t>МО-4054</t>
  </si>
  <si>
    <t>4670159040545</t>
  </si>
  <si>
    <t>ПП-00203804</t>
  </si>
  <si>
    <t>Мешок для обуви 1 отд, двуст. дизайн, ПРЫЖКИ НА СКЕЙТБОРДЕ (МО-4057) 360х480</t>
  </si>
  <si>
    <t>МО-4057</t>
  </si>
  <si>
    <t>4670159040576</t>
  </si>
  <si>
    <t>ПП-00203800</t>
  </si>
  <si>
    <t>Мешок для обуви 1 отд, двуст. дизайн, ТИГР В ДЖУНГЛЯХ (МО-4053) 360х480</t>
  </si>
  <si>
    <t>МО-4053</t>
  </si>
  <si>
    <t>4670159040538</t>
  </si>
  <si>
    <t>04 Мешки для обуви с дизайном 340х430 уплотненные, двойной шнурок, инд.в пэт.</t>
  </si>
  <si>
    <t>ПП-00203430</t>
  </si>
  <si>
    <t>Мешок для обуви 1 отделение PSY ART (МО-3906) 340х430, уплотненный, 2й шнурок</t>
  </si>
  <si>
    <t>МО-3906</t>
  </si>
  <si>
    <t>4670159039068</t>
  </si>
  <si>
    <t>ПП-00174269</t>
  </si>
  <si>
    <t>Мешок для обуви 1 отделение АВОКАДО С КОРОНОЙ (МО-8864) 340х430, уплотненный, 2й шнурок</t>
  </si>
  <si>
    <t>МО-8864</t>
  </si>
  <si>
    <t>4610144888646</t>
  </si>
  <si>
    <t>ПП-00203431</t>
  </si>
  <si>
    <t>Мешок для обуви 1 отделение АНИМЕ (МО-3907) 340х430, уплотненный, 2й шнурок</t>
  </si>
  <si>
    <t>МО-3907</t>
  </si>
  <si>
    <t>4670159039075</t>
  </si>
  <si>
    <t>ПП-00203437</t>
  </si>
  <si>
    <t>Мешок для обуви 1 отделение АРТ-АКУЛА (МО-3913) 340х430, уплотненный, 2й шнурок</t>
  </si>
  <si>
    <t>МО-3913</t>
  </si>
  <si>
    <t>4670159039136</t>
  </si>
  <si>
    <t>ПП-00203438</t>
  </si>
  <si>
    <t>Мешок для обуви 1 отделение ВОЛШЕБНЫЕ СУЩЕСТВА (МО-3914) 340х430, уплотненный, 2й шнурок</t>
  </si>
  <si>
    <t>МО-3914</t>
  </si>
  <si>
    <t>4670159039143</t>
  </si>
  <si>
    <t>ПП-00203436</t>
  </si>
  <si>
    <t>Мешок для обуви 1 отделение ГОРЫ И МИШКА (МО-3912) 340х430, уплотненный, 2й шнурок</t>
  </si>
  <si>
    <t>МО-3912</t>
  </si>
  <si>
    <t>4670159039129</t>
  </si>
  <si>
    <t>ПП-00174270</t>
  </si>
  <si>
    <t>Мешок для обуви 1 отделение ЕДИНОРОГ НА ГОЛУБОМ (МО-8865) 340х430, уплотненный, 2й шнурок</t>
  </si>
  <si>
    <t>МО-8865</t>
  </si>
  <si>
    <t>4610144888653</t>
  </si>
  <si>
    <t>ПП-00203434</t>
  </si>
  <si>
    <t>Мешок для обуви 1 отделение КРАСНОЕ АВТО (МО-3910) 340х430, уплотненный, 2й шнурок</t>
  </si>
  <si>
    <t>МО-3910</t>
  </si>
  <si>
    <t>4670159039105</t>
  </si>
  <si>
    <t>ПП-00174279</t>
  </si>
  <si>
    <t>Мешок для обуви 1 отделение МОНСТРОСКЕЙТЕР (МО-8871) 340х430, уплотненный, 2й шнурок</t>
  </si>
  <si>
    <t>МО-8871</t>
  </si>
  <si>
    <t>4610144888714</t>
  </si>
  <si>
    <t>ПП-00174272</t>
  </si>
  <si>
    <t>Мешок для обуви 1 отделение МЯЧ И ГЕОМЕТРИЯ (МО-8867) 340х430, уплотненный, 2й шнурок</t>
  </si>
  <si>
    <t>МО-8867</t>
  </si>
  <si>
    <t>4610144888677</t>
  </si>
  <si>
    <t>ПП-00203433</t>
  </si>
  <si>
    <t>Мешок для обуви 1 отделение ПАРКУР - 1 (МО-3909) 340х430, уплотненный, 2й шнурок</t>
  </si>
  <si>
    <t>МО-3909</t>
  </si>
  <si>
    <t>4670159039099</t>
  </si>
  <si>
    <t>ПП-00203432</t>
  </si>
  <si>
    <t>Мешок для обуви 1 отделение ПАРКУР (МО-3908) 340х430, уплотненный, 2й шнурок</t>
  </si>
  <si>
    <t>МО-3908</t>
  </si>
  <si>
    <t>4670159039082</t>
  </si>
  <si>
    <t>05 Мешки для обуви с дизайном 360х480мм уплотненные, двойной шнурок</t>
  </si>
  <si>
    <t>ПП-00237168</t>
  </si>
  <si>
    <t>Мешок для сменной обуви, 1 отделение, K-POP IDOLS (МО-9084) уплотненный, двойной шнурок</t>
  </si>
  <si>
    <t>МО-9084</t>
  </si>
  <si>
    <t>4670159210849</t>
  </si>
  <si>
    <t>ПП-00203776</t>
  </si>
  <si>
    <t>Мешок для сменной обуви, 1 отделение, АТРИБУТЫ ГЕЙМЕРОВ -1 (МО-4037), уплотненный, двойной шнурок</t>
  </si>
  <si>
    <t>МО-4037</t>
  </si>
  <si>
    <t>4670159040378</t>
  </si>
  <si>
    <t>ПП-00203772</t>
  </si>
  <si>
    <t>Мешок для сменной обуви, 1 отделение, МОДНАЯ АТРИБУТИКА (МО-4033), уплотненный, двойной шнурок</t>
  </si>
  <si>
    <t>МО-4033</t>
  </si>
  <si>
    <t>4670159040330</t>
  </si>
  <si>
    <t>ПП-00203774</t>
  </si>
  <si>
    <t>Мешок для сменной обуви, 1 отделение, МОДНЫЙ ЛОГОТИП (МО-4035), уплотненный, двойной шнурок</t>
  </si>
  <si>
    <t>МО-4035</t>
  </si>
  <si>
    <t>4670159040354</t>
  </si>
  <si>
    <t>ПП-00203773</t>
  </si>
  <si>
    <t>Мешок для сменной обуви, 1 отделение, МОЛОДЕЖНЫЙ ВЫБОР (МО-4034), уплотненный, двойной шнурок</t>
  </si>
  <si>
    <t>МО-4034</t>
  </si>
  <si>
    <t>4670159040347</t>
  </si>
  <si>
    <t>ПП-00237167</t>
  </si>
  <si>
    <t>Мешок для сменной обуви, 1 отделение, СПАЙДЕР (МО-9083) уплотненный, двойной шнурок</t>
  </si>
  <si>
    <t>МО-9083</t>
  </si>
  <si>
    <t>4670159210832</t>
  </si>
  <si>
    <t>06 Мешки для обуви с дизайном, 2 отделения, уплотненные, двойной шнурок, 410х490мм</t>
  </si>
  <si>
    <t>ПП-00219762</t>
  </si>
  <si>
    <t>Сумка-мешок для сменной обуви, 2 отделения, двойной шнурок ЕЖИК С ШАРИКОМ (МО-1614) 490х410</t>
  </si>
  <si>
    <t>МО-1614</t>
  </si>
  <si>
    <t>4670159116141</t>
  </si>
  <si>
    <t>ПП-00219768</t>
  </si>
  <si>
    <t>Сумка-мешок для сменной обуви, 2 отделения, двойной шнурок УЛИЧНОЕ ГРАФФИТИ (МО-1620) 490х410</t>
  </si>
  <si>
    <t>МО-1620</t>
  </si>
  <si>
    <t>4670159116202</t>
  </si>
  <si>
    <t>ПП-00219765</t>
  </si>
  <si>
    <t>Сумка-мешок для сменной обуви, 2 отделения, двойной шнурок ФУТБОЛЬНЫЙ МЯЧ (МО-1617) 490х410</t>
  </si>
  <si>
    <t>МО-1617</t>
  </si>
  <si>
    <t>4670159116172</t>
  </si>
  <si>
    <t>04 Мешки с карманом</t>
  </si>
  <si>
    <t>02 Мешки для обуви с карманом и дизайном 330х400 инд. в пэт</t>
  </si>
  <si>
    <t>ПП-00171419</t>
  </si>
  <si>
    <t>Мешок для обуви 1 отделение, с карманом СМЕШНОЙ ДИНОЗАВРИК (МО-7294) 330х400</t>
  </si>
  <si>
    <t>МО-7294</t>
  </si>
  <si>
    <t>4610144872942</t>
  </si>
  <si>
    <t>ПП-00171425</t>
  </si>
  <si>
    <t>Мешок для обуви 1 отделение, с карманом СУПЕРМОПС-1 (МО-7299) 330х400</t>
  </si>
  <si>
    <t>МО-7299</t>
  </si>
  <si>
    <t>4610144872997</t>
  </si>
  <si>
    <t>04 Мешки для обуви с карманом и дизайном 360х480</t>
  </si>
  <si>
    <t>ПП-00203779</t>
  </si>
  <si>
    <t>Мешок для сменной обуви, 1 отделение, с карманом, БУДНИ ГЕПАРДА (МО-4038)</t>
  </si>
  <si>
    <t>МО-4038</t>
  </si>
  <si>
    <t>4670159040385</t>
  </si>
  <si>
    <t>ПП-00203783</t>
  </si>
  <si>
    <t>Мешок для сменной обуви, 1 отделение, с карманом, КАМУФЛЯЖНЫЙ РИСУНОК (МО-4042)</t>
  </si>
  <si>
    <t>МО-4042</t>
  </si>
  <si>
    <t>4670159040422</t>
  </si>
  <si>
    <t>ПП-00203780</t>
  </si>
  <si>
    <t>Мешок для сменной обуви, 1 отделение, с карманом, ТРЁХГЛАЗЫЙ КОТ (МО-4039)</t>
  </si>
  <si>
    <t>МО-4039</t>
  </si>
  <si>
    <t>4670159040392</t>
  </si>
  <si>
    <t>ПП-00203781</t>
  </si>
  <si>
    <t>Мешок для сменной обуви, 1 отделение, с карманом, ЦИТАТЫ ДЛЯ ВДОХНОВЕНИЯ (МО-4040)</t>
  </si>
  <si>
    <t>МО-4040</t>
  </si>
  <si>
    <t>4670159040408</t>
  </si>
  <si>
    <t>05 Мешки для обуви с карманом и дизайном, с вентил. сеточкой 490х410мм</t>
  </si>
  <si>
    <t>ПП-00206386</t>
  </si>
  <si>
    <t>Мешок для сменной обуви, 1 отделение, с карманом, с вентил. сеточкой АНИМЕ ДЕВОЧКИ (МО-5446)</t>
  </si>
  <si>
    <t>МО-5446</t>
  </si>
  <si>
    <t>4670159054467</t>
  </si>
  <si>
    <t>ПП-00206382</t>
  </si>
  <si>
    <t>Мешок для сменной обуви, 1 отделение, с карманом, с вентил. сеточкой ОГОНЁК НА ЧЁРНОМ (МО-5442)</t>
  </si>
  <si>
    <t>МО-5442</t>
  </si>
  <si>
    <t>4670159054429</t>
  </si>
  <si>
    <t>ПП-00206387</t>
  </si>
  <si>
    <t>Мешок для сменной обуви, 1 отделение, с карманом, с вентил. сеточкой РАЗНОЦВЕТНЫЕ НАКЛЕЙКИ (МО-5447)</t>
  </si>
  <si>
    <t>МО-5447</t>
  </si>
  <si>
    <t>4670159054474</t>
  </si>
  <si>
    <t>ПП-00206383</t>
  </si>
  <si>
    <t>Мешок для сменной обуви, 1 отделение, с карманом, с вентил. сеточкой РОЖДЁННЫЙ БЛИСТАТЬ (МО-5443)</t>
  </si>
  <si>
    <t>МО-5443</t>
  </si>
  <si>
    <t>4670159054436</t>
  </si>
  <si>
    <t>ПП-00206380</t>
  </si>
  <si>
    <t>Мешок для сменной обуви, 1 отделение, с карманом, с вентил. сеточкой УЛИЧНЫЕ ГОНКИ (МО-5441)</t>
  </si>
  <si>
    <t>МО-5441</t>
  </si>
  <si>
    <t>4670159054412</t>
  </si>
  <si>
    <t>05 Мешки со светоотраж.эл-ми</t>
  </si>
  <si>
    <t>01 Мешки для обуви с карманом, светоотражателем и дизайном 330х400, инд. в пэт</t>
  </si>
  <si>
    <t>ПП-00197332</t>
  </si>
  <si>
    <t>Мешок для обуви 1 отд, с карманом и светотр. КАВАЙНАЯ ДРУЖБА - 1 (МО-0244) 330х400</t>
  </si>
  <si>
    <t>МО-0244</t>
  </si>
  <si>
    <t>4670159002444</t>
  </si>
  <si>
    <t>ПП-00197331</t>
  </si>
  <si>
    <t>Мешок для обуви 1 отд, с карманом и светотр. ПОЛЯРНЫЙ МИШКА - 1 (МО-0243) 330х400</t>
  </si>
  <si>
    <t>МО-0243</t>
  </si>
  <si>
    <t>4670159002437</t>
  </si>
  <si>
    <t>ПП-00197330</t>
  </si>
  <si>
    <t>Мешок для обуви 1 отд, с карманом и светотр. ПРИКЛЮЧЕНИЯ НА ВНЕДОРОЖНИКЕ (МО-0242) 330х400</t>
  </si>
  <si>
    <t>МО-0242</t>
  </si>
  <si>
    <t>4670159002420</t>
  </si>
  <si>
    <t>ПП-00231940</t>
  </si>
  <si>
    <t>Мешок для обуви 1 отд, с карманом и светотр. ПРИКЛЮЧЕНИЯ ОДНОГО КОТА (МО-8191) 330х400</t>
  </si>
  <si>
    <t>МО-8191</t>
  </si>
  <si>
    <t>4670159181910</t>
  </si>
  <si>
    <t>ПП-00231944</t>
  </si>
  <si>
    <t>Мешок для обуви 1 отд, с карманом и светотр. ФУТБОЛИСТ (МО-8192) 330х400</t>
  </si>
  <si>
    <t>МО-8192</t>
  </si>
  <si>
    <t>4670159181927</t>
  </si>
  <si>
    <t>02 Мешки для обуви с карманом, светоотражателем и дизайном 360х480</t>
  </si>
  <si>
    <t>ПП-00203791</t>
  </si>
  <si>
    <t>Мешок для сменной обуви, 1 отделение, с карманом и светоотражателем БУДУЩИЙ ЧЕМПИОН (МО-4047)</t>
  </si>
  <si>
    <t>МО-4047</t>
  </si>
  <si>
    <t>4670159040477</t>
  </si>
  <si>
    <t>ПП-00203786</t>
  </si>
  <si>
    <t>Мешок для сменной обуви, 1 отделение, с карманом и светоотражателем КОТИКИ И ПТИЧКИ (МО-4043)</t>
  </si>
  <si>
    <t>МО-4043</t>
  </si>
  <si>
    <t>4670159040439</t>
  </si>
  <si>
    <t>ПП-00203789</t>
  </si>
  <si>
    <t>Мешок для сменной обуви, 1 отделение, с карманом и светоотражателем КРУГОВЫЕ НАДПИСИ (МО-4045)</t>
  </si>
  <si>
    <t>МО-4045</t>
  </si>
  <si>
    <t>4670159040453</t>
  </si>
  <si>
    <t>ПП-00203788</t>
  </si>
  <si>
    <t>Мешок для сменной обуви, 1 отделение, с карманом и светоотражателем МОДНЫЙ ШОПИНГ (МО-4044)</t>
  </si>
  <si>
    <t>МО-4044</t>
  </si>
  <si>
    <t>4670159040446</t>
  </si>
  <si>
    <t>ПП-00203790</t>
  </si>
  <si>
    <t>Мешок для сменной обуви, 1 отделение, с карманом и светоотражателем ПТИЧКА В КЛЕТКЕ (МО-4046)</t>
  </si>
  <si>
    <t>МО-4046</t>
  </si>
  <si>
    <t>4670159040460</t>
  </si>
  <si>
    <t>03 Мешки для обуви, светоотражающая ткань 360х480</t>
  </si>
  <si>
    <t>ПП-00203797</t>
  </si>
  <si>
    <t>Мешок для сменной обуви, 1 отделение, светоотражающая ткань АТРИБУТЫ ГЕЙМЕРОВ (МО-4051)</t>
  </si>
  <si>
    <t>МО-4051</t>
  </si>
  <si>
    <t>4670159040514</t>
  </si>
  <si>
    <t>ПП-00203798</t>
  </si>
  <si>
    <t>Мешок для сменной обуви, 1 отделение, светоотражающая ткань ЗАПУТАННЫЕ СКЕЙТБОРДЫ (МО-4052)</t>
  </si>
  <si>
    <t>МО-4052</t>
  </si>
  <si>
    <t>4670159040521</t>
  </si>
  <si>
    <t>ПП-00203796</t>
  </si>
  <si>
    <t>Мешок для сменной обуви, 1 отделение, светоотражающая ткань КОМПЬЮТЕРНАЯ НАДПИСЬ (МО-4050)</t>
  </si>
  <si>
    <t>МО-4050</t>
  </si>
  <si>
    <t>4670159040507</t>
  </si>
  <si>
    <t>ПП-00203795</t>
  </si>
  <si>
    <t>Мешок для сменной обуви, 1 отделение, светоотражающая ткань КОНЬ В ШЛЯПЕ (МО-4049)</t>
  </si>
  <si>
    <t>МО-4049</t>
  </si>
  <si>
    <t>4670159040491</t>
  </si>
  <si>
    <t>ПП-00203794</t>
  </si>
  <si>
    <t>Мешок для сменной обуви, 1 отделение, светоотражающая ткань МОДНЫЕ СКЕЙТБОРДИСТКИ (МО-4048)</t>
  </si>
  <si>
    <t>МО-4048</t>
  </si>
  <si>
    <t>4670159040484</t>
  </si>
  <si>
    <t>06 Мешки MAXI размер</t>
  </si>
  <si>
    <t xml:space="preserve">01 Мешок для обуви, MAXI размер  410х490 мм, однотон, дв.шнурок </t>
  </si>
  <si>
    <t>ПП-00196987</t>
  </si>
  <si>
    <t>Мешок для обуви 1 отд, MAXI размер БИРЮЗОВЫЙ 410х490 мм, двойной шнурок</t>
  </si>
  <si>
    <t>МО-9979</t>
  </si>
  <si>
    <t>4620129799799</t>
  </si>
  <si>
    <t>ПП-00196986</t>
  </si>
  <si>
    <t>Мешок для обуви 1 отд, MAXI размер ЗЕЛЕНЫЙ 410х490 мм, двойной шнурок</t>
  </si>
  <si>
    <t>МО-9978</t>
  </si>
  <si>
    <t>4620129799782</t>
  </si>
  <si>
    <t>ПП-00196984</t>
  </si>
  <si>
    <t>Мешок для обуви 1 отд, MAXI размер КОРАЛЛОВЫЙ 410х490 мм, двойной шнурок</t>
  </si>
  <si>
    <t>МО-9976</t>
  </si>
  <si>
    <t>4620129799768</t>
  </si>
  <si>
    <t>ПП-00196985</t>
  </si>
  <si>
    <t>Мешок для обуви 1 отд, MAXI размер КРАСНЫЙ 410х490 мм, двойной шнурок</t>
  </si>
  <si>
    <t>МО-9977</t>
  </si>
  <si>
    <t>4620129799775</t>
  </si>
  <si>
    <t>ПП-00196983</t>
  </si>
  <si>
    <t>Мешок для обуви 1 отд, MAXI размер МАЛИНОВЫЙ 410х490 мм, двойной шнурок</t>
  </si>
  <si>
    <t>МО-9975</t>
  </si>
  <si>
    <t>4620129799751</t>
  </si>
  <si>
    <t>ПП-00196990</t>
  </si>
  <si>
    <t>Мешок для обуви 1 отд, MAXI размер СЕРЫЙ 410х490 мм, двойной шнурок</t>
  </si>
  <si>
    <t>МО-9982</t>
  </si>
  <si>
    <t>4620129799829</t>
  </si>
  <si>
    <t>ПП-00196989</t>
  </si>
  <si>
    <t>Мешок для обуви 1 отд, MAXI размер СИНИЙ 410х490 мм, двойной шнурок</t>
  </si>
  <si>
    <t>МО-9981</t>
  </si>
  <si>
    <t>4620129799812</t>
  </si>
  <si>
    <t>07 Мешки с голографией, 420 х 340мм</t>
  </si>
  <si>
    <t>ПП-00179115</t>
  </si>
  <si>
    <t>Мешок для обуви ОРАНЖЕВЫЙ (МО-1319) голографией, 420 х 340 мм</t>
  </si>
  <si>
    <t>МО-1319</t>
  </si>
  <si>
    <t>4620129713191</t>
  </si>
  <si>
    <t>ПП-00179116</t>
  </si>
  <si>
    <t>Мешок для обуви ПЕРЛАМУТР ЗЕЛЕНЫЙ (МО-1320) голографией, 420 х 340 мм</t>
  </si>
  <si>
    <t>МО-1320</t>
  </si>
  <si>
    <t>4620129713207</t>
  </si>
  <si>
    <t>ПП-00179117</t>
  </si>
  <si>
    <t>Мешок для обуви ПЕРЛАМУТР РОЗОВЫЙ (МО-1321) голографией, 420 х 340 мм</t>
  </si>
  <si>
    <t>МО-1321</t>
  </si>
  <si>
    <t>4620129713214</t>
  </si>
  <si>
    <t>ПП-00179118</t>
  </si>
  <si>
    <t>Мешок для обуви СЕРЫЙ (МО-1322) голографией, 420 х 340 мм</t>
  </si>
  <si>
    <t>МО-1322</t>
  </si>
  <si>
    <t>4620129713221</t>
  </si>
  <si>
    <t>08 Сумка-мешок</t>
  </si>
  <si>
    <t>Сумка-мешок с дизайном</t>
  </si>
  <si>
    <t>ПП-00198769</t>
  </si>
  <si>
    <t>Сумка-мешок, GREY STYLE, серый/салатовый (МО-0730) 45х35х21 см</t>
  </si>
  <si>
    <t>МО-0730</t>
  </si>
  <si>
    <t>4670159008309</t>
  </si>
  <si>
    <t>ПП-00214778</t>
  </si>
  <si>
    <t>ПП-00198768</t>
  </si>
  <si>
    <t>Сумка-мешок, NAVY STYLE, синий/оранжевый (МО-0729) 45х35х21 см</t>
  </si>
  <si>
    <t>МО-0729</t>
  </si>
  <si>
    <t>4670159008293</t>
  </si>
  <si>
    <t>ПП-00198771</t>
  </si>
  <si>
    <t>Сумка-мешок, ROSE STYLE, розовый/желтый (МО-0732) 45х35х21 см</t>
  </si>
  <si>
    <t>МО-0732</t>
  </si>
  <si>
    <t>4670159008323</t>
  </si>
  <si>
    <t>ПП-00214781</t>
  </si>
  <si>
    <t>ПП-00198770</t>
  </si>
  <si>
    <t>Сумка-мешок, VIOLET STYLE, фиолетовый/ розовый (МО-0731) 45х35х21 см</t>
  </si>
  <si>
    <t>МО-0731</t>
  </si>
  <si>
    <t>4670159008316</t>
  </si>
  <si>
    <t>ПП-00214783</t>
  </si>
  <si>
    <t>09 Сумки для сменной обуви</t>
  </si>
  <si>
    <t>Сумки для сменной обуви с ручками</t>
  </si>
  <si>
    <t>ПП-00219769</t>
  </si>
  <si>
    <t>Сумка-мешок для сменной обуви, с карманом, уплотненное дно ДЖОЙСТИКИ (МО-1621) 260x360x160</t>
  </si>
  <si>
    <t>МО-1621</t>
  </si>
  <si>
    <t>4670159116219</t>
  </si>
  <si>
    <t>ПП-00219772</t>
  </si>
  <si>
    <t>Сумка-мешок для сменной обуви, с карманом, уплотненное дно СКОРОСТЬ (МО-1624) 260x360x160</t>
  </si>
  <si>
    <t>МО-1624</t>
  </si>
  <si>
    <t>4670159116240</t>
  </si>
  <si>
    <t>Сумки для сменной обуви с ручками 410*490</t>
  </si>
  <si>
    <t>ПП-00219751</t>
  </si>
  <si>
    <t>Сумка-мешок для сменной обуви, 1 отделение, двойной шнурок АНИМЕ СТАЙЛ (МО-1605) 490х410</t>
  </si>
  <si>
    <t>МО-1605</t>
  </si>
  <si>
    <t>4670159116059</t>
  </si>
  <si>
    <t>ПП-00219758</t>
  </si>
  <si>
    <t>Сумка-мешок для сменной обуви, 1 отделение, двойной шнурок ЧЕРНО-ЖЕЛТЫЙ (МО-1611)490х410</t>
  </si>
  <si>
    <t>МО-1611</t>
  </si>
  <si>
    <t>4670159116110</t>
  </si>
  <si>
    <t>ПП-00219756</t>
  </si>
  <si>
    <t>Сумка-мешок для сменной обуви, 1 отделение, двойной шнурок ЧЕРНО-КРАСНЫЙ (МО-1609)490х410</t>
  </si>
  <si>
    <t>МО-1609</t>
  </si>
  <si>
    <t>4670159116097</t>
  </si>
  <si>
    <t>ПП-00219759</t>
  </si>
  <si>
    <t>Сумка-мешок для сменной обуви, 1 отделение, двойной шнурок ЧЕРНО-ОРАНЖЕВЫЙ (МО-1612)490х410</t>
  </si>
  <si>
    <t>МО-1612</t>
  </si>
  <si>
    <t>4670159116127</t>
  </si>
  <si>
    <t>04 Фартуки для труда</t>
  </si>
  <si>
    <t>01 Фартуки без кармана</t>
  </si>
  <si>
    <t>03 Фартуки принтованная ткань, 390х490 мм, инд. в пэт</t>
  </si>
  <si>
    <t>ПП-00147269</t>
  </si>
  <si>
    <t>Фартук ВОЛНА мульти (Ф-2588), капля</t>
  </si>
  <si>
    <t>Ф-2588</t>
  </si>
  <si>
    <t>Честный знак</t>
  </si>
  <si>
    <t>4680088425887</t>
  </si>
  <si>
    <t>ПП-00147268</t>
  </si>
  <si>
    <t>Фартук ВОЛНА серый (Ф-2587), капля</t>
  </si>
  <si>
    <t>Ф-2587</t>
  </si>
  <si>
    <t>4680088425870</t>
  </si>
  <si>
    <t>ПП-00147259</t>
  </si>
  <si>
    <t>Фартук ЦВЕТНЫЕ ТРЕУГОЛЬНИКИ коричневый (Ф-2583), гладь</t>
  </si>
  <si>
    <t>Ф-2583</t>
  </si>
  <si>
    <t>4680088425832</t>
  </si>
  <si>
    <t>02 Фартуки с 1-м карманом</t>
  </si>
  <si>
    <t>01 Фартуки 1,2 кармана однотонные 390х490 мм</t>
  </si>
  <si>
    <t>ПП-00077621</t>
  </si>
  <si>
    <t>Фартук с 1-м карманом БИРЮЗОВЫЙ (Ф-0162)</t>
  </si>
  <si>
    <t>Ф-0162</t>
  </si>
  <si>
    <t>4665303501621</t>
  </si>
  <si>
    <t>ПП-00077622</t>
  </si>
  <si>
    <t>Фартук с 1-м карманом ТЕМНО-РОЗОВЫЙ (Ф-0163)</t>
  </si>
  <si>
    <t>Ф-0163</t>
  </si>
  <si>
    <t>4665303501638</t>
  </si>
  <si>
    <t>ПП-00087299</t>
  </si>
  <si>
    <t>Фартук с 1-м карманом ФИОЛЕТОВЫЙ (Ф-2092)</t>
  </si>
  <si>
    <t>Ф-2092</t>
  </si>
  <si>
    <t>4665303520929</t>
  </si>
  <si>
    <t>ПП-00035823</t>
  </si>
  <si>
    <t>Фартук с 2 карманами ЗЕЛЁНЫЙ (Ф-4820)</t>
  </si>
  <si>
    <t>Ф-4820</t>
  </si>
  <si>
    <t>4665295448201</t>
  </si>
  <si>
    <t>02 Фартуки с 1-м карманом, с дизайном,390х490 мм, инд. в пэт</t>
  </si>
  <si>
    <t>ПП-00204787</t>
  </si>
  <si>
    <t>Фартук с 1 карманом ЗОМБИ ЕДА (Ф-4750)</t>
  </si>
  <si>
    <t>Ф-4750</t>
  </si>
  <si>
    <t>4670159047506</t>
  </si>
  <si>
    <t>ПП-00204781</t>
  </si>
  <si>
    <t>Фартук с 1 карманом МУЗЫКАЛЬНЫЕ ЁЖИКИ (Ф-4744)</t>
  </si>
  <si>
    <t>Ф-4744</t>
  </si>
  <si>
    <t>4670159047445</t>
  </si>
  <si>
    <t>ПП-00204780</t>
  </si>
  <si>
    <t>Фартук с 1 карманом ОЗОРНЫЕ ДИНОЗАВРЫ (Ф-4743)</t>
  </si>
  <si>
    <t>Ф-4743</t>
  </si>
  <si>
    <t>4670159047438</t>
  </si>
  <si>
    <t>ПП-00204783</t>
  </si>
  <si>
    <t>Фартук с 1 карманом РАЗНОЦВЕТНЫЕ КОТЫ (Ф-4746)</t>
  </si>
  <si>
    <t>Ф-4746</t>
  </si>
  <si>
    <t>4670159047469</t>
  </si>
  <si>
    <t>03 Фартуки с 1-м карманом (трапеция) + нарукавники, с дизайном, уплотненный, 450*500мм</t>
  </si>
  <si>
    <t>ПП-00193357</t>
  </si>
  <si>
    <t>Набор фартук с 1 карманом + нарукавники ДАВАЙ ИГРАТЬ! (Ф-8075)</t>
  </si>
  <si>
    <t>Ф-8075</t>
  </si>
  <si>
    <t>4620129780759</t>
  </si>
  <si>
    <t>ПП-00193359</t>
  </si>
  <si>
    <t>Набор фартук с 1 карманом + нарукавники ЗАБАВНЫЕ СЛАДОСТИ - 1 (Ф-8077)</t>
  </si>
  <si>
    <t>Ф-8077</t>
  </si>
  <si>
    <t>4620129780773</t>
  </si>
  <si>
    <t>ПП-00193361</t>
  </si>
  <si>
    <t>Набор фартук с 1 карманом + нарукавники КОТЯТА В ОЧКАХ (Ф-8079)</t>
  </si>
  <si>
    <t>Ф-8079</t>
  </si>
  <si>
    <t>4620129780797</t>
  </si>
  <si>
    <t>ПП-00193360</t>
  </si>
  <si>
    <t>Набор фартук с 1 карманом + нарукавники НЕИЗВЕДАННАЯ ВСЕЛЕННАЯ (Ф-8078)</t>
  </si>
  <si>
    <t>Ф-8078</t>
  </si>
  <si>
    <t>4620129780780</t>
  </si>
  <si>
    <t>ПП-00193358</t>
  </si>
  <si>
    <t>Набор фартук с 1 карманом + нарукавники РОБОТ ТАНЦОР (Ф-8076)</t>
  </si>
  <si>
    <t>Ф-8076</t>
  </si>
  <si>
    <t>4620129780766</t>
  </si>
  <si>
    <t>ПП-00193356</t>
  </si>
  <si>
    <t>Набор фартук с 1 карманом + нарукавники СМЕШНОЙ ЕДИНОРОЖЕК (Ф-8074)</t>
  </si>
  <si>
    <t>Ф-8074</t>
  </si>
  <si>
    <t>4620129780742</t>
  </si>
  <si>
    <t>ПП-00193355</t>
  </si>
  <si>
    <t>Набор фартук с 1 карманом + нарукавники ТУРБО ТАЧКА (Ф-8073)</t>
  </si>
  <si>
    <t>Ф-8073</t>
  </si>
  <si>
    <t>4620129780735</t>
  </si>
  <si>
    <t>ПП-00193362</t>
  </si>
  <si>
    <t>Набор фартук с 1 карманом + нарукавники ФЛАМИНГО В ОЧКАХ - 1 (Ф-8080)</t>
  </si>
  <si>
    <t>Ф-8080</t>
  </si>
  <si>
    <t>4620129780803</t>
  </si>
  <si>
    <t>04 Фартуки с 1-м большим карманом и дизайном, 450х500 мм, инд. в пэт.</t>
  </si>
  <si>
    <t>ПП-00178918</t>
  </si>
  <si>
    <t>Фартук с 1 большим карманом АВОКАДО ТАНЦУЮТ (Ф-1073) с дизайном, 450х500</t>
  </si>
  <si>
    <t>Ф-1073</t>
  </si>
  <si>
    <t>4620129710732</t>
  </si>
  <si>
    <t>ПП-00178921</t>
  </si>
  <si>
    <t>Фартук с 1 большим карманом БОЛЬШОЙ ФУТБОЛ-2 (Ф-1076) с дизайном, 450х500</t>
  </si>
  <si>
    <t>Ф-1076</t>
  </si>
  <si>
    <t>4620129710763</t>
  </si>
  <si>
    <t>ПП-00178919</t>
  </si>
  <si>
    <t>Фартук с 1 большим карманом КОСМОС И ПРИШЕЛЬЦЫ (Ф-1074) с дизайном, 450х500</t>
  </si>
  <si>
    <t>Ф-1074</t>
  </si>
  <si>
    <t>4620129710749</t>
  </si>
  <si>
    <t>05 Фартуки с 1-м карманом принтованная ткань, 390х490, инд. в пэт.</t>
  </si>
  <si>
    <t>ПП-00194607</t>
  </si>
  <si>
    <t>Фартук с карманом УРБАН РОЗОВЫЙ (Ф-8721), гладь</t>
  </si>
  <si>
    <t>Ф-8721</t>
  </si>
  <si>
    <t>4620129787215</t>
  </si>
  <si>
    <t>ПП-00194608</t>
  </si>
  <si>
    <t>Фартук с карманом ФИГУРЫ РОЗОВЫЙ (Ф-8722), гладь</t>
  </si>
  <si>
    <t>Ф-8722</t>
  </si>
  <si>
    <t>4620129787222</t>
  </si>
  <si>
    <t>03 Набор фартуков</t>
  </si>
  <si>
    <t>01. Набор фартук+нарукавники однотонные, комбинированные, 450х500мм</t>
  </si>
  <si>
    <t>ПП-00210300</t>
  </si>
  <si>
    <t>Набор фартук+нарукавники  ЖЁЛТЫЙ (ФН-7681)</t>
  </si>
  <si>
    <t>ФН-7681</t>
  </si>
  <si>
    <t>4670159076810</t>
  </si>
  <si>
    <t>ПП-00210301</t>
  </si>
  <si>
    <t>Набор фартук+нарукавники  ОРАНЖЕВЫЙ (ФН-7682)</t>
  </si>
  <si>
    <t>ФН-7682</t>
  </si>
  <si>
    <t>4670159076827</t>
  </si>
  <si>
    <t>04 Фартуки с 2-мя карманами</t>
  </si>
  <si>
    <t>01. Фартуки 2-мя карманами, с дизайном, 390х490 мм, инд. в пэт.</t>
  </si>
  <si>
    <t>ПП-00206671</t>
  </si>
  <si>
    <t>Фартук с 2 карманами ВОЛШЕБНЫЕ ЕДИНОРОГИ - 3 (Ф-5641) 390х490 мм</t>
  </si>
  <si>
    <t>Ф-5641</t>
  </si>
  <si>
    <t>4670159056409</t>
  </si>
  <si>
    <t>ПП-00206667</t>
  </si>
  <si>
    <t>Фартук с 2 карманами ГЕЙМПАД (Ф-5637) 390х490 мм</t>
  </si>
  <si>
    <t>Ф-5637</t>
  </si>
  <si>
    <t>4670159056362</t>
  </si>
  <si>
    <t>ПП-00206665</t>
  </si>
  <si>
    <t>Фартук с 2 карманами ДРОВОСЕК В ЛЕСУ (Ф-5635) 390х490 мм</t>
  </si>
  <si>
    <t>Ф-5635</t>
  </si>
  <si>
    <t>4670159056348</t>
  </si>
  <si>
    <t>ПП-00206668</t>
  </si>
  <si>
    <t>Фартук с 2 карманами КОТИКИ-2 (Ф-5638) 390х490 мм</t>
  </si>
  <si>
    <t>Ф-5638</t>
  </si>
  <si>
    <t>4670159056379</t>
  </si>
  <si>
    <t>ПП-00206672</t>
  </si>
  <si>
    <t>Фартук с 2 карманами ЛУЧШИЙ ИГРОК (Ф-5642) 390х490 мм</t>
  </si>
  <si>
    <t>Ф-5642</t>
  </si>
  <si>
    <t>4670159056416</t>
  </si>
  <si>
    <t>ПП-00206669</t>
  </si>
  <si>
    <t>Фартук с 2 карманами МИЛЫЕ ЖИВОТНЫЕ - 3 (Ф-5639) 390х490 мм</t>
  </si>
  <si>
    <t>Ф-5639</t>
  </si>
  <si>
    <t>4670159056386</t>
  </si>
  <si>
    <t>ПП-00206666</t>
  </si>
  <si>
    <t>Фартук с 2 карманами ЭКСТРЕМАЛЬНАЯ ГОНКА (Ф-5636) 390х490 мм</t>
  </si>
  <si>
    <t>Ф-5636</t>
  </si>
  <si>
    <t>4670159056355</t>
  </si>
  <si>
    <t>02. Фартуки с 2-мя карманами + нарукавники, с диз.на кармане, уплотненный 450*500</t>
  </si>
  <si>
    <t>ПП-00196673</t>
  </si>
  <si>
    <t xml:space="preserve">Набор фартук с 2-мя карманами+нарукавники (ФН-9727) КРАСНОЕ АВТО </t>
  </si>
  <si>
    <t>ФН-9727</t>
  </si>
  <si>
    <t>4620129797276</t>
  </si>
  <si>
    <t>ПП-00196675</t>
  </si>
  <si>
    <t>Набор фартук с 2-мя карманами+нарукавники (ФН-9728) БЕЛЫЙ ШПИЦ</t>
  </si>
  <si>
    <t>ФН-9728</t>
  </si>
  <si>
    <t>4620129797283</t>
  </si>
  <si>
    <t>ПП-00196677</t>
  </si>
  <si>
    <t>Набор фартук с 2-мя карманами+нарукавники (ФН-9729) МЯЧ НА ЗЕЛЕНОМ ПОЛЕ</t>
  </si>
  <si>
    <t>ФН-9729</t>
  </si>
  <si>
    <t>4620129797290</t>
  </si>
  <si>
    <t>ПП-00196678</t>
  </si>
  <si>
    <t xml:space="preserve">Набор фартук с 2-мя карманами+нарукавники (ФН-9730) КОРОНА </t>
  </si>
  <si>
    <t>ФН-9730</t>
  </si>
  <si>
    <t>4620129797306</t>
  </si>
  <si>
    <t>03. Фартуки с 2-мя карманами+ нарукавники, с дизайном, 490х390 мм, инд. в пэт</t>
  </si>
  <si>
    <t>ПП-00205805</t>
  </si>
  <si>
    <t>Фартук с 2 карманами + нарукавники МИШКА В КОСМОСЕ (ФН-5095) с дизайном</t>
  </si>
  <si>
    <t>ФН-5095</t>
  </si>
  <si>
    <t>4670159050957</t>
  </si>
  <si>
    <t>ПП-00205806</t>
  </si>
  <si>
    <t>Фартук с 2 карманами + нарукавники МОДНАЯ МАРТЫШКА (ФН-5096) с дизайном</t>
  </si>
  <si>
    <t>ФН-5096</t>
  </si>
  <si>
    <t>4670159050964</t>
  </si>
  <si>
    <t>ПП-00205807</t>
  </si>
  <si>
    <t>Фартук с 2 карманами + нарукавники ОЧАРОВАТЕЛЬНЫЕ ЗВЕРЬКИ (ФН-5097) с дизайном</t>
  </si>
  <si>
    <t>ФН-5097</t>
  </si>
  <si>
    <t>4670159050971</t>
  </si>
  <si>
    <t>ПП-00205808</t>
  </si>
  <si>
    <t>Фартук с 2 карманами + нарукавники ОЧАРОВАТЕЛЬНЫЕ СЛОНИКИ (ФН-5098) с дизайном</t>
  </si>
  <si>
    <t>ФН-5098</t>
  </si>
  <si>
    <t>4670159050988</t>
  </si>
  <si>
    <t>05 Накидки для труда</t>
  </si>
  <si>
    <t>02 Накидки для труда с дизайном (без нарукавников), 400х550мм инд. в пэт.</t>
  </si>
  <si>
    <t>ПП-00178923</t>
  </si>
  <si>
    <t>Накидка для труда с дизайном КЕДОМОБИЛЬ (НП-1077)</t>
  </si>
  <si>
    <t>НП-1077</t>
  </si>
  <si>
    <t>4620129710770</t>
  </si>
  <si>
    <t>ПП-00178924</t>
  </si>
  <si>
    <t>Накидка для труда с дизайном МОНСТРЫ ИЗ ИГРЫ (НП-1078)</t>
  </si>
  <si>
    <t>НП-1078</t>
  </si>
  <si>
    <t>4620129710787</t>
  </si>
  <si>
    <t>ПП-00178925</t>
  </si>
  <si>
    <t>Накидка для труда с дизайном ПАРА СЛОНИКОВ (НП-1079)</t>
  </si>
  <si>
    <t>НП-1079</t>
  </si>
  <si>
    <t>4620129710794</t>
  </si>
  <si>
    <t>ПП-00178926</t>
  </si>
  <si>
    <t>Накидка для труда с дизайном ФРУКТОВОЕ МНОГООБРАЗИЕ (НП-1080)</t>
  </si>
  <si>
    <t>НП-1080</t>
  </si>
  <si>
    <t>4620129710800</t>
  </si>
  <si>
    <t>05 Папки с ручками</t>
  </si>
  <si>
    <t>01 Папки на молнии с ручками А4, с прозрачной вставкой, с дизайном, 350х265х40мм</t>
  </si>
  <si>
    <t>ПП-00178930</t>
  </si>
  <si>
    <t>Папка-сумка на молнии с ручками А4 ДИНОЗАВР-ГЕЙМЕР (П-1083) с прозрачной вставкой и дизайном</t>
  </si>
  <si>
    <t>П-1083</t>
  </si>
  <si>
    <t>4620129710831</t>
  </si>
  <si>
    <t>ПП-00178929</t>
  </si>
  <si>
    <t>Папка-сумка на молнии с ручками А4 ЛЮБОВЬ АВОКАДО-4 (П-1082) с прозрачной вставкой и дизайном</t>
  </si>
  <si>
    <t>П-1082</t>
  </si>
  <si>
    <t>4620129710824</t>
  </si>
  <si>
    <t>ПП-00178931</t>
  </si>
  <si>
    <t>Папка-сумка на молнии с ручками А4 СКЕЙТБОРДИНГ В КОСМОСЕ-1 (П-1084) с прозрачной вставкой и дизайн</t>
  </si>
  <si>
    <t>П-1084</t>
  </si>
  <si>
    <t>4620129710848</t>
  </si>
  <si>
    <t>ПП-00236690</t>
  </si>
  <si>
    <t>Папка-сумка на молнии с ручками А4, FLAT design (П-1484) с прозр вставкой, с дизайном, 350х265х40(!)</t>
  </si>
  <si>
    <t>П-1484</t>
  </si>
  <si>
    <t>4670159014843</t>
  </si>
  <si>
    <t>ПП-00199576</t>
  </si>
  <si>
    <t>Папка-сумка на молнии с ручками А4, FLAT design (П-1484) с прозр вставкой, с дизайном, 350х265х40мм</t>
  </si>
  <si>
    <t>ПП-00199577</t>
  </si>
  <si>
    <t>Папка-сумка на молнии с ручками А4, KAWAII (П-1485) с прозр вставкой, с дизайном, 350х265х40мм</t>
  </si>
  <si>
    <t>П-1485</t>
  </si>
  <si>
    <t>4670159014850</t>
  </si>
  <si>
    <t>ПП-00220995</t>
  </si>
  <si>
    <t>ПП-00199578</t>
  </si>
  <si>
    <t>Папка-сумка на молнии с ручками А4, NEON (П-1486) с прозр вставкой, с дизайном, 350х265х40мм</t>
  </si>
  <si>
    <t>П-1486</t>
  </si>
  <si>
    <t>4670159014867</t>
  </si>
  <si>
    <t>ПП-00199580</t>
  </si>
  <si>
    <t>Папка-сумка на молнии с ручками А4, АНИМЕ (П-1488) с прозр вставкой, с дизайном, 350х265х40мм</t>
  </si>
  <si>
    <t>П-1488</t>
  </si>
  <si>
    <t>4670159014881</t>
  </si>
  <si>
    <t>ПП-00199581</t>
  </si>
  <si>
    <t>Папка-сумка на молнии с ручками А4, ПАРКУР (П-1489) с прозр вставкой, с дизайном, 350х265х40мм</t>
  </si>
  <si>
    <t>П-1489</t>
  </si>
  <si>
    <t>4670159014898</t>
  </si>
  <si>
    <t>02 Папки на молнии с ручками А4, дизайн на прозрачной вставке, 350х265x75мм</t>
  </si>
  <si>
    <t>ПП-00237752</t>
  </si>
  <si>
    <t>Папка на молнии А4 ДЕВУШКА С УШКАМИ - 2 (П-1445) с ручками, диз на прозр. вставке,350х265x75мм</t>
  </si>
  <si>
    <t>П-1445</t>
  </si>
  <si>
    <t>4670159214458</t>
  </si>
  <si>
    <t>ПП-00237751</t>
  </si>
  <si>
    <t>Папка на молнии А4 ЖЕЛТОЕ СПОРТИВНОЕ АВТО - 2 (П-1444) с ручками, диз на прозр. вставке,350х265x75мм</t>
  </si>
  <si>
    <t>П-1444</t>
  </si>
  <si>
    <t>4670159214441</t>
  </si>
  <si>
    <t>ПП-00237755</t>
  </si>
  <si>
    <t>Папка на молнии А4 ФУТБОЛЬНЫЙ МЯЧ (П-1447) с ручками, диз на прозр. вставке,350х265x75мм</t>
  </si>
  <si>
    <t>П-1447</t>
  </si>
  <si>
    <t>4670159214472</t>
  </si>
  <si>
    <t>03 Папки на молнии с ручкой А4 вертикальная, печать на ПВХ, 335х260мм</t>
  </si>
  <si>
    <t>ПП-00242512</t>
  </si>
  <si>
    <t>Папка на молнии А4 DARK FLUID (П-2576) 335х260мм, печать на ПВХ</t>
  </si>
  <si>
    <t>П-2576</t>
  </si>
  <si>
    <t>4670159225768</t>
  </si>
  <si>
    <t>ПП-00242511</t>
  </si>
  <si>
    <t>Папка на молнии А4 FLUID ART (П-2575) 335х260мм, печать на ПВХ</t>
  </si>
  <si>
    <t>П-2575</t>
  </si>
  <si>
    <t>4670159225751</t>
  </si>
  <si>
    <t>ПП-00177592</t>
  </si>
  <si>
    <t>Папка на молнии А4 ДИНО ДИ-ДЖЕЙ (П-0302)  335х260мм, печать на ПВХ</t>
  </si>
  <si>
    <t>П-0302</t>
  </si>
  <si>
    <t>4620129703024</t>
  </si>
  <si>
    <t>ПП-00242509</t>
  </si>
  <si>
    <t>Папка на молнии А4 КОРОНА (П-2573) 335х260мм, печать на ПВХ</t>
  </si>
  <si>
    <t>П-2573</t>
  </si>
  <si>
    <t>4670159225737</t>
  </si>
  <si>
    <t>ПП-00153002</t>
  </si>
  <si>
    <t>Папка на молнии А4 КОТИК-АНГЕЛ (П-6936)  335х260мм, печать на ПВХ</t>
  </si>
  <si>
    <t>П-6936</t>
  </si>
  <si>
    <t>4680088469362</t>
  </si>
  <si>
    <t>ПП-00153001</t>
  </si>
  <si>
    <t>Папка на молнии А4 КОТИКИ-ДРУЗЬЯ (П-6935)  335х260мм, печать на ПВХ</t>
  </si>
  <si>
    <t>П-6935</t>
  </si>
  <si>
    <t>4680088469355</t>
  </si>
  <si>
    <t>ПП-00242510</t>
  </si>
  <si>
    <t>Папка на молнии А4 КРАСНОЕ АВТО (П-2574) 335х260мм, печать на ПВХ</t>
  </si>
  <si>
    <t>П-2574</t>
  </si>
  <si>
    <t>4670159225744</t>
  </si>
  <si>
    <t>ПП-00242574</t>
  </si>
  <si>
    <t>Папка на молнии А4 МРАМОР (П-2587) 335х260мм, печать на ПВХ</t>
  </si>
  <si>
    <t>П-2587</t>
  </si>
  <si>
    <t>4670159225874</t>
  </si>
  <si>
    <t>ПП-00153003</t>
  </si>
  <si>
    <t>Папка на молнии А4 ОЗОРНОЙ-КОТИК (П-6937)  335х260мм, печать на ПВХ</t>
  </si>
  <si>
    <t>П-6937</t>
  </si>
  <si>
    <t>4680088469379</t>
  </si>
  <si>
    <t>ПП-00177595</t>
  </si>
  <si>
    <t>Папка на молнии А4 РАЗНООБРАЗИЕ ФАСТ-ФУДА (П-0305)  335х260мм, печать на ПВХ</t>
  </si>
  <si>
    <t>П-0305</t>
  </si>
  <si>
    <t>4620129703055</t>
  </si>
  <si>
    <t>ПП-00177593</t>
  </si>
  <si>
    <t>Папка на молнии А4 СКЕЛЕТИК-СКЕЙТЕР (П-0303)  335х260мм, печать на ПВХ</t>
  </si>
  <si>
    <t>П-0303</t>
  </si>
  <si>
    <t>4620129703031</t>
  </si>
  <si>
    <t>ПП-00177594</t>
  </si>
  <si>
    <t>Папка на молнии А4 УРБАН-СТАЙЛ-1 (П-0304)  335х260мм, печать на ПВХ</t>
  </si>
  <si>
    <t>П-0304</t>
  </si>
  <si>
    <t>4620129703048</t>
  </si>
  <si>
    <t>04 Папки на молнии с ручками А4, ширина дна 2см, внут.карман, 334х260мм</t>
  </si>
  <si>
    <t>ПП-00206073</t>
  </si>
  <si>
    <t>Папка детская А4 K-POP IDOLS (П-5226) с ручками, на молнии, печать на ткани</t>
  </si>
  <si>
    <t>П-5226</t>
  </si>
  <si>
    <t>4670159052265</t>
  </si>
  <si>
    <t>ПП-00206067</t>
  </si>
  <si>
    <t>Папка детская А4 ГОРЫ И СОЛНЦЕ (П-5223) с ручками, на молнии, печать на ткани</t>
  </si>
  <si>
    <t>П-5223</t>
  </si>
  <si>
    <t>4670159052234</t>
  </si>
  <si>
    <t>ПП-00206065</t>
  </si>
  <si>
    <t>Папка детская А4 ЗЕЛЁНЫЙ АВТОМОБИЛЬ (П-5221) с ручками, на молнии, печать на ткани</t>
  </si>
  <si>
    <t>П-5221</t>
  </si>
  <si>
    <t>4670159052210</t>
  </si>
  <si>
    <t>ПП-00206069</t>
  </si>
  <si>
    <t>Папка детская А4 КОТ И ЛУНА (П-5224) с ручками, на молнии, печать на ткани</t>
  </si>
  <si>
    <t>П-5224</t>
  </si>
  <si>
    <t>4670159052241</t>
  </si>
  <si>
    <t>ПП-00206066</t>
  </si>
  <si>
    <t>Папка детская А4 ЛУЧШИЕ ПОДРУГИ (П-5222) с ручками, на молнии, печать на ткани</t>
  </si>
  <si>
    <t>П-5222</t>
  </si>
  <si>
    <t>4670159052227</t>
  </si>
  <si>
    <t>ПП-00206074</t>
  </si>
  <si>
    <t>Папка детская А4 ЛЯГУШКИ (П-5227) с ручками, на молнии, печать на ткани</t>
  </si>
  <si>
    <t>П-5227</t>
  </si>
  <si>
    <t>4670159052272</t>
  </si>
  <si>
    <t>ПП-00206071</t>
  </si>
  <si>
    <t>Папка детская А4 СПАЙДЕР (П-5225) с ручками, на молнии, печать на ткани</t>
  </si>
  <si>
    <t>П-5225</t>
  </si>
  <si>
    <t>4670159052258</t>
  </si>
  <si>
    <t>05 Папки на молнии с ручками А4, внут.карман, с дизайном, 350х265x20мм</t>
  </si>
  <si>
    <t>ПП-00237339</t>
  </si>
  <si>
    <t>Папка на молнии А4 K-POP IDOLS (П-1180) с ручками, внут.карман, с дизайном, 350х265x20мм</t>
  </si>
  <si>
    <t>П-1180</t>
  </si>
  <si>
    <t>4670159211808</t>
  </si>
  <si>
    <t>ПП-00237340</t>
  </si>
  <si>
    <t>Папка на молнии А4 КРАСНОЕ АВТО (П-1181) с ручками, внут.карман, с дизайном, 350х265x20мм</t>
  </si>
  <si>
    <t>П-1181</t>
  </si>
  <si>
    <t>4670159211815</t>
  </si>
  <si>
    <t>ПП-00237341</t>
  </si>
  <si>
    <t>Папка на молнии А4 ПУШИСТИК (П-1182) с ручками, внут.карман, с дизайном, 350х265x20мм</t>
  </si>
  <si>
    <t>П-1182</t>
  </si>
  <si>
    <t>4670159211822</t>
  </si>
  <si>
    <t>ПП-00237342</t>
  </si>
  <si>
    <t>Папка на молнии А4 СИНИЙ МЯЧ (П-1183) с ручками, внут.карман, с дизайном, 350х265x20мм</t>
  </si>
  <si>
    <t>П-1183</t>
  </si>
  <si>
    <t>4670159211839</t>
  </si>
  <si>
    <t>ПП-00237347</t>
  </si>
  <si>
    <t>Папка на молнии А4 КРАСНОЕ АВТО (П-1186) с ручками, внут.карман, с дизайном, 350х265x70мм</t>
  </si>
  <si>
    <t>П-1186</t>
  </si>
  <si>
    <t>4670159211860</t>
  </si>
  <si>
    <t>ПП-00237348</t>
  </si>
  <si>
    <t>Папка на молнии А4 ЛЯГУШКИ (П-1187) с ручками, внут.карман, с дизайном, 350х265x70мм</t>
  </si>
  <si>
    <t>П-1187</t>
  </si>
  <si>
    <t>4670159211877</t>
  </si>
  <si>
    <t>08 Папки на молнии с ручками А4, внут.карман, с дизйном, 350х265x45мм</t>
  </si>
  <si>
    <t>ПП-00237759</t>
  </si>
  <si>
    <t>Папка на молнии А4 КАПИВЕНСДЭЙ (П-1452) внут.карман, с дизайном, 350х265x45мм</t>
  </si>
  <si>
    <t>П-1452</t>
  </si>
  <si>
    <t>4670159214526</t>
  </si>
  <si>
    <t>09 Папки на молнии с ручками А4, внут.карман, дизайн с фольгой, 350х265x45мм</t>
  </si>
  <si>
    <t>ПП-00237353</t>
  </si>
  <si>
    <t>Папка на молнии А4 БЕЛЫЙ МЯЧ (П-1188) с ручками, внут.карман, дизайн с фольгой, 350х265x45мм</t>
  </si>
  <si>
    <t>П-1188</t>
  </si>
  <si>
    <t>4670159211884</t>
  </si>
  <si>
    <t>ПП-00237354</t>
  </si>
  <si>
    <t>Папка на молнии А4 БЕЛЫЙ ШПИЦ (П-1189) с ручками, внут.карман, дизайн с фольгой, 350х265x45мм</t>
  </si>
  <si>
    <t>П-1189</t>
  </si>
  <si>
    <t>4670159211891</t>
  </si>
  <si>
    <t>ПП-00237355</t>
  </si>
  <si>
    <t>Папка на молнии А4 КОРОНА (П-1190) с ручками, внут.карман, дизайн с фольгой, 350х265x45мм</t>
  </si>
  <si>
    <t>П-1190</t>
  </si>
  <si>
    <t>4670159211907</t>
  </si>
  <si>
    <t>ПП-00237356</t>
  </si>
  <si>
    <t>Папка на молнии А4 КРАСНОЕ АВТО (П-1191) с ручками, внут.карман, дизайн с фольгой, 350х265x45мм</t>
  </si>
  <si>
    <t>П-1191</t>
  </si>
  <si>
    <t>4670159211914</t>
  </si>
  <si>
    <t>10 Папки детские с ручками, ширина дна 8,5см, пластик, 334х260мм</t>
  </si>
  <si>
    <t>ПП-00198039</t>
  </si>
  <si>
    <t>Папка детская ЯРКИЙ УРБАН (П-0571) пластик, 334х260мм</t>
  </si>
  <si>
    <t>П-0571</t>
  </si>
  <si>
    <t>4670159005711</t>
  </si>
  <si>
    <t>11 Папки детские с ручками, ширина дна 8,5см, печать на ткани, 334х260мм</t>
  </si>
  <si>
    <t>ПП-00194462</t>
  </si>
  <si>
    <t>Папка детская АБСТРАКТНЫЙ БАСКЕТБОЛИСТ (П-8618) печать на ткани, 334х260мм</t>
  </si>
  <si>
    <t>П-8618</t>
  </si>
  <si>
    <t>4620129786188</t>
  </si>
  <si>
    <t>12 Папки детские на шнурке, А4,ширина дна 10см, пластик (325х230)</t>
  </si>
  <si>
    <t>ПП-00196507</t>
  </si>
  <si>
    <t xml:space="preserve"> Папка детская на шнурке А4 УРБАН СКЕЙТ (П-8597) пластик</t>
  </si>
  <si>
    <t>П-8597</t>
  </si>
  <si>
    <t>4620129795975</t>
  </si>
  <si>
    <t>ПП-00218809</t>
  </si>
  <si>
    <t>Папка детская на шнурке А4 PINK&amp;BLACK (П-2120) пластик</t>
  </si>
  <si>
    <t>П-2120</t>
  </si>
  <si>
    <t>4670159121206</t>
  </si>
  <si>
    <t>ПП-00218812</t>
  </si>
  <si>
    <t>Папка детская на шнурке А4 ЛЕДИ ПЁС (П-2123) пластик</t>
  </si>
  <si>
    <t>П-2123</t>
  </si>
  <si>
    <t>4670159121237</t>
  </si>
  <si>
    <t>ПП-00218813</t>
  </si>
  <si>
    <t>Папка детская на шнурке А4 МИЛАЯ ДЕВОЧКА (П-2124) пластик</t>
  </si>
  <si>
    <t>П-2124</t>
  </si>
  <si>
    <t>4670159121244</t>
  </si>
  <si>
    <t>ПП-00218814</t>
  </si>
  <si>
    <t>Папка детская на шнурке А4 МОТОЦИКЛ С ПОДСВЕТКОЙ (П-2125) пластик</t>
  </si>
  <si>
    <t>П-2125</t>
  </si>
  <si>
    <t>4670159121251</t>
  </si>
  <si>
    <t>ПП-00218816</t>
  </si>
  <si>
    <t>Папка детская на шнурке А4 УЛИЧНЫЙ ДРАЙВ (П-2127) пластик</t>
  </si>
  <si>
    <t>П-2127</t>
  </si>
  <si>
    <t>4670159121275</t>
  </si>
  <si>
    <t>ПП-00218817</t>
  </si>
  <si>
    <t>Папка детская на шнурке А4 ЧЕТЫРЕ ЛАПЫ (П-2128) пластик</t>
  </si>
  <si>
    <t>П-2128</t>
  </si>
  <si>
    <t>4670159121282</t>
  </si>
  <si>
    <t>ПП-00196631</t>
  </si>
  <si>
    <t>Папки детские на шнурке А4 СКЕЙТ И ЧЕРЕП (П-9707) пластик</t>
  </si>
  <si>
    <t>П-9707</t>
  </si>
  <si>
    <t>4620129797078</t>
  </si>
  <si>
    <t>13 Папки детские на шнурке, А4, печать на ткани, 33,5х24х10см</t>
  </si>
  <si>
    <t>ПП-00178938</t>
  </si>
  <si>
    <t xml:space="preserve"> Папка детская на шнурке А4 КОСМОС И РАКЕТА-1 (П-1089) печать на ткани</t>
  </si>
  <si>
    <t>П-1089</t>
  </si>
  <si>
    <t>4620129710893</t>
  </si>
  <si>
    <t>ПП-00178939</t>
  </si>
  <si>
    <t xml:space="preserve"> Папка детская на шнурке А4 СКЕЛЕТ-СКЕЙТЕР-1 (П-1090) печать на ткани</t>
  </si>
  <si>
    <t>П-1090</t>
  </si>
  <si>
    <t>4620129710909</t>
  </si>
  <si>
    <t>ПП-00178941</t>
  </si>
  <si>
    <t xml:space="preserve"> Папка детская на шнурке А4 ШКОЛЬНЫЙ БУМ (П-1092) печать на ткани</t>
  </si>
  <si>
    <t>П-1092</t>
  </si>
  <si>
    <t>4620129710923</t>
  </si>
  <si>
    <t>ПП-00178940</t>
  </si>
  <si>
    <t xml:space="preserve"> Папка детская на шнурке А4 ЯРКАЯ КОШЕЧКА (П-1091) печать на ткани</t>
  </si>
  <si>
    <t>П-1091</t>
  </si>
  <si>
    <t>4620129710916</t>
  </si>
  <si>
    <t>14 Папки с ручками А4, ткань,1 отд, 2 внеш.карм, 40х28х4,5 см.</t>
  </si>
  <si>
    <t>ПП-00198763</t>
  </si>
  <si>
    <t>Папка с ручками 1отд, 2 карм, А4, CATS LOVE, синий меланж (П-0825) 40х28х4,5 см</t>
  </si>
  <si>
    <t>ПП-00198766</t>
  </si>
  <si>
    <t>Папка с ручками 1отд, 2 карм, А4, I'M CUTE, розовый меланж (П-0828) 40х28х4,5 см</t>
  </si>
  <si>
    <t>П-0828</t>
  </si>
  <si>
    <t>4670159008286</t>
  </si>
  <si>
    <t>ПП-00198765</t>
  </si>
  <si>
    <t>Папка с ручками 1отд, 2 карм, А4, PANTOMIME, бордовый меланж (П-0827) 40х28х4,5 см</t>
  </si>
  <si>
    <t>П-0827</t>
  </si>
  <si>
    <t>4670159008279</t>
  </si>
  <si>
    <t>ПП-00198764</t>
  </si>
  <si>
    <t>Папка с ручками 1отд, 2 карм, А4, SWEET RABBITS, серый меланж (П-0826) 40х28х4,5см.</t>
  </si>
  <si>
    <t>06 Папки для тетрадей</t>
  </si>
  <si>
    <t>Папки  для тетрадей на молнии сверху А5</t>
  </si>
  <si>
    <t>01 Папки для тетрадей на молнии cверху А5 (картон + пластик) 195*240*50мм</t>
  </si>
  <si>
    <t>ПП-00219115</t>
  </si>
  <si>
    <t>Папка для тетрадей на молнии сверху А5 СЕМЬЯ СОБАК (ПТ-2222) картон + пластик</t>
  </si>
  <si>
    <t>ПТ-2222</t>
  </si>
  <si>
    <t>4670159122227</t>
  </si>
  <si>
    <t>ПП-00243354</t>
  </si>
  <si>
    <t>Папки для тетрадей на молнии сверху А5 ДРАКОШИ (П-3187) картон + пластик</t>
  </si>
  <si>
    <t>П-3187</t>
  </si>
  <si>
    <t>4670159231875</t>
  </si>
  <si>
    <t>ПП-00243363</t>
  </si>
  <si>
    <t>Папки для тетрадей на молнии сверху А5 ЗАБАВНЫЙ ЛЯГУШОНОК (П-3196) картон + пластик</t>
  </si>
  <si>
    <t>П-3196</t>
  </si>
  <si>
    <t>4670159231967</t>
  </si>
  <si>
    <t>ПП-00243355</t>
  </si>
  <si>
    <t>Папки для тетрадей на молнии сверху А5 ЗВЕЗДА ФУТБОЛА (П-3188) картон + пластик</t>
  </si>
  <si>
    <t>П-3188</t>
  </si>
  <si>
    <t>4670159231882</t>
  </si>
  <si>
    <t>ПП-00243356</t>
  </si>
  <si>
    <t>Папки для тетрадей на молнии сверху А5 КОРОНА (П-3189) картон + пластик</t>
  </si>
  <si>
    <t>П-3189</t>
  </si>
  <si>
    <t>4670159231899</t>
  </si>
  <si>
    <t>ПП-00243357</t>
  </si>
  <si>
    <t>Папки для тетрадей на молнии сверху А5 КРАСНОЕ АВТО (П-3190) картон + пластик</t>
  </si>
  <si>
    <t>П-3190</t>
  </si>
  <si>
    <t>4670159231905</t>
  </si>
  <si>
    <t>ПП-00243358</t>
  </si>
  <si>
    <t>Папки для тетрадей на молнии сверху А5 КРУТАЯ ТАЧКА (П-3191) картон + пластик</t>
  </si>
  <si>
    <t>П-3191</t>
  </si>
  <si>
    <t>4670159231912</t>
  </si>
  <si>
    <t>ПП-00243359</t>
  </si>
  <si>
    <t>Папки для тетрадей на молнии сверху А5 ЛУЧШИЕ ДРУЗЬЯ (П-3192) картон + пластик</t>
  </si>
  <si>
    <t>П-3192</t>
  </si>
  <si>
    <t>4670159231929</t>
  </si>
  <si>
    <t>ПП-00243365</t>
  </si>
  <si>
    <t>Папки для тетрадей на молнии сверху А5 ПУШИСТИК (П-3148) картон + пластик</t>
  </si>
  <si>
    <t>П-3148</t>
  </si>
  <si>
    <t>4670159231981</t>
  </si>
  <si>
    <t>ПП-00243367</t>
  </si>
  <si>
    <t>Папки для тетрадей на молнии сверху А5 САМОЛЁТ-ИСТРЕБИТЕЛЬ (П-3149) картон + пластик</t>
  </si>
  <si>
    <t>П-3149</t>
  </si>
  <si>
    <t>4670159231998</t>
  </si>
  <si>
    <t>ПП-00243362</t>
  </si>
  <si>
    <t>Папки для тетрадей на молнии сверху А5 ЯРКО-КРАСНЫЙ МОТОЦИКЛ (П-3195) картон + пластик</t>
  </si>
  <si>
    <t>П-3195</t>
  </si>
  <si>
    <t>4670159231950</t>
  </si>
  <si>
    <t>Папки для тетрадей на молнии сверху А4</t>
  </si>
  <si>
    <t>01 Папки для тетрадей на молнии cверху  А4 (картон + пластик) 325*230*60мм</t>
  </si>
  <si>
    <t>ПП-00243195</t>
  </si>
  <si>
    <t>Папка для тетрадей на молнии А4 FLUID ART (ПТР-3034) картон + пластик</t>
  </si>
  <si>
    <t>ПТР-3034</t>
  </si>
  <si>
    <t>4670159230342</t>
  </si>
  <si>
    <t>ПП-00243196</t>
  </si>
  <si>
    <t>Папка для тетрадей на молнии А4 K-POP (ПТР-3035) картон + пластик</t>
  </si>
  <si>
    <t>ПТР-3035</t>
  </si>
  <si>
    <t>4670159230359</t>
  </si>
  <si>
    <t>ПП-00243197</t>
  </si>
  <si>
    <t>Папка для тетрадей на молнии А4 NO WHITE (ПТР-3036) картон + пластик</t>
  </si>
  <si>
    <t>ПТР-3036</t>
  </si>
  <si>
    <t>4670159230366</t>
  </si>
  <si>
    <t>ПП-00243201</t>
  </si>
  <si>
    <t>Папка для тетрадей на молнии А4 АВТО (ПТР-3040) картон + пластик</t>
  </si>
  <si>
    <t>ПТР-3040</t>
  </si>
  <si>
    <t>4670159230403</t>
  </si>
  <si>
    <t>ПП-00217524</t>
  </si>
  <si>
    <t>Папка для тетрадей на молнии А4 АВТОМОДА-3 (ПТ-1656) картон + пластик</t>
  </si>
  <si>
    <t>ПТ-1656</t>
  </si>
  <si>
    <t>4670159116561</t>
  </si>
  <si>
    <t>ПП-00217533</t>
  </si>
  <si>
    <t>Папка для тетрадей на молнии А4 АНИМЕ СТАЙЛ (ПТ-1662) картон + пластик</t>
  </si>
  <si>
    <t>ПТ-1662</t>
  </si>
  <si>
    <t>4670159116622</t>
  </si>
  <si>
    <t>ПП-00218123</t>
  </si>
  <si>
    <t>ПП-00217527</t>
  </si>
  <si>
    <t>Папка для тетрадей на молнии А4 ДЕВУШКА СТАЙЛ (ПТ-1658) картон + пластик</t>
  </si>
  <si>
    <t>ПТ-1658</t>
  </si>
  <si>
    <t>4670159116585</t>
  </si>
  <si>
    <t>ПП-00218120</t>
  </si>
  <si>
    <t>ПП-00243198</t>
  </si>
  <si>
    <t>Папка для тетрадей на молнии А4 ЗВЕЗДА ФУТБОЛА - 1 (ПТР-3037) картон + пластик</t>
  </si>
  <si>
    <t>ПТР-3037</t>
  </si>
  <si>
    <t>4670159230373</t>
  </si>
  <si>
    <t>ПП-00218113</t>
  </si>
  <si>
    <t>Папка для тетрадей на молнии А4 КАПИБАРА (ПТ-1659) картон + пластик</t>
  </si>
  <si>
    <t>ПТ-1659</t>
  </si>
  <si>
    <t>4670159116592</t>
  </si>
  <si>
    <t>ПП-00243199</t>
  </si>
  <si>
    <t>Папка для тетрадей на молнии А4 КРУТАЯ ТАЧКА - 1 (ПТР-3038) картон + пластик</t>
  </si>
  <si>
    <t>ПТР-3038</t>
  </si>
  <si>
    <t>4670159230380</t>
  </si>
  <si>
    <t>ПП-00243200</t>
  </si>
  <si>
    <t>Папка для тетрадей на молнии А4 МАЛЕНЬКИЙ КОРГИ - 1 (ПТР-3039) картон + пластик</t>
  </si>
  <si>
    <t>ПТР-3039</t>
  </si>
  <si>
    <t>4670159230397</t>
  </si>
  <si>
    <t>ПП-00243202</t>
  </si>
  <si>
    <t>Папка для тетрадей на молнии А4 ПУШИСТИК - 2 (ПТР-3041) картон + пластик</t>
  </si>
  <si>
    <t>ПТР-3041</t>
  </si>
  <si>
    <t>4670159230410</t>
  </si>
  <si>
    <t>ПП-00196402</t>
  </si>
  <si>
    <t>Папка для тетрадей на молнии А4 СОЛДАТ БУДУЩЕГО (ПТ-9547) картон + пластик</t>
  </si>
  <si>
    <t>ПТ-9547</t>
  </si>
  <si>
    <t>4620129795470</t>
  </si>
  <si>
    <t>ПП-00204968</t>
  </si>
  <si>
    <t>ПП-00196405</t>
  </si>
  <si>
    <t>Папка для тетрадей на молнии А4 ТУКАН МЕЛОМАН (ПТ-9550) картон + пластик</t>
  </si>
  <si>
    <t>ПТ-9550</t>
  </si>
  <si>
    <t>4620129795500</t>
  </si>
  <si>
    <t>ПП-00217531</t>
  </si>
  <si>
    <t>Папка для тетрадей на молнии А4 ФУТБОЛИСТ (ПТ-1661) картон + пластик</t>
  </si>
  <si>
    <t>ПТ-1661</t>
  </si>
  <si>
    <t>4670159116615</t>
  </si>
  <si>
    <t>02 Папки для тетрадей на молнии cверху А4, печать на ткани, 325×230×80мм</t>
  </si>
  <si>
    <t>ПП-00243524</t>
  </si>
  <si>
    <t>Папка для тетрадей на молнии сверху А4 BE BEAR (ПТ-3290) печать на ткани</t>
  </si>
  <si>
    <t>ПТ-3290</t>
  </si>
  <si>
    <t>4670159232902</t>
  </si>
  <si>
    <t>ПП-00243525</t>
  </si>
  <si>
    <t>Папка для тетрадей на молнии сверху А4 BLACK ANIME (ПТ-3291) печать на ткани</t>
  </si>
  <si>
    <t>ПТ-3291</t>
  </si>
  <si>
    <t>4670159232919</t>
  </si>
  <si>
    <t>ПП-00196474</t>
  </si>
  <si>
    <t>Папка для тетрадей на молнии сверху А4 БОЕВАЯ МАШИНА (ПТ-9607) печать на ткани</t>
  </si>
  <si>
    <t>ПТ-9607</t>
  </si>
  <si>
    <t>4620129796071</t>
  </si>
  <si>
    <t>ПП-00196477</t>
  </si>
  <si>
    <t>Папка для тетрадей на молнии сверху А4 ДРУЖЕЛЮБНАЯ ДЕВОЧКА (ПТ-9610) печать на ткани</t>
  </si>
  <si>
    <t>ПТ-9610</t>
  </si>
  <si>
    <t>4620129796101</t>
  </si>
  <si>
    <t>ПП-00217850</t>
  </si>
  <si>
    <t>Папка для тетрадей на молнии сверху А4 ДРУЖЕЛЮБНАЯ ДЕВОЧКА (ПТ-9610) печать на ткани !</t>
  </si>
  <si>
    <t>ПП-00243531</t>
  </si>
  <si>
    <t>Папка для тетрадей на молнии сверху А4 ЖЁЛТАЯ НАДПИСЬ НА ЧЁРНОМ (ПТ-3297) печать на ткани</t>
  </si>
  <si>
    <t>ПТ-3297</t>
  </si>
  <si>
    <t>4670159232971</t>
  </si>
  <si>
    <t>ПП-00217851</t>
  </si>
  <si>
    <t>Папка для тетрадей на молнии сверху А4 ЗОМБИ-ТАЧКА (ПТ-9606) печать на ткани !</t>
  </si>
  <si>
    <t>ПТ-9606</t>
  </si>
  <si>
    <t>4620129796064</t>
  </si>
  <si>
    <t>ПП-00243528</t>
  </si>
  <si>
    <t>Папка для тетрадей на молнии сверху А4 ЛУЧШИЕ ДРУЗЬЯ (ПТ-3294) печать на ткани</t>
  </si>
  <si>
    <t>ПТ-3294</t>
  </si>
  <si>
    <t>4670159232940</t>
  </si>
  <si>
    <t>ПП-00243530</t>
  </si>
  <si>
    <t>Папка для тетрадей на молнии сверху А4 МИЛИТАРИ И ИСТРЕБИТЕЛИ (ПТ-3296) печать на ткани</t>
  </si>
  <si>
    <t>ПТ-3296</t>
  </si>
  <si>
    <t>4670159232964</t>
  </si>
  <si>
    <t>ПП-00198295</t>
  </si>
  <si>
    <t>ПП-00196472</t>
  </si>
  <si>
    <t>Папка для тетрадей на молнии сверху А4 ПАРКУР (ПТ-9605) печать на ткани</t>
  </si>
  <si>
    <t>ПТ-9605</t>
  </si>
  <si>
    <t>4620129796057</t>
  </si>
  <si>
    <t>ПП-00243526</t>
  </si>
  <si>
    <t>Папка для тетрадей на молнии сверху А4 ЯРКО-КРАСНЫЙ СПОРТКАР - 1 (ПТ-3292) печать на ткани</t>
  </si>
  <si>
    <t>ПТ-3292</t>
  </si>
  <si>
    <t>4670159232926</t>
  </si>
  <si>
    <t>Папки на молнии А4, ткань, кожзам, петля, 330х260мм</t>
  </si>
  <si>
    <t>ПП-00174053</t>
  </si>
  <si>
    <t xml:space="preserve">Папка для тетрадей на молнии А4 ЛИМОННАЯ (П-8417) ткань, кожзам, петля, 330х260мм </t>
  </si>
  <si>
    <t>П-8417</t>
  </si>
  <si>
    <t>4610144884174</t>
  </si>
  <si>
    <t>ПП-00174057</t>
  </si>
  <si>
    <t xml:space="preserve">Папка для тетрадей на молнии А4 ОРАНЖЕВАЯ (П-8418) ткань, кожзам, петля, 330х260мм </t>
  </si>
  <si>
    <t>П-8418</t>
  </si>
  <si>
    <t>4610144884181</t>
  </si>
  <si>
    <t>ПП-00174050</t>
  </si>
  <si>
    <t xml:space="preserve">Папка для тетрадей на молнии А4 ХАКИ (П-8416) ткань, кожзам, петля, 330х260мм </t>
  </si>
  <si>
    <t>П-8416</t>
  </si>
  <si>
    <t>4610144884167</t>
  </si>
  <si>
    <t>Папки на молнии с клапаном А4 320х260 мм, силикон, трафаретная печать</t>
  </si>
  <si>
    <t>ПП-00153198</t>
  </si>
  <si>
    <t>Папка для тетрадей на молнии с клапаном А4 МОРСКОЙ КОНЁК-1 (П-7302) силикон, трафаретная печать</t>
  </si>
  <si>
    <t>П-7302</t>
  </si>
  <si>
    <t>4680088473024</t>
  </si>
  <si>
    <t>ПП-00153201</t>
  </si>
  <si>
    <t>Папка для тетрадей на молнии с клапаном А4 ПЧЁЛКА-1 (П-7303) силикон, трафаретная печать</t>
  </si>
  <si>
    <t>П-7303</t>
  </si>
  <si>
    <t>4680088473031</t>
  </si>
  <si>
    <t>ПП-00153196</t>
  </si>
  <si>
    <t>Папка для тетрадей на молнии с клапаном А4 СТРЕКОЗА-1 (П-7300) силикон, трафаретная печать</t>
  </si>
  <si>
    <t>П-7300</t>
  </si>
  <si>
    <t>4680088473000</t>
  </si>
  <si>
    <t>ПП-00153197</t>
  </si>
  <si>
    <t>Папка для тетрадей на молнии с клапаном А4 ЯЩЕРИЦА-1 (П-7301) силикон, трафаретная печать</t>
  </si>
  <si>
    <t>П-7301</t>
  </si>
  <si>
    <t>4680088473017</t>
  </si>
  <si>
    <t>07 Папки для труда</t>
  </si>
  <si>
    <t>ПП-00237740</t>
  </si>
  <si>
    <t>Папка для труда ЛЯГУШКИ (ПТР-1050) ткань, 325х245мм</t>
  </si>
  <si>
    <t>ПТР-1050</t>
  </si>
  <si>
    <t>4670159214502</t>
  </si>
  <si>
    <t>Папки для труда на молнии по кругу (ламинированный картон,  ткань)</t>
  </si>
  <si>
    <t>ПП-00194453</t>
  </si>
  <si>
    <t>Папка для труда на молнии по кругу  ГРАЦИОЗНЫЙ КОТИК (ПТР-8611) ламинир.картон, ткань, 340х235мм</t>
  </si>
  <si>
    <t>ПТР-8611</t>
  </si>
  <si>
    <t>4620129786119</t>
  </si>
  <si>
    <t>ПП-00226366</t>
  </si>
  <si>
    <t>ПП-00226193</t>
  </si>
  <si>
    <t>Папка для труда на молнии по кругу  СКЕЛЕТ НА СКЕЙТБОРДЕ (ПТР-8613) лам.картон, ткань, 340х235мм</t>
  </si>
  <si>
    <t>ПТР-8613</t>
  </si>
  <si>
    <t>4620129786133</t>
  </si>
  <si>
    <t>ПП-00194455</t>
  </si>
  <si>
    <t>Папка для труда на молнии по кругу  СКЕЛЕТ НА СКЕЙТБОРДЕ (ПТР-8613) ламинир.картон, ткань, 340х235мм</t>
  </si>
  <si>
    <t>ПП-00194452</t>
  </si>
  <si>
    <t>Папка для труда на молнии по кругу  ЭТО ВСЕ МЕЧТЫ (ПТР-8610) ламинир.картон, ткань, 340х235мм</t>
  </si>
  <si>
    <t>ПТР-8610</t>
  </si>
  <si>
    <t>4620129786102</t>
  </si>
  <si>
    <t>ПП-00231004</t>
  </si>
  <si>
    <t>Папки для труда на молнии по кругу с уголком (пластик), печать на откид планке 325х230х25мм</t>
  </si>
  <si>
    <t>ПП-00193617</t>
  </si>
  <si>
    <t>Папка на молнии с уголком ГОРОД ГРАФФИТИ (ПТР-8242) пластик, печать на откид планке</t>
  </si>
  <si>
    <t>ПТР-8242</t>
  </si>
  <si>
    <t>4620129782425</t>
  </si>
  <si>
    <t>ПП-00193616</t>
  </si>
  <si>
    <t>Папка на молнии с уголком ШКОЛЬНЫЕ ПРИНАДЛЕЖНОСТИ (ПТР-8241) пластик, печать на откид планке</t>
  </si>
  <si>
    <t>ПТР-8241</t>
  </si>
  <si>
    <t>4620129782418</t>
  </si>
  <si>
    <t>Папки для труда на молнии по кругу, печать на ткани, 340х235мм</t>
  </si>
  <si>
    <t>ПП-00243187</t>
  </si>
  <si>
    <t>Папка для труда на молнии по кругу ЗВЕЗДА ФУТБОЛА (ПТР-3030) печать по ткани, PP-50,340х235мм</t>
  </si>
  <si>
    <t>ПТР-3030</t>
  </si>
  <si>
    <t>4670159230304</t>
  </si>
  <si>
    <t>ПП-00243192</t>
  </si>
  <si>
    <t>Папка для труда на молнии по кругу ЗЛОЙ КОТ (ПТР-3033) печать по ткани, PP-50,340х235мм</t>
  </si>
  <si>
    <t>ПТР-3033</t>
  </si>
  <si>
    <t>4670159230335</t>
  </si>
  <si>
    <t>ПП-00243191</t>
  </si>
  <si>
    <t>Папка для труда на молнии по кругу ЛУЧШИЕ ДРУЗЬЯ (ПТР-3032) печать по ткани, PP-50,340х235мм</t>
  </si>
  <si>
    <t>ПТР-3032</t>
  </si>
  <si>
    <t>4670159230328</t>
  </si>
  <si>
    <t>Папки для труда на молнии сверху с уголком, с двумя отделениями (пластик) 325х230х750мм</t>
  </si>
  <si>
    <t>ПП-00196520</t>
  </si>
  <si>
    <t>Папка для труда на молнии сверху, с двумя отдел. ДОМАШНИЙ РОБОТ (ПТР-9629) пластик</t>
  </si>
  <si>
    <t>ПТР-9629</t>
  </si>
  <si>
    <t>4620129796293</t>
  </si>
  <si>
    <t>ПП-00196517</t>
  </si>
  <si>
    <t>Папка для труда на молнии сверху, с двумя отдел. КАВАЙНАЯ ДЕВЧОНКА - 4 (ПТР-9626) пластик</t>
  </si>
  <si>
    <t>ПТР-9626</t>
  </si>
  <si>
    <t>4620129796262</t>
  </si>
  <si>
    <t>ПП-00196516</t>
  </si>
  <si>
    <t>Папка для труда на молнии сверху, с двумя отдел. СПОРТКАР ИЗ ЯПОНИИ (ПТР-9625) пластик</t>
  </si>
  <si>
    <t>ПТР-9625</t>
  </si>
  <si>
    <t>4620129796255</t>
  </si>
  <si>
    <t>ПП-00196519</t>
  </si>
  <si>
    <t>Папка для труда на молнии сверху, с двумя отдел. ТАК МНОГО КОТИКОВ! (ПТР-9628) пластик</t>
  </si>
  <si>
    <t>ПТР-9628</t>
  </si>
  <si>
    <t>4620129796286</t>
  </si>
  <si>
    <t>ПП-00205062</t>
  </si>
  <si>
    <t>Папка для труда на молнии сверху, с двумя отдел. ШВЕДСКИЙ ГИПЕРКАР (ПТР-9624) пластик</t>
  </si>
  <si>
    <t>ПТР-9624</t>
  </si>
  <si>
    <t>4620129796248</t>
  </si>
  <si>
    <t>Папки для труда, детские, 24 х 33 см</t>
  </si>
  <si>
    <t>ПП-00177912</t>
  </si>
  <si>
    <t>Папка детская для труда МОРСКОЙ УЗОР-2 (ПТР-0456) 24х33 см</t>
  </si>
  <si>
    <t>ПТР-0456</t>
  </si>
  <si>
    <t>4620129704564</t>
  </si>
  <si>
    <t>ПП-00177911</t>
  </si>
  <si>
    <t>Папка детская для труда УЗОР С ЕДИНОРОГАМИ (ПТР-0455) 24х33 см</t>
  </si>
  <si>
    <t>ПТР-0455</t>
  </si>
  <si>
    <t>4620129704557</t>
  </si>
  <si>
    <t>08 Папки для рисунков и труда А3</t>
  </si>
  <si>
    <t>Папка-рюкзак для рисования, А3, ткань, дизайн, 49х37 см</t>
  </si>
  <si>
    <t>ПП-00214785</t>
  </si>
  <si>
    <t>Папка-рюкзак для рисования А3 FAST FOOD (П-0821) красный, 49х37см</t>
  </si>
  <si>
    <t>П-0821</t>
  </si>
  <si>
    <t>4670159008217</t>
  </si>
  <si>
    <t>Папки для рисунков и труда, А3, однотон, молния по кругу, пластик, (322х462мм), ширина дна 2,6см</t>
  </si>
  <si>
    <t>ПП-00091696</t>
  </si>
  <si>
    <t>Папка для рисунков и труда  СЕРАЯ (ПТР-3168) А3</t>
  </si>
  <si>
    <t>ПТР-3168</t>
  </si>
  <si>
    <t>4665303531680</t>
  </si>
  <si>
    <t>ПП-00217925</t>
  </si>
  <si>
    <t>Папка для рисунков и труда  СЕРАЯ (ПТР-3168) А3 (!)</t>
  </si>
  <si>
    <t>ПП-00195179</t>
  </si>
  <si>
    <t>Папка для рисунков и труда ОРАНЖЕВАЯ (ПТР-8965) А3</t>
  </si>
  <si>
    <t>ПТР-8965</t>
  </si>
  <si>
    <t>4620129789653</t>
  </si>
  <si>
    <t>ПП-00091694</t>
  </si>
  <si>
    <t>Папка для рисунков и труда СИНЯЯ (ПТР-3166) А3</t>
  </si>
  <si>
    <t>ПТР-3166</t>
  </si>
  <si>
    <t>4665303531666</t>
  </si>
  <si>
    <t>ПП-00195178</t>
  </si>
  <si>
    <t>Папка для рисунков и труда ФИОЛЕТОВАЯ (ПТР-8964) А3</t>
  </si>
  <si>
    <t>ПТР-8964</t>
  </si>
  <si>
    <t>4620129789646</t>
  </si>
  <si>
    <t>ПП-00091693</t>
  </si>
  <si>
    <t>Папка для рисунков и труда ЧЕРНАЯ (ПТР-3165) А3</t>
  </si>
  <si>
    <t>ПТР-3165</t>
  </si>
  <si>
    <t>4665303531659</t>
  </si>
  <si>
    <t>Папки для рисунков и труда, А3, с дизайном, молния сверху, пластик, ширина дна 5см</t>
  </si>
  <si>
    <t>ПП-00217963</t>
  </si>
  <si>
    <t>Папка для рисунков и труда БАЛЕРИНА В ТАНЦЕ (ПТР-1820) А3, молния сверху, пластик</t>
  </si>
  <si>
    <t>ПТР-1820</t>
  </si>
  <si>
    <t>4670159118206</t>
  </si>
  <si>
    <t>ПП-00217964</t>
  </si>
  <si>
    <t>Папка для рисунков и труда ВЗГЛЯД ТИГРА (ПТР-1821) А3, молния сверху, пластик</t>
  </si>
  <si>
    <t>ПТР-1821</t>
  </si>
  <si>
    <t>4670159118213</t>
  </si>
  <si>
    <t>ПП-00242217</t>
  </si>
  <si>
    <t>Папка для рисунков и труда ДЕВУШКА С ВЕСНУШКАМИ (ПТР-8961) А3, молния сверху, пластик !</t>
  </si>
  <si>
    <t>ПТР-8961</t>
  </si>
  <si>
    <t>4620129789615</t>
  </si>
  <si>
    <t xml:space="preserve">09 Папки художника А2 </t>
  </si>
  <si>
    <t>Папки художника А2, дизайн на кармане (660х460х50мм)</t>
  </si>
  <si>
    <t>ПП-00183447</t>
  </si>
  <si>
    <t>Папка художника А2, ПЛОЩАДЬ В РИМЕ-1 (ПХ-3276) дизайн на кармане</t>
  </si>
  <si>
    <t>ПХ-3276</t>
  </si>
  <si>
    <t>4620129732765</t>
  </si>
  <si>
    <t>ПП-00183450</t>
  </si>
  <si>
    <t>Папка художника А2, ПОП-АРТ-ПОРТРЕТ-1 (ПХ-3278) дизайн на кармане</t>
  </si>
  <si>
    <t>ПХ-3278</t>
  </si>
  <si>
    <t>4620129732789</t>
  </si>
  <si>
    <t>ПП-00183444</t>
  </si>
  <si>
    <t>Папка художника А2, ТАЧКА С ПРИНТОМ (ПХ-3275) дизайн на кармане</t>
  </si>
  <si>
    <t>ПХ-3275</t>
  </si>
  <si>
    <t>4620129732758</t>
  </si>
  <si>
    <t>ПП-00183449</t>
  </si>
  <si>
    <t>Папка художника А2, ТВОРЧЕСКИЙ БЕСПОРЯДОК-1 (ПХ-3277) дизайн на кармане</t>
  </si>
  <si>
    <t>ПХ-3277</t>
  </si>
  <si>
    <t>4620129732772</t>
  </si>
  <si>
    <t>Папки художника А2, однотонная, полиэстр (660х460х50мм)</t>
  </si>
  <si>
    <t>ПП-00182666</t>
  </si>
  <si>
    <t>Папка художника А2, КРАСНАЯ (ПХ-3063) однотонная</t>
  </si>
  <si>
    <t>ПХ-3063</t>
  </si>
  <si>
    <t>4620129730631</t>
  </si>
  <si>
    <t>ПП-00182668</t>
  </si>
  <si>
    <t>Папка художника А2, ОРАНЖЕВАЯ (ПХ-3065) однотонная</t>
  </si>
  <si>
    <t>ПХ-3065</t>
  </si>
  <si>
    <t>4620129730655</t>
  </si>
  <si>
    <t>ПП-00182667</t>
  </si>
  <si>
    <t>Папка художника А2, СИНЯЯ (ПХ-3064) однотонная</t>
  </si>
  <si>
    <t>ПХ-3064</t>
  </si>
  <si>
    <t>4620129730648</t>
  </si>
  <si>
    <t>Папки художника А2, принтованная ткань (660х460х50мм)</t>
  </si>
  <si>
    <t>ПП-00182592</t>
  </si>
  <si>
    <t>Папка художника А2, СИНИЙ НА ЧЕРНОМ (ПХ-2996) принтованная ткань</t>
  </si>
  <si>
    <t>ПХ-2996</t>
  </si>
  <si>
    <t>4620129729963</t>
  </si>
  <si>
    <t>10 Папки менеджера</t>
  </si>
  <si>
    <t>Папки и сумки менеджера ткань</t>
  </si>
  <si>
    <t>04 Папки на молнии с ручками А4, с ремнем, внут.карман, 350х265x60мм</t>
  </si>
  <si>
    <t>ПП-00238009</t>
  </si>
  <si>
    <t>Папка на молнии А4 СЕРАЯ (П-1526) с ручками, внут.карман, ремень 350х265x60мм</t>
  </si>
  <si>
    <t>П-1526</t>
  </si>
  <si>
    <t>4670159215264</t>
  </si>
  <si>
    <t>ПП-00238014</t>
  </si>
  <si>
    <t>Папка на молнии А4 СИНЯЯ (П-1529) с ручками, внут.карман, ремень 350х265x60мм</t>
  </si>
  <si>
    <t>П-1529</t>
  </si>
  <si>
    <t>4670159215295</t>
  </si>
  <si>
    <t>ПП-00238013</t>
  </si>
  <si>
    <t>Папка на молнии А4 ТЕМНО-КРАСНАЯ (П-1528) с ручками, внут.карман, ремень 350х265x60мм</t>
  </si>
  <si>
    <t>П-1528</t>
  </si>
  <si>
    <t>4670159215288</t>
  </si>
  <si>
    <t>ПП-00238011</t>
  </si>
  <si>
    <t>Папка на молнии А4 ЧЕРНАЯ (П-1527) с ручками, внут.карман, ремень 350х265x60мм</t>
  </si>
  <si>
    <t>П-1527</t>
  </si>
  <si>
    <t>4670159215271</t>
  </si>
  <si>
    <t>12 Сумки</t>
  </si>
  <si>
    <t>Сумка-шоппер кожзам</t>
  </si>
  <si>
    <t>ПП-00178752</t>
  </si>
  <si>
    <t>ПП-00178750</t>
  </si>
  <si>
    <t>ПП-00178751</t>
  </si>
  <si>
    <t>Сумка-шоппер кожзам, силик.карман</t>
  </si>
  <si>
    <t>ПП-00205067</t>
  </si>
  <si>
    <t xml:space="preserve">   Сумка-шоппер  AWESOME (СМ-1117) ПУ, 36х30 см (!)</t>
  </si>
  <si>
    <t>СМ-1117</t>
  </si>
  <si>
    <t>4620129711173</t>
  </si>
  <si>
    <t>Сумка-шоппер с дизайном</t>
  </si>
  <si>
    <t>ПП-00179026</t>
  </si>
  <si>
    <t xml:space="preserve"> Сумка-шоппер на молнии ГЕЙМ-АТРИБУТИКА (СМ-1124) текстиль, 42х35 см</t>
  </si>
  <si>
    <t>СМ-1124</t>
  </si>
  <si>
    <t>4620129711241</t>
  </si>
  <si>
    <t>Сумка-шоппер силикон</t>
  </si>
  <si>
    <t>ПП-00198172</t>
  </si>
  <si>
    <t xml:space="preserve">   Сумка-шоппер DREAM (СМ-1121) силикон, 30,5х38 см (!)</t>
  </si>
  <si>
    <t>СМ-1121</t>
  </si>
  <si>
    <t>4620129711210</t>
  </si>
  <si>
    <t>ПП-00198176</t>
  </si>
  <si>
    <t xml:space="preserve">   Сумка-шоппер КАЛЕЙДОСКОП (СМ-1118) силикон, 30,5х38 см (!)</t>
  </si>
  <si>
    <t>СМ-1118</t>
  </si>
  <si>
    <t>4620129711180</t>
  </si>
  <si>
    <t>Сумка-шоппер ткань, однотон</t>
  </si>
  <si>
    <t>ПП-00190982</t>
  </si>
  <si>
    <t>Сумка-шоппер  ЦВЕТ ЖЕЛТЫЙ (СМ-0725) на молнии, внеш, внут карм, ткань, 36х33 см !</t>
  </si>
  <si>
    <t>СМ-0725</t>
  </si>
  <si>
    <t>4620129707251</t>
  </si>
  <si>
    <t>ПП-00223233</t>
  </si>
  <si>
    <t>Сумка-шоппер БЕЖЕВЫЙ (СМ-4559) на молнии, внеш, внут карм, ткань, 36х33 см</t>
  </si>
  <si>
    <t>СМ-4559</t>
  </si>
  <si>
    <t>4670159145592</t>
  </si>
  <si>
    <t>ПП-00223234</t>
  </si>
  <si>
    <t>Сумка-шоппер РОЗОВЫЙ (СМ-4560) на молнии, внеш, внут карм, ткань, 36х33 см</t>
  </si>
  <si>
    <t>СМ-4560</t>
  </si>
  <si>
    <t>4670159145608</t>
  </si>
  <si>
    <t>Сумка-шоппер холщовая ткань</t>
  </si>
  <si>
    <t>ПП-00190978</t>
  </si>
  <si>
    <t>Сумка-шоппер КОСМИЧЕСКИЙ ДРАЙВ (СМ-0731)холщ ткань,черн,печать,подклада,внут.карм на молн,39х35см !</t>
  </si>
  <si>
    <t>СМ-0731</t>
  </si>
  <si>
    <t>4620129707312</t>
  </si>
  <si>
    <t>Сумки для бассейна</t>
  </si>
  <si>
    <t>Сумка-мешок, ткань+карман сетка, 45х35х7 см</t>
  </si>
  <si>
    <t>ПП-00198785</t>
  </si>
  <si>
    <t>Сумка-мешок, АКВАРИУМ, 2 отделения (МО-0744) 45х35х7 см</t>
  </si>
  <si>
    <t>МО-0744</t>
  </si>
  <si>
    <t>4670159008446</t>
  </si>
  <si>
    <t>ПП-00198783</t>
  </si>
  <si>
    <t>Сумка-мешок, ДУДЛИНГ, 2 отделения (МО-0742) 45х35х7 см</t>
  </si>
  <si>
    <t>МО-0742</t>
  </si>
  <si>
    <t>4670159008422</t>
  </si>
  <si>
    <t>ПП-00198782</t>
  </si>
  <si>
    <t>Сумка-мешок, КОТЫ, 2 отделения (МО-0741) 45х35х7 см</t>
  </si>
  <si>
    <t>МО-0741</t>
  </si>
  <si>
    <t>4670159008415</t>
  </si>
  <si>
    <t>ПП-00198784</t>
  </si>
  <si>
    <t>Сумка-мешок, МЯЧИ, 2 отделения (МО-0743) 45х35х7 см</t>
  </si>
  <si>
    <t>МО-0743</t>
  </si>
  <si>
    <t>4670159008439</t>
  </si>
  <si>
    <t>Сумки для доп.занятий</t>
  </si>
  <si>
    <t>Сумки на молнии для доп. занятий, А4, полиэстр, 31х36х11,7 см</t>
  </si>
  <si>
    <t>ПП-00223225</t>
  </si>
  <si>
    <t>Сумка на молнии для доп.занятий МОНСТРИКИ (СМ-4552) полиэстер, 35х13х35 см</t>
  </si>
  <si>
    <t>СМ-4552</t>
  </si>
  <si>
    <t>4670159145523</t>
  </si>
  <si>
    <t>ПП-00223223</t>
  </si>
  <si>
    <t>Сумка на молнии для доп.занятий ПРИКЛЮЧЕНИЯ ОДНОГО КОТА (СМ-4550) полиэстер, 35х13х35 см</t>
  </si>
  <si>
    <t>СМ-4550</t>
  </si>
  <si>
    <t>4670159145509</t>
  </si>
  <si>
    <t>Сумки для спорта</t>
  </si>
  <si>
    <t>Сумки для спорта, сетка</t>
  </si>
  <si>
    <t>ПП-00179034</t>
  </si>
  <si>
    <t>Сумка-мешок для сменной обуви на молнии КРАСНЫЙ МАК (СМ-1132) текстиль, 50x47x25 см</t>
  </si>
  <si>
    <t>СМ-1132</t>
  </si>
  <si>
    <t>4620129711326</t>
  </si>
  <si>
    <t>ПП-00223220</t>
  </si>
  <si>
    <t>Сумка-мешок для сменной обуви на молнии ХАКИ (СМ-4549) текстиль, 50x47x25 см</t>
  </si>
  <si>
    <t>СМ-4549</t>
  </si>
  <si>
    <t>4670159145493</t>
  </si>
  <si>
    <t>Сумки для спорта, ткань однотон</t>
  </si>
  <si>
    <t>ПП-00240039</t>
  </si>
  <si>
    <t>ТМ "O'MyBag" Сумка поясная, водонепроницаемая, черная, (СМ-2069) 14*36*7 см</t>
  </si>
  <si>
    <t>СМ-2069</t>
  </si>
  <si>
    <t>4670159220695</t>
  </si>
  <si>
    <t>ПП-00240038</t>
  </si>
  <si>
    <t>ТМ "O'MyBag" Сумка спортивная, непромокаемая, с ремнем, черная + розовая, (СМ-2068) 19*43*19 см</t>
  </si>
  <si>
    <t>СМ-2068</t>
  </si>
  <si>
    <t>4670159220688</t>
  </si>
  <si>
    <t>ПП-00240031</t>
  </si>
  <si>
    <t>ТМ "O'MyBag" Сумка тканевая спортивная, с ремнем, серая, (СМ-2063) 46*21*23 см</t>
  </si>
  <si>
    <t>СМ-2063</t>
  </si>
  <si>
    <t>4670159220633</t>
  </si>
  <si>
    <t>ПП-00240030</t>
  </si>
  <si>
    <t>ТМ "O'MyBag" Сумка тканевая спортивная, с ремнем, темно-синяя, (СМ-2062) 46*21*23 см</t>
  </si>
  <si>
    <t>СМ-2062</t>
  </si>
  <si>
    <t>4670159220626</t>
  </si>
  <si>
    <t>ПП-00240033</t>
  </si>
  <si>
    <t>ТМ "O'MyBag" Сумка тканевая спортивная, с ремнем, хаки, (СМ-2064) 46*21*23 см</t>
  </si>
  <si>
    <t>СМ-2064</t>
  </si>
  <si>
    <t>4670159220640</t>
  </si>
  <si>
    <t>14 РЮКЗАКИ, РАНЦЫ</t>
  </si>
  <si>
    <t>ДЛЯ МЛАДШЕЙ И СРЕДНЕЙ ШКОЛЫ</t>
  </si>
  <si>
    <t>ПП-00242519</t>
  </si>
  <si>
    <t>Рюкзак школьный МОНОХРОМ (РЦ-2583), значки в комплекте, 40x28x13 см</t>
  </si>
  <si>
    <t>РЦ-2583</t>
  </si>
  <si>
    <t>4670159225836</t>
  </si>
  <si>
    <t>ПП-00242517</t>
  </si>
  <si>
    <t>Рюкзак школьный РОЗОВЫЙ (РЦ-2581), значки в комплекте, 40x28x13 см</t>
  </si>
  <si>
    <t>РЦ-2581</t>
  </si>
  <si>
    <t>4670159225812</t>
  </si>
  <si>
    <t>ПП-00242518</t>
  </si>
  <si>
    <t>Рюкзак школьный ЧЕРНО-БЕЛЫЙ (РЦ-2582), значки в комплекте, 40x28x13 см</t>
  </si>
  <si>
    <t>РЦ-2582</t>
  </si>
  <si>
    <t>4670159225829</t>
  </si>
  <si>
    <t>ПП-00242515</t>
  </si>
  <si>
    <t>Школьный формованный ранец BE BEAR (РЦ-2579), значки и брелок в комплекте, 27х38х17 см</t>
  </si>
  <si>
    <t>РЦ-2579</t>
  </si>
  <si>
    <t>4670159225799</t>
  </si>
  <si>
    <t>ПП-00198795</t>
  </si>
  <si>
    <t>Школьный формованный ранец CRAZY SMILE (РЦ-0885) 27х38х17 см</t>
  </si>
  <si>
    <t>РЦ-0885</t>
  </si>
  <si>
    <t>4670159008859</t>
  </si>
  <si>
    <t>ПП-00245347</t>
  </si>
  <si>
    <t>Школьный формованный ранец ДРАЙВ, черный (РЦ-4377), брелок в комплекте, 38х23х20 см</t>
  </si>
  <si>
    <t>РЦ-4377</t>
  </si>
  <si>
    <t>4670159243779</t>
  </si>
  <si>
    <t>ПП-00198796</t>
  </si>
  <si>
    <t>Школьный формованный ранец ЗОМБИ ЕДА (РЦ-0886) 27х38х17 см</t>
  </si>
  <si>
    <t>РЦ-0886</t>
  </si>
  <si>
    <t>4670159008866</t>
  </si>
  <si>
    <t>ПП-00242513</t>
  </si>
  <si>
    <t>Школьный формованный ранец КОРОНА (РЦ-2577), значки и брелок в комплекте, 27х38х17 см</t>
  </si>
  <si>
    <t>РЦ-2577</t>
  </si>
  <si>
    <t>4670159225775</t>
  </si>
  <si>
    <t>ПП-00245348</t>
  </si>
  <si>
    <t>Школьный формованный ранец КОШЕЧКА, черный (РЦ-4378), брелок в комплекте, 38х23х20 см</t>
  </si>
  <si>
    <t>РЦ-4378</t>
  </si>
  <si>
    <t>4670159243786</t>
  </si>
  <si>
    <t>ПП-00242514</t>
  </si>
  <si>
    <t>Школьный формованный ранец КРАСНОЕ АВТО (РЦ-2578), значки и брелок в комплекте, 27х38х17 см</t>
  </si>
  <si>
    <t>РЦ-2578</t>
  </si>
  <si>
    <t>4670159225782</t>
  </si>
  <si>
    <t>ПП-00198798</t>
  </si>
  <si>
    <t>Школьный формованный ранец ПАРКУР, черный (РЦ-0894) 38х23х20</t>
  </si>
  <si>
    <t>РЦ-0894</t>
  </si>
  <si>
    <t>4670159008941</t>
  </si>
  <si>
    <t>ДЛЯ СТАРШЕЙ ШКОЛЫ И ГОРОДА</t>
  </si>
  <si>
    <t>ПП-00245346</t>
  </si>
  <si>
    <t>Рюкзак DARK FLUID (РЦ-4376) 29х14х39 см</t>
  </si>
  <si>
    <t>РЦ-4376</t>
  </si>
  <si>
    <t>4670159243762</t>
  </si>
  <si>
    <t>ПП-00245345</t>
  </si>
  <si>
    <t>Рюкзак FLUID ART (РЦ-4375) 29х14х39 см</t>
  </si>
  <si>
    <t>РЦ-4375</t>
  </si>
  <si>
    <t>4670159243755</t>
  </si>
  <si>
    <t>ПП-00242522</t>
  </si>
  <si>
    <t>Рюкзак K-POP (РЦ-2586), значки в комплекте, 29х14х39 см</t>
  </si>
  <si>
    <t>РЦ-2586</t>
  </si>
  <si>
    <t>4670159225867</t>
  </si>
  <si>
    <t>ПП-00242520</t>
  </si>
  <si>
    <t>Рюкзак NO WHITE, черный (РЦ-2584), значки в комплекте, 40х13х30 см</t>
  </si>
  <si>
    <t>РЦ-2584</t>
  </si>
  <si>
    <t>4670159225843</t>
  </si>
  <si>
    <t>ПП-00245265</t>
  </si>
  <si>
    <t>Рюкзак ГРАФФИТИ С КРАСНЫМ (РЦ-4361), значки в комплекте, 29х14х39 см</t>
  </si>
  <si>
    <t>РЦ-4361</t>
  </si>
  <si>
    <t>4670159243618</t>
  </si>
  <si>
    <t>ПП-00242521</t>
  </si>
  <si>
    <t>Рюкзак МРАМОР (РЦ-2585) 29х14х39 см</t>
  </si>
  <si>
    <t>РЦ-2585</t>
  </si>
  <si>
    <t>4670159225850</t>
  </si>
  <si>
    <t>ПП-00198792</t>
  </si>
  <si>
    <t>Рюкзак на шнурке ПУДРОВЫЙ (РЦ-0951) 27x46x15 см</t>
  </si>
  <si>
    <t>РЦ-0951</t>
  </si>
  <si>
    <t>4670159008514</t>
  </si>
  <si>
    <t>ПП-00198791</t>
  </si>
  <si>
    <t>Рюкзак на шнурке ЧЕРНЫЙ (РЦ-0950) 27x46x15 см</t>
  </si>
  <si>
    <t>РЦ-0950</t>
  </si>
  <si>
    <t>4670159008507</t>
  </si>
  <si>
    <t>ПП-00229420</t>
  </si>
  <si>
    <t xml:space="preserve">Рюкзак на шнурке, BLACK STYLE, черный (РЦ-7581) 26х40х17 см </t>
  </si>
  <si>
    <t>РЦ-7581</t>
  </si>
  <si>
    <t>4670159175810</t>
  </si>
  <si>
    <t>ПП-00198793</t>
  </si>
  <si>
    <t>Рюкзак на шнурке, АБСТРАКЦИЯ принт (РЦ-0952) 27x46x15 см</t>
  </si>
  <si>
    <t>РЦ-0952</t>
  </si>
  <si>
    <t>4670159008521</t>
  </si>
  <si>
    <t>ПП-00198790</t>
  </si>
  <si>
    <t>Рюкзак на шнурке, ВДОХНОВЕНИЕ, принт (РЦ-0949) 27x46x15 см</t>
  </si>
  <si>
    <t>РЦ-0949</t>
  </si>
  <si>
    <t>4670159008491</t>
  </si>
  <si>
    <t>ПП-00220016</t>
  </si>
  <si>
    <t>Рюкзак черный универсальный (РЦ-1644) 40х30х13см</t>
  </si>
  <si>
    <t>РЦ-1644</t>
  </si>
  <si>
    <t>4670159118817</t>
  </si>
  <si>
    <t>ПП-00220026</t>
  </si>
  <si>
    <t>Рюкзак черный универсальный (РЦ-1647) 43х32х13см</t>
  </si>
  <si>
    <t>РЦ-1647</t>
  </si>
  <si>
    <t>4670159118848</t>
  </si>
  <si>
    <t>ПП-00219749</t>
  </si>
  <si>
    <t>Рюкзак школьный СЛЕД (РЦ-1638) 45х30х13см</t>
  </si>
  <si>
    <t>РЦ-1638</t>
  </si>
  <si>
    <t>4670159116387</t>
  </si>
  <si>
    <t>ПП-00240024</t>
  </si>
  <si>
    <t>ТМ "O'MyBag" Рюкзак тканевый, водонепроницаемый, (РЦ-2059) 28*14*34 см, белый</t>
  </si>
  <si>
    <t>РЦ-2059</t>
  </si>
  <si>
    <t>4670159220596</t>
  </si>
  <si>
    <t>ПП-00240028</t>
  </si>
  <si>
    <t>ТМ "O'MyBag" Рюкзак тканевый, водонепроницаемый, (РЦ-2060)  28*14*34 см, бежевый</t>
  </si>
  <si>
    <t>РЦ-2060</t>
  </si>
  <si>
    <t>4670159220602</t>
  </si>
  <si>
    <t>ПП-00198803</t>
  </si>
  <si>
    <t>Универсальный рюкзак FLAT design (РЦ-0892) 42х30х20 см</t>
  </si>
  <si>
    <t>РЦ-0892</t>
  </si>
  <si>
    <t>4670159008927</t>
  </si>
  <si>
    <t>Туристические рюкзаки</t>
  </si>
  <si>
    <t>ПП-00220324</t>
  </si>
  <si>
    <t>Рюкзак спортивный городской (РЦ-1650) 46х32х18см</t>
  </si>
  <si>
    <t>РЦ-1650</t>
  </si>
  <si>
    <t>4670159118978</t>
  </si>
  <si>
    <t>ПП-00220325</t>
  </si>
  <si>
    <t>Рюкзак спортивный тактический (РЦ-1640) 43х30х17см, 30л</t>
  </si>
  <si>
    <t>РЦ-1640</t>
  </si>
  <si>
    <t>4670159116400</t>
  </si>
  <si>
    <t>ПП-00220031</t>
  </si>
  <si>
    <t>Рюкзак тактический ЧЕРНЫЙ (РЦ-1641) 50х32х27см</t>
  </si>
  <si>
    <t>РЦ-1641</t>
  </si>
  <si>
    <t>4670159116417</t>
  </si>
  <si>
    <t>08. Дневники школьные и для музыкальной школы</t>
  </si>
  <si>
    <t xml:space="preserve">    Дневники школьные РАСПРОДАЖА</t>
  </si>
  <si>
    <t>Дневники школьные, 40л.,универсальные,1-11 кл.</t>
  </si>
  <si>
    <t>ПП-00231571</t>
  </si>
  <si>
    <t>Дневник тв обл 1-11кл, глянц/лам, ГОЛОГРАФИЯ, 40л, Calligrata "Аниме. Коллаж" 10091283</t>
  </si>
  <si>
    <t>10091283</t>
  </si>
  <si>
    <t>6900100912835</t>
  </si>
  <si>
    <t>ПП-00231574</t>
  </si>
  <si>
    <t>Дневник тв обл 1-11кл, глянц/лам, ГОЛОГРАФИЯ, 40л, Calligrata "Северное сияние" 10091276</t>
  </si>
  <si>
    <t>10091276</t>
  </si>
  <si>
    <t>6900100912767</t>
  </si>
  <si>
    <t>Дневники школьные, 48л.,1-4 кл.</t>
  </si>
  <si>
    <t>ПП-00231590</t>
  </si>
  <si>
    <t>Дневник тв обл 1-4кл, глянц/лам, 48л, Calligrata "Аниме. Девочка" 9422394</t>
  </si>
  <si>
    <t>9422394</t>
  </si>
  <si>
    <t>6900094223948</t>
  </si>
  <si>
    <t>ПП-00231591</t>
  </si>
  <si>
    <t>Дневник тв обл 1-4кл, глянц/лам, 48л, Calligrata "Аниме. Девочки" 9422395</t>
  </si>
  <si>
    <t>9422395</t>
  </si>
  <si>
    <t>6900094223955</t>
  </si>
  <si>
    <t>ПП-00231592</t>
  </si>
  <si>
    <t>Дневник тв обл 1-4кл, глянц/лам, 48л, Calligrata "Аниме. Маленькая девочка" 9422397</t>
  </si>
  <si>
    <t>9422397</t>
  </si>
  <si>
    <t>6900094223979</t>
  </si>
  <si>
    <t>ПП-00231602</t>
  </si>
  <si>
    <t>Дневник тв обл 1-4кл, глянц/лам, 48л, Calligrata "Единорог 2" 4167733</t>
  </si>
  <si>
    <t>4167733</t>
  </si>
  <si>
    <t>6900041677336</t>
  </si>
  <si>
    <t>ПП-00231605</t>
  </si>
  <si>
    <t>Дневник тв обл 1-4кл, глянц/лам, 48л, Calligrata "Единорог" 4167773</t>
  </si>
  <si>
    <t>4167773</t>
  </si>
  <si>
    <t>6900041677732</t>
  </si>
  <si>
    <t>ПП-00231620</t>
  </si>
  <si>
    <t>Дневник тв обл 1-4кл, глянц/лам, 48л, Calligrata "Модель" 2967461</t>
  </si>
  <si>
    <t>2967461</t>
  </si>
  <si>
    <t>6900029674616</t>
  </si>
  <si>
    <t>ПП-00231622</t>
  </si>
  <si>
    <t>Дневник тв обл 1-4кл, глянц/лам, 48л, Calligrata "Пинки Кот" 4698374</t>
  </si>
  <si>
    <t>4698374</t>
  </si>
  <si>
    <t>6900046983746</t>
  </si>
  <si>
    <t>ПП-00231623</t>
  </si>
  <si>
    <t>Дневник тв обл 1-4кл, глянц/лам, 48л, Calligrata "Принцесса" 2967459</t>
  </si>
  <si>
    <t>2967459</t>
  </si>
  <si>
    <t>6900029674593</t>
  </si>
  <si>
    <t>ПП-00231631</t>
  </si>
  <si>
    <t>Дневник тв обл 1-4кл, глянц/лам, 48л, Calligrata "Снова в школу" 4698380</t>
  </si>
  <si>
    <t>4698380</t>
  </si>
  <si>
    <t>6900046983807</t>
  </si>
  <si>
    <t>ПП-00231635</t>
  </si>
  <si>
    <t>Дневник тв обл 1-4кл, глянц/лам, 48л, Calligrata "Супер-тачка" 1316846</t>
  </si>
  <si>
    <t>1316846</t>
  </si>
  <si>
    <t>6900013168466</t>
  </si>
  <si>
    <t>ПП-00231637</t>
  </si>
  <si>
    <t>Дневник тв обл 1-4кл, глянц/лам, 48л, Calligrata "Удивительное рядом!" 10091266</t>
  </si>
  <si>
    <t>10091266</t>
  </si>
  <si>
    <t>6900100912668</t>
  </si>
  <si>
    <t>ПП-00231638</t>
  </si>
  <si>
    <t>Дневник тв обл 1-4кл, глянц/лам, 48л, Calligrata "Фламинго 3" 4167731</t>
  </si>
  <si>
    <t>4167731</t>
  </si>
  <si>
    <t>6900041677312</t>
  </si>
  <si>
    <t>ПП-00231639</t>
  </si>
  <si>
    <t>Дневник тв обл 1-4кл, глянц/лам, 48л, Calligrata "Футбол новый" 4698381</t>
  </si>
  <si>
    <t>4698381</t>
  </si>
  <si>
    <t>6900046983814</t>
  </si>
  <si>
    <t>ПП-00231642</t>
  </si>
  <si>
    <t>Дневник тв обл 1-4кл, глянц/лам, 48л, Calligrata "Школа" 2967465</t>
  </si>
  <si>
    <t>2967465</t>
  </si>
  <si>
    <t>6900029674654</t>
  </si>
  <si>
    <t>ПП-00231763</t>
  </si>
  <si>
    <t>Дневник тв обл 1-4кл, глянц/лам, ГОЛОГРАФИЯ, 48л, Calligrata "Нежные мечты" 10091273</t>
  </si>
  <si>
    <t>10091273</t>
  </si>
  <si>
    <t>6900100912736</t>
  </si>
  <si>
    <t>Дневники школьные, 48л.,5-11 кл.</t>
  </si>
  <si>
    <t>ПП-00231646</t>
  </si>
  <si>
    <t>Дневник тв обл 5-11кл, глянц/лам, 48л, Calligrata "Авокадо с косточкой ПАТТЕРН" 7620131</t>
  </si>
  <si>
    <t>7620131</t>
  </si>
  <si>
    <t>6900076201315</t>
  </si>
  <si>
    <t>ПП-00231657</t>
  </si>
  <si>
    <t>Дневник тв обл 5-11кл, глянц/лам, 48л, Calligrata "Кеды на чёрном фоне" 4698420</t>
  </si>
  <si>
    <t>4698420</t>
  </si>
  <si>
    <t>6900046984200</t>
  </si>
  <si>
    <t>ПП-00231686</t>
  </si>
  <si>
    <t>Дневник тв обл 5-11кл, глянц/лам, 48л, Calligrata "Космос" 4698410</t>
  </si>
  <si>
    <t>4698410</t>
  </si>
  <si>
    <t>6900046984101</t>
  </si>
  <si>
    <t>ПП-00231690</t>
  </si>
  <si>
    <t>Дневник тв обл 5-11кл, глянц/лам, 48л, Calligrata "Котики" 4167763</t>
  </si>
  <si>
    <t>4167763</t>
  </si>
  <si>
    <t>6900041677633</t>
  </si>
  <si>
    <t>ПП-00231691</t>
  </si>
  <si>
    <t>Дневник тв обл 5-11кл, глянц/лам, 48л, Calligrata "Кошка" 2967475</t>
  </si>
  <si>
    <t>2967475</t>
  </si>
  <si>
    <t>6900029674753</t>
  </si>
  <si>
    <t>ПП-00231694</t>
  </si>
  <si>
    <t>Дневник тв обл 5-11кл, глянц/лам, 48л, Calligrata "Медведь в очках" 2967469</t>
  </si>
  <si>
    <t>2967469</t>
  </si>
  <si>
    <t>6900029674692</t>
  </si>
  <si>
    <t>ПП-00231714</t>
  </si>
  <si>
    <t>Дневник тв обл 5-11кл, глянц/лам, 48л, Calligrata "Смайл" 1319488</t>
  </si>
  <si>
    <t>1319488</t>
  </si>
  <si>
    <t>6900013194885</t>
  </si>
  <si>
    <t>ПП-00231717</t>
  </si>
  <si>
    <t>Дневник тв обл 5-11кл, глянц/лам, 48л, Calligrata "Сова" 4167766</t>
  </si>
  <si>
    <t>4167766</t>
  </si>
  <si>
    <t>6900041677664</t>
  </si>
  <si>
    <t>ПП-00231718</t>
  </si>
  <si>
    <t>Дневник тв обл 5-11кл, глянц/лам, 48л, Calligrata "Современный вайб. Будь круче!" 10091268</t>
  </si>
  <si>
    <t>10091268</t>
  </si>
  <si>
    <t>6900100912682</t>
  </si>
  <si>
    <t>ПП-00231723</t>
  </si>
  <si>
    <t>Дневник тв обл 5-11кл, глянц/лам, 48л, Calligrata "Техно эстетика" 10091313</t>
  </si>
  <si>
    <t>10091313</t>
  </si>
  <si>
    <t>6900100913139</t>
  </si>
  <si>
    <t xml:space="preserve"> Дневники школьные (скрепка, 7БЦ)</t>
  </si>
  <si>
    <t xml:space="preserve">    Дневники  школьные, НА СКРЕПКЕ, МЯГКАЯ ОБЛОЖКА, 40л. (165х205мм) для 1-11 кл., универсальные</t>
  </si>
  <si>
    <t>ПП-00195591</t>
  </si>
  <si>
    <t>Дневник  школьный 40л. АКУЛА БОСС (Д40-9115) универсальный, на скрепке, без обработки</t>
  </si>
  <si>
    <t>Д40-9115</t>
  </si>
  <si>
    <t>4620129791151</t>
  </si>
  <si>
    <t>ПП-00022269</t>
  </si>
  <si>
    <t>Дневник  школьный 40л. БЕЛЫЙ СТАНДАРТ (Д40-0495) универсальный, на скрепке, без обработки</t>
  </si>
  <si>
    <t>Д40-0495</t>
  </si>
  <si>
    <t>9785378104956</t>
  </si>
  <si>
    <t>ПП-00243926</t>
  </si>
  <si>
    <t>Дневник  школьный 40л. В СТИЛЕ АНИМЕ-3  (Д40-3840) универсальный, на скрепке, без обработки</t>
  </si>
  <si>
    <t>Д40-3840</t>
  </si>
  <si>
    <t>4670159238195</t>
  </si>
  <si>
    <t>ПП-00243927</t>
  </si>
  <si>
    <t>Дневник  школьный 40л. НЕЖНО-РОЗОВЫЙ ДНЕВНИК  (Д40-3845) универсальный, на скрепке, без обработки</t>
  </si>
  <si>
    <t>Д40-3845</t>
  </si>
  <si>
    <t>4670159238249</t>
  </si>
  <si>
    <t xml:space="preserve">    Дневники школьные, ИНТЕГРАЛЬНАЯ ОБЛОЖКА 40л.для 1-11 кл., универсальные (155х220мм)</t>
  </si>
  <si>
    <t>ПП-00265416</t>
  </si>
  <si>
    <t>Дневник школьный 40л. БЕЛЫЙ С ГЕРБОМ - 3 (Д40-9518) 1-11 классы, матовая ламин.,интегр.обложка</t>
  </si>
  <si>
    <t>Д40-9518</t>
  </si>
  <si>
    <t>4670159295181</t>
  </si>
  <si>
    <t>ПП-00116878</t>
  </si>
  <si>
    <t>Дневник школьный 40л. БЕЛЫЙ-1 (Д40-6883) 1-11 классы, матовая ламин.,интегр.обложка</t>
  </si>
  <si>
    <t>Д40-6883</t>
  </si>
  <si>
    <t>4607978068832</t>
  </si>
  <si>
    <t xml:space="preserve">   Дневники школьные, ПЕРЕПЛЁТ 7БЦ, 40л. (170х218мм) для 1-11 кл., универсальные</t>
  </si>
  <si>
    <t>ПП-00243932</t>
  </si>
  <si>
    <t>Дневник школьный 40л. MINI FRIENDS (Д40-3850) 7БЦ,глянц.лам.,универсальн.</t>
  </si>
  <si>
    <t>Д40-3850</t>
  </si>
  <si>
    <t>4670159238294</t>
  </si>
  <si>
    <t>ПП-00092502</t>
  </si>
  <si>
    <t>Дневник школьный 40л. БЕЛЫЙ (Д40-3557) 7БЦ,глянц.лам.,универсальн.</t>
  </si>
  <si>
    <t>Д40-3557</t>
  </si>
  <si>
    <t>4665303535572</t>
  </si>
  <si>
    <t>ПП-00265418</t>
  </si>
  <si>
    <t>Дневник школьный 40л. БЕЛЫЙ КОТИК - 1 (Д40-9520) 7БЦ,глянц.лам.,универсальн.</t>
  </si>
  <si>
    <t>Д40-9520</t>
  </si>
  <si>
    <t>4670159295204</t>
  </si>
  <si>
    <t>ПП-00265417</t>
  </si>
  <si>
    <t>Дневник школьный 40л. БЕЛЫЙ С ГЕРБОМ - 4 (Д40-9519) 7БЦ,глянц.лам.,универсальн.</t>
  </si>
  <si>
    <t>Д40-9519</t>
  </si>
  <si>
    <t>4670159295198</t>
  </si>
  <si>
    <t>ПП-00265430</t>
  </si>
  <si>
    <t>Дневник школьный 40л. ДИЗАЙН В ЧЁРНОМ ЦВЕТЕ - 4 (Д40-9532) 7БЦ,глянц.лам.,универсальн.</t>
  </si>
  <si>
    <t>Д40-9532</t>
  </si>
  <si>
    <t>4670159295327</t>
  </si>
  <si>
    <t>ПП-00265419</t>
  </si>
  <si>
    <t>Дневник школьный 40л. МОТОЦИКЛИСТ В ЧЁРНОМ - 1 (Д40-9521) 7БЦ,глянц.лам.,универсальн.</t>
  </si>
  <si>
    <t>Д40-9521</t>
  </si>
  <si>
    <t>4670159295211</t>
  </si>
  <si>
    <t>ПП-00265426</t>
  </si>
  <si>
    <t>Дневник школьный 40л. СЕРЫЙ КОТ - 1 (Д40-9528) 7БЦ,глянц.лам.,универсальн.</t>
  </si>
  <si>
    <t>Д40-9528</t>
  </si>
  <si>
    <t>4670159295280</t>
  </si>
  <si>
    <t>ПП-00265422</t>
  </si>
  <si>
    <t>Дневник школьный 40л. СПОРТИВНЫЙ АВТОМОБИЛЬ - 5 (Д40-9524) 7БЦ,глянц.лам.,универсальн.</t>
  </si>
  <si>
    <t>Д40-9524</t>
  </si>
  <si>
    <t>4670159295242</t>
  </si>
  <si>
    <t>ПП-00265421</t>
  </si>
  <si>
    <t>Дневник школьный 40л. ФУТБОЛЬНЫЙ МЯЧ - 23 (Д40-9523) 7БЦ,глянц.лам.,универсальн.</t>
  </si>
  <si>
    <t>Д40-9523</t>
  </si>
  <si>
    <t>4670159295235</t>
  </si>
  <si>
    <t>ПП-00265429</t>
  </si>
  <si>
    <t>Дневник школьный 40л. ФУТБОЛЬНЫЙ МЯЧ - 24 (Д40-9531) 7БЦ,глянц.лам.,универсальн.</t>
  </si>
  <si>
    <t>Д40-9531</t>
  </si>
  <si>
    <t>4670159295310</t>
  </si>
  <si>
    <t>ПП-00265428</t>
  </si>
  <si>
    <t>Дневник школьный 40л. ЧЁРНЫЙ АВТОМОБИЛЬ - 14 (Д40-9530) 7БЦ,глянц.лам.,универсальн.</t>
  </si>
  <si>
    <t>Д40-9530</t>
  </si>
  <si>
    <t>4670159295303</t>
  </si>
  <si>
    <t xml:space="preserve">  Дневники школьные, ПЕРЕПЛЕТ 7БЦ, 48л.,универсальные,глянц лам дизайн - смешные фразы-приколы+герой</t>
  </si>
  <si>
    <t>ПП-00243819</t>
  </si>
  <si>
    <t>Дневник школьный 40л. СВОБОДНО ГОВОРЮ НА ИНОСТРАННОМ (Д40-3762) 7БЦ,гл.лам.,универс.</t>
  </si>
  <si>
    <t>Д40-3762</t>
  </si>
  <si>
    <t>4670159237624</t>
  </si>
  <si>
    <t>ПП-00265435</t>
  </si>
  <si>
    <t>Дневник школьный 48л. ЗАБАВНЫЙ ДИЗАЙН НА ЧЁРНОМ - 1 (Д48-9537) 7БЦ, глянц.лам.,универс.</t>
  </si>
  <si>
    <t>Д48-9537</t>
  </si>
  <si>
    <t>4670159295372</t>
  </si>
  <si>
    <t>ПП-00265440</t>
  </si>
  <si>
    <t>Дневник школьный 48л. ЗАБАВНЫЙ ДИЗАЙН НА ЧЁРНОМ - 10 (Д48-9546) 7БЦ, с поролоном, глянц.лам.,универс</t>
  </si>
  <si>
    <t>Д48-9546</t>
  </si>
  <si>
    <t>4670159295464</t>
  </si>
  <si>
    <t>ПП-00270698</t>
  </si>
  <si>
    <t>Дневник школьный 48л. ЗАБАВНЫЙ ДИЗАЙН НА ЧЁРНОМ - 12 (Д48-0862) 7БЦ, с резинкой, глянц.лам.,универс</t>
  </si>
  <si>
    <t>Д48-0862</t>
  </si>
  <si>
    <t>4670159308621</t>
  </si>
  <si>
    <t>ПП-00265444</t>
  </si>
  <si>
    <t>Дневник школьный 48л. ЗАБАВНЫЙ ДИЗАЙН НА ЧЁРНОМ - 6 (Д48-9542) 7БЦ, с резинкой, глянц.лам.,универс.</t>
  </si>
  <si>
    <t>Д48-9542</t>
  </si>
  <si>
    <t>4670159295426</t>
  </si>
  <si>
    <t>ПП-00265445</t>
  </si>
  <si>
    <t>Дневник школьный 48л. ЗАБАВНЫЙ ДИЗАЙН НА ЧЁРНОМ - 7 (Д48-9543) 7БЦ, с резинкой, глянц.лам.,универс.</t>
  </si>
  <si>
    <t>Д48-9543</t>
  </si>
  <si>
    <t>4670159295433</t>
  </si>
  <si>
    <t>ПП-00265438</t>
  </si>
  <si>
    <t>Дневник школьный 48л. ЗАБАВНЫЙ ДИЗАЙН НА ЧЁРНОМ - 8 (Д48-9544) 7БЦ, с поролоном, глянц.лам.,универс.</t>
  </si>
  <si>
    <t>Д48-9544</t>
  </si>
  <si>
    <t>4670159295440</t>
  </si>
  <si>
    <t>ПП-00265439</t>
  </si>
  <si>
    <t>Дневник школьный 48л. ЗАБАВНЫЙ ДИЗАЙН НА ЧЁРНОМ - 9 (Д48-9545) 7БЦ, с поролоном, глянц.лам.,универс.</t>
  </si>
  <si>
    <t>Д48-9545</t>
  </si>
  <si>
    <t>4670159295457</t>
  </si>
  <si>
    <t xml:space="preserve"> Дневники школьные универсальные, 7БЦ, 40,48 л., с доп.обработками (170*218)</t>
  </si>
  <si>
    <t>Дневники школьные универсальные, 7БЦ, 40л., глянцевая ламинация, лен</t>
  </si>
  <si>
    <t>ПП-00243450</t>
  </si>
  <si>
    <t>Дневник школьный 40л. ПИКСЕЛЬНОЕ МИЛИТАРИ - 2 (Д40-3237) 7БЦ,глянц.лам.,универсальн.</t>
  </si>
  <si>
    <t>Д40-3237</t>
  </si>
  <si>
    <t>4670159232360</t>
  </si>
  <si>
    <t>Дневники школьные универсальные, 7БЦ, 40л., глянцевая ламинация, лен, 5-я краска (серебро, золото)</t>
  </si>
  <si>
    <t>ПП-00243456</t>
  </si>
  <si>
    <t xml:space="preserve"> Дневник школьный 40л. НАСЛАЖДАТЬСЯ МОМЕНТОМ (Д40-3240) универсальный,7БЦ,гл. ламинация,серебро+лен</t>
  </si>
  <si>
    <t>Д40-3240</t>
  </si>
  <si>
    <t>4670159232391</t>
  </si>
  <si>
    <t>Дневники школьные универсальные, 7БЦ, 40л., глянцевая ламинация, лен, с резинкой</t>
  </si>
  <si>
    <t>ПП-00265305</t>
  </si>
  <si>
    <t xml:space="preserve"> Дневник школьный 40л. СМЕШНОЙ КОТИК - 2 (Д40-9432) универс,7БЦ,глянц.ламинация,лен с резинкой</t>
  </si>
  <si>
    <t>Д40-9432</t>
  </si>
  <si>
    <t>4670159294320</t>
  </si>
  <si>
    <t>ПП-00265307</t>
  </si>
  <si>
    <t xml:space="preserve"> Дневник школьный 40л. ЯРКО-КРАСНЫЙ СПОРТКАР - 4 (Д40-9434) универс,7БЦ,глянц.лам.,лен с резинкой</t>
  </si>
  <si>
    <t>Д40-9434</t>
  </si>
  <si>
    <t>4670159294344</t>
  </si>
  <si>
    <t>Дневники школьные универсальные, 7БЦ, 40л., матовая ламинация, выборочный лак, с резинкой</t>
  </si>
  <si>
    <t>ПП-00265309</t>
  </si>
  <si>
    <t>Дневник школьный 40л. НЕЖНЫЙ КОТИК - 2 (Д40-9436) универс., резинка,выб.лак,мат.лам.,7БЦ</t>
  </si>
  <si>
    <t>Д40-9436</t>
  </si>
  <si>
    <t>4670159294368</t>
  </si>
  <si>
    <t>Дневники школьные универсальные, 7БЦ, 40л., матовая ламинация, глиттер</t>
  </si>
  <si>
    <t>ПП-00265378</t>
  </si>
  <si>
    <t>Дневник школьный 40л. КРАСИВАЯ БАЛЕРИНА (Д40-9490) универсал, 7БЦ, мат.ламинац. глиттер</t>
  </si>
  <si>
    <t>Д40-9490</t>
  </si>
  <si>
    <t>4670159294900</t>
  </si>
  <si>
    <t>ПП-00265379</t>
  </si>
  <si>
    <t>Дневник школьный 40л. КРАСИВЫЙ ЦВЕТОК - 1 (Д40-9491) универсал, 7БЦ, мат.ламинац. глиттер</t>
  </si>
  <si>
    <t>Д40-9491</t>
  </si>
  <si>
    <t>4670159294917</t>
  </si>
  <si>
    <t>Дневники школьные универсальные, 7БЦ, 40л., матовая ламинация, тиснение фольгой, кругление угла</t>
  </si>
  <si>
    <t>ПП-00265314</t>
  </si>
  <si>
    <t>Дневник школьный 40л. НЕЖНЫЕ ЦВЕТЫ - 20 (Д40-9443) универс.,7БЦ,мат.лам.,тиснение фольгой,круг. угл</t>
  </si>
  <si>
    <t>Д40-9443</t>
  </si>
  <si>
    <t>4670159294436</t>
  </si>
  <si>
    <t>ПП-00265315</t>
  </si>
  <si>
    <t>Дневник школьный 40л. НЕЖНЫЙ МРАМОР - 3 (Д40-9444) универс.,7БЦ,мат.лам.,тиснение фольгой,круг. угл</t>
  </si>
  <si>
    <t>Д40-9444</t>
  </si>
  <si>
    <t>4670159294443</t>
  </si>
  <si>
    <t>Дневники школьные универсальные, 7БЦ, 40л., софт-тач + выборочный лак, диз. белой краской</t>
  </si>
  <si>
    <t>ПП-00265451</t>
  </si>
  <si>
    <t>Дневник школьный 40л. ДИЗАЙН НА ЧЁРНОМ - 13 (Д40-9501) унив.,7БЦ,софт-тач+выб.лак, диз.бел краской</t>
  </si>
  <si>
    <t>Д40-9501</t>
  </si>
  <si>
    <t>4670159295532</t>
  </si>
  <si>
    <t>ПП-00265453</t>
  </si>
  <si>
    <t>Дневник школьный 40л. ДИЗАЙН НА ЧЁРНОМ - 15 (Д40-9503) унив.,7БЦ,софт-тач+выб.лак, диз.бел краской</t>
  </si>
  <si>
    <t>Д40-9503</t>
  </si>
  <si>
    <t>4670159295556</t>
  </si>
  <si>
    <t>Дневники школьные универсальные, 7БЦ, 40л., софт-тач + перламутровая фольга</t>
  </si>
  <si>
    <t>ПП-00221561</t>
  </si>
  <si>
    <t xml:space="preserve"> Дневник школьный 40л. ФИОЛЕТОВЫЕ ЦВЕТЫ -1 (Д40-3517) универс, 7БЦ, софт-тач + перламутровая фольга</t>
  </si>
  <si>
    <t>Д40-3517</t>
  </si>
  <si>
    <t>4670159135173</t>
  </si>
  <si>
    <t>Дневники школьные универсальные, 7БЦ, 40л., софт-тач + песок</t>
  </si>
  <si>
    <t>ПП-00221566</t>
  </si>
  <si>
    <t xml:space="preserve"> Дневник школьный 40л. КОТЁНОК В КРУЖКЕ - 1 (Д40-3521) универс, 7БЦ, софт-тач + песок</t>
  </si>
  <si>
    <t>Д40-3521</t>
  </si>
  <si>
    <t>4670159135210</t>
  </si>
  <si>
    <t>Дневники школьные универсальные, 7БЦ, 40л., софт-тач, мрамор</t>
  </si>
  <si>
    <t>ПП-00203700</t>
  </si>
  <si>
    <t xml:space="preserve"> Дневник школьный 40л. МРАМОР И ЦВЕТЫ - 1 (Д40-0403) универсальный,7БЦ,софт-тач, без резинки</t>
  </si>
  <si>
    <t>Д40-0403</t>
  </si>
  <si>
    <t>4670159040217</t>
  </si>
  <si>
    <t>Дневники школьные универсальные, 7БЦ, 40л./48л, софт-тач + выборочный лак</t>
  </si>
  <si>
    <t>ПП-00266710</t>
  </si>
  <si>
    <t>Дневник школьный 48л. ЛАКОНИЧНЫЙ ДИЗАЙН-1 (Д48-0041) универсальный, 7БЦ, софт-тач + выборочный лак</t>
  </si>
  <si>
    <t>Д48-0041</t>
  </si>
  <si>
    <t>4670159300410</t>
  </si>
  <si>
    <t>ПП-00266712</t>
  </si>
  <si>
    <t>Дневник школьный 48л. ЛАКОНИЧНЫЙ ДИЗАЙН-3 (Д48-0043) универсальный, 7БЦ, софт-тач + выборочный лак</t>
  </si>
  <si>
    <t>Д48-0043</t>
  </si>
  <si>
    <t>4670159300434</t>
  </si>
  <si>
    <t>Дневники школьные универсальные, 7БЦ, 48л., глянцевая ламинация, с резинкой</t>
  </si>
  <si>
    <t>ПП-00265365</t>
  </si>
  <si>
    <t>Дневник школьный 48л. БЕЛАЯ КЛАССИКА - 4 (Д48-9479) универс, 7БЦ, глянц.лам., с резинкой</t>
  </si>
  <si>
    <t>Д48-9479</t>
  </si>
  <si>
    <t>4670159294795</t>
  </si>
  <si>
    <t>Дневники школьные универсальные, 7БЦ, 48л., матовая ламинация, кругление угла</t>
  </si>
  <si>
    <t>ПП-00265376</t>
  </si>
  <si>
    <t>Дневник школьный 48л. ОТТЕНКИ СИНЕГО (Д48-9488) универс, 7БЦ, матовая ламинация, кругление угла</t>
  </si>
  <si>
    <t>Д48-9488</t>
  </si>
  <si>
    <t>4670159294887</t>
  </si>
  <si>
    <t xml:space="preserve"> Дневники школьные универсальные, скрепка,48л,матовая ламинация, лен, кругление угла, цветной форзац</t>
  </si>
  <si>
    <t>ПП-00265348</t>
  </si>
  <si>
    <t>Дневник школьный 48л. ОДНОТОННЫЙ ДИЗАЙН-5 (Д48-9471) скрепка, мат.лам,лен,кругл.угл,цв.форз</t>
  </si>
  <si>
    <t>Д48-9471</t>
  </si>
  <si>
    <t>4670159294719</t>
  </si>
  <si>
    <t>ПП-00265359</t>
  </si>
  <si>
    <t>Дневник школьный 48л. СИЛУЭТ ЦВЕТОВ (Д48-9474) скрепка, мат.лам,лен,кругл.угл,цв.форз</t>
  </si>
  <si>
    <t>Д48-9474</t>
  </si>
  <si>
    <t>4670159294740</t>
  </si>
  <si>
    <t>ПП-00265362</t>
  </si>
  <si>
    <t>Дневник школьный 48л. ТЕНЬ ЛИСТЬЕВ - 1 (Д48-9477) скрепка, мат.лам,лен,кругл.угл,цв.форз</t>
  </si>
  <si>
    <t>Д48-9477</t>
  </si>
  <si>
    <t>4670159294771</t>
  </si>
  <si>
    <t xml:space="preserve"> Дневники школьные, ПЕРЕПЛЁТ 7БЦ, 48листов. (170х218) для 1-4 (младших) кл. и 5-11 (старших) кл.</t>
  </si>
  <si>
    <t xml:space="preserve">        Дневники школьные для 1-4 (младших) классов (выбор.лак)</t>
  </si>
  <si>
    <t>ПП-00243486</t>
  </si>
  <si>
    <t>Дневник школьный 48л. ПУШИСТЫЙ КОМОК (Д48-3270) 1-4 классы, выб.лак, перепл. 7БЦ</t>
  </si>
  <si>
    <t>Д48-3270</t>
  </si>
  <si>
    <t>4670159232704</t>
  </si>
  <si>
    <t>ПП-00265459</t>
  </si>
  <si>
    <t>Дневник школьный 48л. СВЕТЯЩИЙСЯ КОТИК (Д48-9561) 1-4 классы, выб.лак, перепл. 7БЦ</t>
  </si>
  <si>
    <t>Д48-9561</t>
  </si>
  <si>
    <t>4670159295617</t>
  </si>
  <si>
    <t xml:space="preserve">        Дневники школьные для 1-4 (младших) классов (глиттер)</t>
  </si>
  <si>
    <t>ПП-00221491</t>
  </si>
  <si>
    <t>Дневник школьный 48л. ХЛОПОК И ЦВЕТЫ (Д48-3476) 1-4 классы, глиттер, перепл. 7БЦ</t>
  </si>
  <si>
    <t>Д48-3476</t>
  </si>
  <si>
    <t>4670159134763</t>
  </si>
  <si>
    <t xml:space="preserve">     Дневники школьные для 5-11 (старших) классов (глянцевая ламинация)</t>
  </si>
  <si>
    <t>ПП-00265465</t>
  </si>
  <si>
    <t>Дневник школьный 48л. ПРИРОДНЫЕ МОТИВЫ (Д48-9567) 5-11 классы, глянц.ламин., 7БЦ</t>
  </si>
  <si>
    <t>Д48-9567</t>
  </si>
  <si>
    <t>4670159295679</t>
  </si>
  <si>
    <t xml:space="preserve">    Дневники школьные для 5-11 (старших) классов (выборочный лак)</t>
  </si>
  <si>
    <t>ПП-00265330</t>
  </si>
  <si>
    <t>Дневник школьный 48л. КРАСИВЫЕ ПЕРЬЯ - 1 (Д48-9457) 5-11 классы, выборочный лак, 7БЦ</t>
  </si>
  <si>
    <t>Д48-9457</t>
  </si>
  <si>
    <t>4670159294573</t>
  </si>
  <si>
    <t>ПП-00221410</t>
  </si>
  <si>
    <t>Дневник школьный 48л. ПРИВЕТ ОТ КОТИКА (Д48-3406) 5-11 классы, выборочный лак, 7БЦ</t>
  </si>
  <si>
    <t>Д48-3406</t>
  </si>
  <si>
    <t>4670159134060</t>
  </si>
  <si>
    <t>Дневники школьные Кубанского школьника, глянцевая ламинация</t>
  </si>
  <si>
    <t>Дневник Кубанского школьника</t>
  </si>
  <si>
    <t>ПП-00200956</t>
  </si>
  <si>
    <t>Дневник кубанского школьника-2 52л. (Д52-2307) обл. 7БЦ, глян. ламинация, 1-4 классы</t>
  </si>
  <si>
    <t>Д52-2307</t>
  </si>
  <si>
    <t>4670159023074</t>
  </si>
  <si>
    <t>ПП-00032687</t>
  </si>
  <si>
    <t>Дневник кубанского школьника-3 52л. (52-3146) обл. 7БЦ, глян. ламинация, 1-4 классы</t>
  </si>
  <si>
    <t>52-3146</t>
  </si>
  <si>
    <t>4665295431463</t>
  </si>
  <si>
    <t>ПП-00204704</t>
  </si>
  <si>
    <t>Дневник кубанского школьника-5 52л. (Д52-4712) обл. 7БЦ, глян. ламинация, 1-4 классы</t>
  </si>
  <si>
    <t>Д52-4712</t>
  </si>
  <si>
    <t>4670159047124</t>
  </si>
  <si>
    <t>ПП-00204705</t>
  </si>
  <si>
    <t>Дневник кубанского школьника-6 52л. (Д52-4713) обл. 7БЦ, глян. ламинация, 1-4 классы</t>
  </si>
  <si>
    <t>Д52-4713</t>
  </si>
  <si>
    <t>4670159047131</t>
  </si>
  <si>
    <t>ПП-00204706</t>
  </si>
  <si>
    <t>Дневник кубанского школьника-7, 52л. (Д52-4714) обл. 7БЦ, глян. ламинация, 5-11 классы</t>
  </si>
  <si>
    <t>Д52-4714</t>
  </si>
  <si>
    <t>4670159047148</t>
  </si>
  <si>
    <t>ПП-00200954</t>
  </si>
  <si>
    <t>Дневник кубанского школьника, 52л. (Д52-2306) обл. 7БЦ, глян. ламинация, 5-11 классы</t>
  </si>
  <si>
    <t>Д52-2306</t>
  </si>
  <si>
    <t>4670159023067</t>
  </si>
  <si>
    <t>Дневник Кубанского школьника Без информации</t>
  </si>
  <si>
    <t>ПП-00200961</t>
  </si>
  <si>
    <t xml:space="preserve"> Дневник кубанского школьника, 48 л. (Д48-2310) обл. 7БЦ, глян. ламинация, 1-4 классы</t>
  </si>
  <si>
    <t>Д48-2310</t>
  </si>
  <si>
    <t>4670159023104</t>
  </si>
  <si>
    <t>ПП-00200965</t>
  </si>
  <si>
    <t xml:space="preserve"> Дневник кубанского школьника, 48 л. (Д48-2312) обл. 7БЦ, глян. ламинация, универсальный</t>
  </si>
  <si>
    <t>Д48-2312</t>
  </si>
  <si>
    <t>4670159023128</t>
  </si>
  <si>
    <t>Дневники школьные, ПЕРЕПЛЕТ 7БЦ, 48л.,универсальные,глянц лам +ПОДАРОК(наклейки) индивидуально в ПЭТ</t>
  </si>
  <si>
    <t>ПП-00265472</t>
  </si>
  <si>
    <t>Дневник школьный 48л. УМИРОТВОРЁННАЯ КАПИБАРА (Д48-9573) универс, гл.лам., 7БЦ + ПОДАРОК (наклейки)</t>
  </si>
  <si>
    <t>Д48-9573</t>
  </si>
  <si>
    <t>4670159295730</t>
  </si>
  <si>
    <t xml:space="preserve"> Дневники школьные ПРЕМИУМ (кожзам, ткань, крафт, ПВХ) , 48л., для 1-11 кл., с обработками</t>
  </si>
  <si>
    <t xml:space="preserve">    Дневники школьные ПРЕМИУМ (кожзам) , 48л., для 1-11 кл., цветная печать</t>
  </si>
  <si>
    <t>ПП-00202243</t>
  </si>
  <si>
    <t xml:space="preserve">    Дневник школьный 48л. АВОКАДО(Д48-3121) цв.паст.кожзам с цв.печ,ляссе, поролон, цвет форзац</t>
  </si>
  <si>
    <t>Д48-3121</t>
  </si>
  <si>
    <t>4670159031215</t>
  </si>
  <si>
    <t>ПП-00220196</t>
  </si>
  <si>
    <t xml:space="preserve"> Дневник  школьный 48л.  НЕЙРО-ДЕВУШКА  (Д48-2631) кожзам с цв.контраст.печ,ляссе,цвет форзац</t>
  </si>
  <si>
    <t>Д48-2631</t>
  </si>
  <si>
    <t>4670159126317</t>
  </si>
  <si>
    <t>ПП-00220207</t>
  </si>
  <si>
    <t xml:space="preserve"> Дневник школьный 48л.  КОФЕЙНЫЙ ВАЙБ  (Д48-2635)кож с цв.печ,с подарком в комл -брелок,фенечка</t>
  </si>
  <si>
    <t>Д48-2635</t>
  </si>
  <si>
    <t>4670159126355</t>
  </si>
  <si>
    <t>ПП-00198897</t>
  </si>
  <si>
    <t xml:space="preserve"> Дневник школьный 48л. ДИКИЙ ДУХОМ  (Д48-1063) обл кожзам с цв.печ в 2 краски,термотис,резинка</t>
  </si>
  <si>
    <t>Д48-1063</t>
  </si>
  <si>
    <t>4670159010630</t>
  </si>
  <si>
    <t>ПП-00198896</t>
  </si>
  <si>
    <t xml:space="preserve"> Дневник школьный 48л. КОТОГОРЫ  (Д48-1062) обл кожзам с цв.печ в 2 краски,термотис,резинка</t>
  </si>
  <si>
    <t>Д48-1062</t>
  </si>
  <si>
    <t>4670159010623</t>
  </si>
  <si>
    <t>ПП-00242911</t>
  </si>
  <si>
    <t>Дневник  школьный 48л. СЕРДЦА (Д48-7707) обл. кожзам с цв. печатью, поролон, цв.форз, ляссе, бел.бл</t>
  </si>
  <si>
    <t>Д48-7707</t>
  </si>
  <si>
    <t>4670159227076</t>
  </si>
  <si>
    <t>ПП-00242921</t>
  </si>
  <si>
    <t>Дневник  школьный 48л. ТЯГА К ЗНАНИЯМ (Д48-7718) обл.кожзам с цвет.печатью,ляссе,цв.форзац,бел.бл</t>
  </si>
  <si>
    <t>Д48-7718</t>
  </si>
  <si>
    <t>4670159227182</t>
  </si>
  <si>
    <t>ПП-00271063</t>
  </si>
  <si>
    <t>Дневник школьный 48л. MACRO. (Д48-0954) ляссе, кожзам, цв. форз., мягк обл.</t>
  </si>
  <si>
    <t>Д48-0954</t>
  </si>
  <si>
    <t>4670159309543</t>
  </si>
  <si>
    <t xml:space="preserve">  Дневники школьные ПРЕМИУМ (кожзам) , 48л., для 1-11 кл., комбинированная кожа </t>
  </si>
  <si>
    <t>ПП-00177838</t>
  </si>
  <si>
    <t xml:space="preserve">  Дневник школьный 48л. Термотиснение. POP ART (Д48-9904) комбинир.кожзам, отстрочка,поролон подкл</t>
  </si>
  <si>
    <t>Д48-9904</t>
  </si>
  <si>
    <t>4610144899048</t>
  </si>
  <si>
    <t>ПП-00177837</t>
  </si>
  <si>
    <t xml:space="preserve">  Дневник школьный 48л. Термотиснение. SOFTNESS (Д48-9905) комбинир.кожзам, отстрочка,поролон подкл</t>
  </si>
  <si>
    <t>Д48-9905</t>
  </si>
  <si>
    <t>4610144899055</t>
  </si>
  <si>
    <t>ПП-00242934</t>
  </si>
  <si>
    <t>Дневник школьный 48л. БУДУ УЧИТЬСЯ НА ОТЛИЧНО (Д48-7730) обл. комбинир.кожзам,поролон,ляссе,беж.блок</t>
  </si>
  <si>
    <t>Д48-7730</t>
  </si>
  <si>
    <t>4670159227304</t>
  </si>
  <si>
    <t>Дневники школьные ПРЕМИУМ (кожзам, ткань, ) , 48л., для 1-11 кл., с аппликациями</t>
  </si>
  <si>
    <t>ПП-00213430</t>
  </si>
  <si>
    <t>Дневник школьный 48л. КРОКО коричневый (Д48-6316) кожзам, аппликация кожз,поролон, беж блок.</t>
  </si>
  <si>
    <t>Д48-6316</t>
  </si>
  <si>
    <t>4670159063063</t>
  </si>
  <si>
    <t>Дневники школьные ПРЕМИУМ (кожзам) , 48л., для 1-11 кл., с термо-тиснением</t>
  </si>
  <si>
    <t>ПП-00198864</t>
  </si>
  <si>
    <t xml:space="preserve"> Дневник школьный 48л.Термотис.ГЕОМЕТРИЯ ИЛЛЮЗИЙ. БИРЮЗА(Д48-1048)инт.обл,однот.кож,шар.ручка в комп</t>
  </si>
  <si>
    <t>Д48-1048</t>
  </si>
  <si>
    <t>4670159010487</t>
  </si>
  <si>
    <t>ПП-00220154</t>
  </si>
  <si>
    <t xml:space="preserve"> Дневник школьный 48л.Термотис.ГЕОМЕТРИЯ ИЛЛЮЗИЙ. ПЕРСИКОВЫЙ (Д48-2618)инт.обл,однот.кожз,шар.руч</t>
  </si>
  <si>
    <t>Д48-2618</t>
  </si>
  <si>
    <t>4670159126188</t>
  </si>
  <si>
    <t>ПП-00271059</t>
  </si>
  <si>
    <t>Дневник школьный 48л. БАРХАТ ГРАФИТ. (Д48-0950) ляссе, кожзам, цв. форз., тиснение,  мягк обл.</t>
  </si>
  <si>
    <t>Д48-0950</t>
  </si>
  <si>
    <t>4670159309505</t>
  </si>
  <si>
    <t>ПП-00271058</t>
  </si>
  <si>
    <t>Дневник школьный 48л. БАРХАТ СЕРЫЙ. (Д48-0949) ляссе, кожзам, цв. форз.,  тиснение, мягк обл.</t>
  </si>
  <si>
    <t>Д48-0949</t>
  </si>
  <si>
    <t>4670159309499</t>
  </si>
  <si>
    <t>ПП-00242996</t>
  </si>
  <si>
    <t>Дневник школьный 48л. ГОЛУБОЙ (Д48-7787) обл. пастельный кожзам, тиснение</t>
  </si>
  <si>
    <t>Д48-7787</t>
  </si>
  <si>
    <t>4670159227878</t>
  </si>
  <si>
    <t>ПП-00242997</t>
  </si>
  <si>
    <t>Дневник школьный 48л. РОЗОВЫЙ (Д48-7788) обл. пастельный кожзам, тиснение</t>
  </si>
  <si>
    <t>Д48-7788</t>
  </si>
  <si>
    <t>4670159227885</t>
  </si>
  <si>
    <t>Дневники школьные ПРЕМИУМ (кожзам) , 48л., для 1-11 кл., с тиснением фольгой</t>
  </si>
  <si>
    <t>ПП-00271052</t>
  </si>
  <si>
    <t>Дневник школьный 48л. DARK (Д48-0943) тв. обл. кожзам с печатью, фольга, поролон,ляссе, черн. форзац</t>
  </si>
  <si>
    <t>Д48-0943</t>
  </si>
  <si>
    <t>4670159309437</t>
  </si>
  <si>
    <t>ПП-00271048</t>
  </si>
  <si>
    <t>Дневник школьный 48л. DUO COLOR - оранж-коричнев (Д48-0939) тв. обл. кожзам, фольга, поролон,ляссе</t>
  </si>
  <si>
    <t>Д48-0939</t>
  </si>
  <si>
    <t>4670159309390</t>
  </si>
  <si>
    <t>ПП-00271049</t>
  </si>
  <si>
    <t>Дневник школьный 48л. SELECTION черн-розов (Д48-0940) тв. обл. кожзам,  фольга, поролон,ляссе</t>
  </si>
  <si>
    <t>Д48-0940</t>
  </si>
  <si>
    <t>4670159309406</t>
  </si>
  <si>
    <t>Дневники для музыкальной школы</t>
  </si>
  <si>
    <t xml:space="preserve"> Дневники  для музыкальной школы на скрепке</t>
  </si>
  <si>
    <t>ПП-00195873</t>
  </si>
  <si>
    <t>Дневник для музыкальной школы 48л. ПРИШЕЛЕЦ И НАУШНИКИ (Д48-9253) на скрепке</t>
  </si>
  <si>
    <t>Д48-9253</t>
  </si>
  <si>
    <t>4620129792530</t>
  </si>
  <si>
    <t>09. Блокноты, записные книжки (скрепка, гребень)</t>
  </si>
  <si>
    <t>01. Блокноты (А4, А5, А6 и А7, ассорти в спайке/коробке)</t>
  </si>
  <si>
    <t>Блокноты А5</t>
  </si>
  <si>
    <t xml:space="preserve">      Блокноты на гребне А5 40л.СУПЕР ЭКОНОМ в сп-ассорти 20 шт,обл.- карт хром (145х205)</t>
  </si>
  <si>
    <t>ПП-00211182</t>
  </si>
  <si>
    <t>TМ"Remix"Блокнот А5 40л. ГЕОМЕТРИЧЕСКИЙ ДИЗАЙН-1 (40-7969) ассорти, на гребне,обл.-карт хром, вт бл</t>
  </si>
  <si>
    <t>40-7969</t>
  </si>
  <si>
    <t>4670159079699</t>
  </si>
  <si>
    <t xml:space="preserve">    Блокноты   на гребне А5 40л., в спайке - 2шт., обл.-цветной мелов.картон, 145х205</t>
  </si>
  <si>
    <t>ПП-00247596</t>
  </si>
  <si>
    <t>Блокнот А5 40л. ПАСТЕЛЬНЫЕ ОТТЕНКИ (Б40-5009) ассорти, на гребне, цвет.мелов.обл, блок-офсет</t>
  </si>
  <si>
    <t>Б40-5009</t>
  </si>
  <si>
    <t>4670159250098</t>
  </si>
  <si>
    <t>ПП-00269192</t>
  </si>
  <si>
    <t>Блокнот А5 40л. СИНИЙ (Б40-0324) ассорти, на гребне, цвет.мелов.обл, блок-офсет</t>
  </si>
  <si>
    <t>Б40-0324</t>
  </si>
  <si>
    <t>4670159303244</t>
  </si>
  <si>
    <t>ПП-00269191</t>
  </si>
  <si>
    <t>Блокнот А5 40л. ЧЕРНЫЙ (Б40-0323) ассорти, на гребне, цвет.мелов.обл, блок-офсет</t>
  </si>
  <si>
    <t>Б40-0323</t>
  </si>
  <si>
    <t>4670159303237</t>
  </si>
  <si>
    <t xml:space="preserve">   Блокноты на гребне А5 60л., в спайке - ассорти 16шт., обл.-цветной мелов.картон, 145х205</t>
  </si>
  <si>
    <t>ПП-00239720</t>
  </si>
  <si>
    <t>Блокнот А5 60л. ВЕЛИКАЯ АРХИТЕКТУРА (Б60-2015) ассорти, на гребне, цвет.мелов.обл, блок-офсет</t>
  </si>
  <si>
    <t>Б60-2015</t>
  </si>
  <si>
    <t>4670159220152</t>
  </si>
  <si>
    <t xml:space="preserve">   Блокноты на гребне А5, 48л, в клетку,обл кар 250г/м2,мат. лам, блок 1+1,1 стикер в компл</t>
  </si>
  <si>
    <t>ПП-00247614</t>
  </si>
  <si>
    <t>Набор блокнотов 2шт+наклейки А5 48л. ДВА ЦВЕТА - 1 (Б48-5021) греб.,обл.карт 250г/м2,мат.лам.,бл.1+1</t>
  </si>
  <si>
    <t>Б48-5021</t>
  </si>
  <si>
    <t>4670159250210</t>
  </si>
  <si>
    <t>ПП-00247613</t>
  </si>
  <si>
    <t>Набор блокнотов 2шт+наклейки А5 48л. ДВА ЦВЕТА (Б48-5020) греб, обл.карт 250г/м2, мат. лам.,бл.1+1</t>
  </si>
  <si>
    <t>Б48-5020</t>
  </si>
  <si>
    <t>4670159250203</t>
  </si>
  <si>
    <t>ПП-00247612</t>
  </si>
  <si>
    <t>Набор блокнотов 2шт+наклейки А5 48л. РОЗОВЫЕ СЕРДЕЧКИ (Б48-5019) гр,обл.карт 250г/м2, мат.лам,бл.1+1</t>
  </si>
  <si>
    <t>Б48-5019</t>
  </si>
  <si>
    <t>4670159250197</t>
  </si>
  <si>
    <t>ПП-00247611</t>
  </si>
  <si>
    <t>Набор блокнотов 2шт+наклейки СЕРЫЕ ЛИНИИ (Б48-5018) греб, обл карт. 250г/м2, мат. лам.,бл.1+1</t>
  </si>
  <si>
    <t>Б48-5018</t>
  </si>
  <si>
    <t>4670159250180</t>
  </si>
  <si>
    <t xml:space="preserve">  Блокноты на гребне А5 80л., в спайке - ассорти 12шт., обл.-цветной мелов.картон,145х205</t>
  </si>
  <si>
    <t>ПП-00211242</t>
  </si>
  <si>
    <t>Блокнот А5 80л. ДЛЯ КОНФЕРЕНЦИЙ (Б80-8058) ассорти, на гребне, цвет.мелов.обл, блок-офсе</t>
  </si>
  <si>
    <t>Б80-8058</t>
  </si>
  <si>
    <t>4670159080787</t>
  </si>
  <si>
    <t>ПП-00264396</t>
  </si>
  <si>
    <t>Блокнот А5 80л. ЗЕЛЁНЫЕ ЛИСТЬЯ - 6 (Б80-9261) ассорти, на гребне, цвет.мелов.обл, блок-офсет</t>
  </si>
  <si>
    <t>Б80-9261</t>
  </si>
  <si>
    <t>4670159292616</t>
  </si>
  <si>
    <t>ПП-00264397</t>
  </si>
  <si>
    <t>Блокнот А5 80л. УЗОРЫ МРАМОРА - 4 (Б80-9257) ассорти, на гребне, цвет.мелов.обл, блок-офсет</t>
  </si>
  <si>
    <t>Б80-9257</t>
  </si>
  <si>
    <t>4670159292579</t>
  </si>
  <si>
    <t>ПП-00264394</t>
  </si>
  <si>
    <t>Блокнот А5 80л. УЮТНЫЕ КОТИКИ - 2 (Б80-9259) ассорти, на гребне, цвет.мелов.обл, блок-офсет</t>
  </si>
  <si>
    <t>Б80-9259</t>
  </si>
  <si>
    <t>4670159292593</t>
  </si>
  <si>
    <t>ПП-00269195</t>
  </si>
  <si>
    <t>Блокнот А5 80л. ЧЕРНЫЙ (Б80-0327) ассорти, на гребне, цвет.мелов.обл, блок-офсет</t>
  </si>
  <si>
    <t>Б80-0327</t>
  </si>
  <si>
    <t>4670159303275</t>
  </si>
  <si>
    <t>ПП-00264393</t>
  </si>
  <si>
    <t>Блокнот А5 80л. ЧЁРНЫЙ ЦВЕТ - 5 (Б80-9260) ассорти, на гребне, цвет.мелов.обл, блок-офсет</t>
  </si>
  <si>
    <t>Б80-9260</t>
  </si>
  <si>
    <t>4670159292609</t>
  </si>
  <si>
    <t>Блокноты А6</t>
  </si>
  <si>
    <t xml:space="preserve">   Блокноты на гребне А6 40л. в спайке - ассорти 20шт, обл.-мелов.картон (97х145)</t>
  </si>
  <si>
    <t>ПП-00239428</t>
  </si>
  <si>
    <t>БЛОКНОТ А6 40л. на гребне K-POP IDOLS (40-1959) ассорти, цвет.мелов.обл, офсет, клетка</t>
  </si>
  <si>
    <t>40-1959</t>
  </si>
  <si>
    <t>4670159219590</t>
  </si>
  <si>
    <t>ПП-00239803</t>
  </si>
  <si>
    <t>БЛОКНОТ А6 40л. на гребне АВТО И ПРИРОДА (Б40-2054) ассорти, цвет.мелов.обл, офсет, клетка</t>
  </si>
  <si>
    <t>Б40-2054</t>
  </si>
  <si>
    <t>4670159220541</t>
  </si>
  <si>
    <t>ПП-00239799</t>
  </si>
  <si>
    <t>БЛОКНОТ А6 40л. на гребне БОЛЬШОЙ ПУШИСТЫЙ КОТ (Б40-2050) ассорти, цвет.мелов.обл, офсет, клетка</t>
  </si>
  <si>
    <t>Б40-2050</t>
  </si>
  <si>
    <t>4670159220503</t>
  </si>
  <si>
    <t>ПП-00239791</t>
  </si>
  <si>
    <t>БЛОКНОТ А6 40л. на гребне ПРЕМИАЛЬНОЕ АВТО - 1 (Б40-2049) ассорти, цвет.мелов.обл, офсет, клетка</t>
  </si>
  <si>
    <t>Б40-2049</t>
  </si>
  <si>
    <t>4670159220497</t>
  </si>
  <si>
    <t>Блокноты на гребне А6 32л., софт-тач</t>
  </si>
  <si>
    <t>ПП-00247598</t>
  </si>
  <si>
    <t>БЛОКНОТ А6 32л. на гребне КЛАССИКА NEW (Б32-5010) ассорти, софт-тач</t>
  </si>
  <si>
    <t>Б32-5010</t>
  </si>
  <si>
    <t>4670159250104</t>
  </si>
  <si>
    <t>ПП-00247602</t>
  </si>
  <si>
    <t>БЛОКНОТ А6 32л. на гребне НАДПИСИ (Б32-5011) ассорти, софт-тач</t>
  </si>
  <si>
    <t>Б32-5011</t>
  </si>
  <si>
    <t>4670159250111</t>
  </si>
  <si>
    <t>ПП-00247609</t>
  </si>
  <si>
    <t>БЛОКНОТ А6 32л. на гребне ОФИЦИАЛЬНЫЙ СТИЛЬ - 1 (Б32-5017) ассорти, софт-тач</t>
  </si>
  <si>
    <t>Б32-5017</t>
  </si>
  <si>
    <t>4670159250173</t>
  </si>
  <si>
    <t>ПП-00247605</t>
  </si>
  <si>
    <t>БЛОКНОТ А6 32л. на гребне СИЛУЭТЫ И КОМПЛИМЕНТЫ - 2 (Б32-5014) ассорти 8 диз. в спайке, софт-тач МП</t>
  </si>
  <si>
    <t>Б32-5014</t>
  </si>
  <si>
    <t>4670159250142</t>
  </si>
  <si>
    <t>Блокноты на скрепке А6 24л. в спайке - ассорти 20 шт., обл.-мелов.картон (101,5х138)</t>
  </si>
  <si>
    <t>ПП-00137295</t>
  </si>
  <si>
    <t>БЛОКНОТ А6 24л. ЧИСТАЯ СКОРОСТЬ (Б24-0518) ассорти, на скрепке, цвет.мелов.обл, блок-офсет</t>
  </si>
  <si>
    <t>Б24-0518</t>
  </si>
  <si>
    <t>4680088405186</t>
  </si>
  <si>
    <t>Блокноты А7</t>
  </si>
  <si>
    <t xml:space="preserve">      Блокноты  на гребне А7 40л. в спайке -  16шт, обл.-мелов.картон (100х65)</t>
  </si>
  <si>
    <t>ПП-00252662</t>
  </si>
  <si>
    <t>Блокнот А7 40л. на гребне ГОРОДСКИЕ СПОРТКАРЫ (Б40-6387) обл.-мел.кар, бл-офс,в клетку</t>
  </si>
  <si>
    <t>Б40-6387</t>
  </si>
  <si>
    <t>4670159263876</t>
  </si>
  <si>
    <t>ПП-00264700</t>
  </si>
  <si>
    <t>Блокнот А7 40л. на гребне ДИЗАЙН В ПОЛОСКУ (Б40-9328) обл.-мел.кар, бл-офс,в клетку</t>
  </si>
  <si>
    <t>Б40-9328</t>
  </si>
  <si>
    <t>4670159293286</t>
  </si>
  <si>
    <t>ПП-00264707</t>
  </si>
  <si>
    <t>Блокнот А7 40л. на гребне ЗАБАВНАЯ КАПИБАРА (Б40-9333) обл.-мел.кар, бл-офс,в клетку</t>
  </si>
  <si>
    <t>Б40-9333</t>
  </si>
  <si>
    <t>4670159293330</t>
  </si>
  <si>
    <t>ПП-00264692</t>
  </si>
  <si>
    <t>Блокнот А7 40л. на гребне КРАСИВЫЕ АВТОМОБИЛИ - 10 (Б40-9323) обл.-мел.кар, бл-офс,в клетку</t>
  </si>
  <si>
    <t>Б40-9323</t>
  </si>
  <si>
    <t>4670159293231</t>
  </si>
  <si>
    <t>ПП-00264689</t>
  </si>
  <si>
    <t>Блокнот А7 40л. на гребне НАРИСОВАННЫЕ КОТИКИ (Б40-9320) обл.-мел.кар, бл-офс,в клетку</t>
  </si>
  <si>
    <t>Б40-9320</t>
  </si>
  <si>
    <t>4670159293200</t>
  </si>
  <si>
    <t>ПП-00264694</t>
  </si>
  <si>
    <t>Блокнот А7 40л. на гребне РАЗНЫЕ ФУТБОЛЬНЫЕ МЯЧИ - 14 (Б40-9324) обл.-мел.кар, бл-офс,в клетку</t>
  </si>
  <si>
    <t>Б40-9324</t>
  </si>
  <si>
    <t>4670159293248</t>
  </si>
  <si>
    <t>ПП-00269202</t>
  </si>
  <si>
    <t>Блокнот А7 40л. на гребне СИНИЙ (Б40-0334) обл.-мел.кар, бл-офс,в клетку</t>
  </si>
  <si>
    <t>Б40-0334</t>
  </si>
  <si>
    <t>4670159303343</t>
  </si>
  <si>
    <t>ПП-00252657</t>
  </si>
  <si>
    <t>Блокнот А7 40л. на гребне СКАЗОЧНЫЕ ПРИНЦЕССЫ - 2 (Б40-6381) обл.-мел.кар, бл-офс,в клетку</t>
  </si>
  <si>
    <t>Б40-6381</t>
  </si>
  <si>
    <t>4670159263814</t>
  </si>
  <si>
    <t>ПП-00274711</t>
  </si>
  <si>
    <t>Блокнот А7 40л. на гребне ЧЕБУРАШКА-2 (Б40-2091) обл.-мел.кар, бл-офс,в клетку</t>
  </si>
  <si>
    <t>Б40-2091</t>
  </si>
  <si>
    <t>4670159320913</t>
  </si>
  <si>
    <t>ПП-00269201</t>
  </si>
  <si>
    <t>Блокнот А7 40л. на гребне ЧЕРНЫЙ (Б40-0333) обл.-мел.кар, бл-офс,в клетку</t>
  </si>
  <si>
    <t>Б40-0333</t>
  </si>
  <si>
    <t>4670159303336</t>
  </si>
  <si>
    <t>Блокноты на склейке/КБС А7 48л. ассорти в коробке, обл.-мелов.картон (100х65), клетка</t>
  </si>
  <si>
    <t>ПП-00266519</t>
  </si>
  <si>
    <t>БЛОКНОТ А7 48л. BLACK CAT (Б48-3003) КБС, цвет.мелов.обл, блок-офсет</t>
  </si>
  <si>
    <t>Б48-3003</t>
  </si>
  <si>
    <t>4670159300038</t>
  </si>
  <si>
    <t>ПП-00246207</t>
  </si>
  <si>
    <t>БЛОКНОТ А7 48л. БОЛЬШИЕ ПУШИСТИКИ - 1 (Б48-4707) КБС, цвет.мелов.обл, блок-офсет</t>
  </si>
  <si>
    <t>Б48-4707</t>
  </si>
  <si>
    <t>4670159247074</t>
  </si>
  <si>
    <t>ПП-00205582</t>
  </si>
  <si>
    <t>БЛОКНОТ А7 48л. ДИВНЫЕ ПОНИ (Б48-5000) КБС, цвет.мелов.обл, блок-офсет</t>
  </si>
  <si>
    <t>Б48-5000</t>
  </si>
  <si>
    <t>4670159050001</t>
  </si>
  <si>
    <t>ПП-00266520</t>
  </si>
  <si>
    <t>БЛОКНОТ А7 48л. ДИЗАЙН В ЧЁРНОМ ЦВЕТЕ - 6 (Б48-3004) КБС, цвет.мелов.обл, блок-офсет</t>
  </si>
  <si>
    <t>Б48-3004</t>
  </si>
  <si>
    <t>4670159300045</t>
  </si>
  <si>
    <t>ПП-00246211</t>
  </si>
  <si>
    <t>БЛОКНОТ А7 48л. КОТ-ПУШИСТИК - 1 (Б48-4709) КБС, цвет.мелов.обл, блок-офсет</t>
  </si>
  <si>
    <t>Б48-4709</t>
  </si>
  <si>
    <t>4670159247098</t>
  </si>
  <si>
    <t>ПП-00246202</t>
  </si>
  <si>
    <t>БЛОКНОТ А7 48л. КОТИК ДОМА - 1 (Б48-4704) КБС, цвет.мелов.обл, блок-офсет</t>
  </si>
  <si>
    <t>Б48-4704</t>
  </si>
  <si>
    <t>4670159247043</t>
  </si>
  <si>
    <t>ПП-00266527</t>
  </si>
  <si>
    <t>БЛОКНОТ А7 48л. МАЛЕНЬКИЙ КОРГИ - 2 (Б48-3010) КБС, цвет.мелов.обл, блок-офсет</t>
  </si>
  <si>
    <t>Б48-3010</t>
  </si>
  <si>
    <t>4670159300106</t>
  </si>
  <si>
    <t>ПП-00246206</t>
  </si>
  <si>
    <t>БЛОКНОТ А7 48л. МОТОСПОРТ И ГРАФФИТИ - 1 (Б48-4706) КБС, цвет.мелов.обл, блок-офсет</t>
  </si>
  <si>
    <t>Б48-4706</t>
  </si>
  <si>
    <t>4670159247067</t>
  </si>
  <si>
    <t>ПП-00266523</t>
  </si>
  <si>
    <t>БЛОКНОТ А7 48л. МОТОЦИКЛИСТ В ШЛЕМЕ - 1 (Б48-3007) КБС, цвет.мелов.обл, блок-офсет</t>
  </si>
  <si>
    <t>Б48-3007</t>
  </si>
  <si>
    <t>4670159300076</t>
  </si>
  <si>
    <t>ПП-00246212</t>
  </si>
  <si>
    <t>БЛОКНОТ А7 48л. РАЗНЫЕ АВТО - 4 (Б48-4710) КБС, цвет.мелов.обл, блок-офсет</t>
  </si>
  <si>
    <t>Б48-4710</t>
  </si>
  <si>
    <t>4670159247104</t>
  </si>
  <si>
    <t>ПП-00246197</t>
  </si>
  <si>
    <t>БЛОКНОТ А7 48л. РАЗНЫЕ АВТОМОБИЛИ - 13 (Б48-4700) КБС, цвет.мелов.обл, блок-офсет</t>
  </si>
  <si>
    <t>Б48-4700</t>
  </si>
  <si>
    <t>4670159247005</t>
  </si>
  <si>
    <t>ПП-00246209</t>
  </si>
  <si>
    <t>БЛОКНОТ А7 48л. РАЗНЫЕ ФУТБОЛЬНЫЕ МЯЧИ - 4 (Б48-4708) КБС, цвет.мелов.обл, блок-офсет</t>
  </si>
  <si>
    <t>Б48-4708</t>
  </si>
  <si>
    <t>4670159247081</t>
  </si>
  <si>
    <t>ПП-00266517</t>
  </si>
  <si>
    <t>БЛОКНОТ А7 48л. СТИЛЬНЫЕ АВТОМОБИЛИ - 2 (Б48-3001) КБС, цвет.мелов.обл, блок-офсет</t>
  </si>
  <si>
    <t>Б48-3001</t>
  </si>
  <si>
    <t>4670159300014</t>
  </si>
  <si>
    <t>ПП-00266524</t>
  </si>
  <si>
    <t>БЛОКНОТ А7 48л. ЦВЕТНЫЕ МОНСТРИКИ - 3 (Б48-3008) КБС, цвет.мелов.обл, блок-офсет</t>
  </si>
  <si>
    <t>Б48-3008</t>
  </si>
  <si>
    <t>4670159300083</t>
  </si>
  <si>
    <t>ПП-00266521</t>
  </si>
  <si>
    <t>БЛОКНОТ А7 48л. ЧЁРНЫЙ АВТОМОБИЛЬ - 16 (Б48-3005) КБС, цвет.мелов.обл, блок-офсет</t>
  </si>
  <si>
    <t>Б48-3005</t>
  </si>
  <si>
    <t>4670159300052</t>
  </si>
  <si>
    <t>ПП-00266525</t>
  </si>
  <si>
    <t>БЛОКНОТ А7 48л. ШИКАРНЫЕ АВТОМОБИЛИ - 6 (Б48-3009) КБС, цвет.мелов.обл, блок-офсет</t>
  </si>
  <si>
    <t>Б48-3009</t>
  </si>
  <si>
    <t>4670159300090</t>
  </si>
  <si>
    <t>02. Записные книжки (А4, А5, А6 и А7, ассорти в спайке/коробке)</t>
  </si>
  <si>
    <t>Записные книжки А5</t>
  </si>
  <si>
    <t>Записные книжки А5, 80л., на спирали, обл. мелов. картон</t>
  </si>
  <si>
    <t>ПП-00266531</t>
  </si>
  <si>
    <t>Записная книжка А5, 80л. МИЛЫЕ КОТЫ - 7 (ЗК80-3013) на спирали, обл. мелов. картон</t>
  </si>
  <si>
    <t>ЗК80-3013</t>
  </si>
  <si>
    <t>4670159300137</t>
  </si>
  <si>
    <t>ПП-00243755</t>
  </si>
  <si>
    <t>Записная книжка А5, 80л. Чёрный автомобиль - 2 (80-3770) на спирали, обл. мелов. картон</t>
  </si>
  <si>
    <t>80-3770</t>
  </si>
  <si>
    <t>4670159237266</t>
  </si>
  <si>
    <t>ПП-00243761</t>
  </si>
  <si>
    <t>Записная книжка А5, 80л. Яркие гранаты (80-3776) на спирали, обл. мелов. картон</t>
  </si>
  <si>
    <t>80-3776</t>
  </si>
  <si>
    <t>4670159237327</t>
  </si>
  <si>
    <t>Записные книжки А6</t>
  </si>
  <si>
    <t xml:space="preserve">  Записные книжки СЕРИЯ "ТУМАН" 48л. (158х158) пластиковая обложка, цв.спираль</t>
  </si>
  <si>
    <t>ПП-00227856</t>
  </si>
  <si>
    <t>Записная книжка 158х158, 48л. КОНЬ В ТУМАНЕ (48-6901) пластиковая обложка, цв.спираль</t>
  </si>
  <si>
    <t>48-6901</t>
  </si>
  <si>
    <t>4670159169512</t>
  </si>
  <si>
    <t xml:space="preserve"> Записные   книжки А6,  80л., на гребне, цветн. мелов. обл.</t>
  </si>
  <si>
    <t>ПП-00256789</t>
  </si>
  <si>
    <t>Записная книжка А6, 80л. НАРИСОВАННЫЕ ДЕВУШКИ (80-7222) на гребне, цветн. мелов. обл.</t>
  </si>
  <si>
    <t>80-7222</t>
  </si>
  <si>
    <t>4670159272229</t>
  </si>
  <si>
    <t xml:space="preserve"> Записные   книжки А6, 120л., на гребне, цветн. мелов. обл.</t>
  </si>
  <si>
    <t>ПП-00266545</t>
  </si>
  <si>
    <t>Записная книжка А6, 120л. РАЗНЫЕ ФУТБОЛЬНЫЕ МЯЧИ - 15 (ЗК120-3026) на гребне, цветн. мелов. обл.</t>
  </si>
  <si>
    <t>ЗК120-3026</t>
  </si>
  <si>
    <t>4670159300267</t>
  </si>
  <si>
    <t>Записные книжки А6, 80л., на спирали, обл. мелов. картон</t>
  </si>
  <si>
    <t>ПП-00270470</t>
  </si>
  <si>
    <t>Записная книжка А6 80л. БЕЗ КОММЕНТАРИЕВ (ЗК80-0745) цветная спираль</t>
  </si>
  <si>
    <t>ЗК80-0745</t>
  </si>
  <si>
    <t>4670159307457</t>
  </si>
  <si>
    <t>ПП-00270480</t>
  </si>
  <si>
    <t>Записная книжка А6 80л. В ДУШЕ ПИТЕР (ЗК80-0755) цветная спираль</t>
  </si>
  <si>
    <t>ЗК80-0755</t>
  </si>
  <si>
    <t>4670159307556</t>
  </si>
  <si>
    <t>ПП-00243784</t>
  </si>
  <si>
    <t>Записная книжка А6 80л. В твою пользу (80-3711) цветная спираль</t>
  </si>
  <si>
    <t>80-3711</t>
  </si>
  <si>
    <t>4670159237518</t>
  </si>
  <si>
    <t>ПП-00270477</t>
  </si>
  <si>
    <t>Записная книжка А6 80л. ВОЛШЕБНАЯ УЛИЦА (ЗК80-0752) цветная спираль</t>
  </si>
  <si>
    <t>ЗК80-0752</t>
  </si>
  <si>
    <t>4670159307525</t>
  </si>
  <si>
    <t>ПП-00243778</t>
  </si>
  <si>
    <t>Записная книжка А6 80л. Девушка и змея (80-3705) цветная спираль</t>
  </si>
  <si>
    <t>80-3705</t>
  </si>
  <si>
    <t>4670159237457</t>
  </si>
  <si>
    <t>ПП-00270469</t>
  </si>
  <si>
    <t>Записная книжка А6 80л. ЖЁЛТЫЙ АВТОМОБИЛЬ - 4 (ЗК80-0744) цветная спираль</t>
  </si>
  <si>
    <t>ЗК80-0744</t>
  </si>
  <si>
    <t>4670159307440</t>
  </si>
  <si>
    <t>ПП-00270474</t>
  </si>
  <si>
    <t>Записная книжка А6 80л. КРАСИВАЯ ПРИРОДА - 7 (ЗК80-0749) цветная спираль</t>
  </si>
  <si>
    <t>ЗК80-0749</t>
  </si>
  <si>
    <t>4670159307495</t>
  </si>
  <si>
    <t>ПП-00270478</t>
  </si>
  <si>
    <t>Записная книжка А6 80л. КРАСИВЫЙ КОТ - 2 (ЗК80-0753) цветная спираль</t>
  </si>
  <si>
    <t>ЗК80-0753</t>
  </si>
  <si>
    <t>4670159307532</t>
  </si>
  <si>
    <t>ПП-00270476</t>
  </si>
  <si>
    <t>Записная книжка А6 80л. МИЛЫЙ КОТИК - 9 (ЗК80-0751) цветная спираль</t>
  </si>
  <si>
    <t>ЗК80-0751</t>
  </si>
  <si>
    <t>4670159307518</t>
  </si>
  <si>
    <t>ПП-00270475</t>
  </si>
  <si>
    <t>Записная книжка А6 80л. НЕЖНЫЙ ДИЗАЙН - 1 (ЗК80-0750) цветная спираль</t>
  </si>
  <si>
    <t>ЗК80-0750</t>
  </si>
  <si>
    <t>4670159307501</t>
  </si>
  <si>
    <t>ПП-00243772</t>
  </si>
  <si>
    <t>Записная книжка А6 80л. Сделай шаг (80-3702) цветная спираль</t>
  </si>
  <si>
    <t>80-3702</t>
  </si>
  <si>
    <t>4670159237426</t>
  </si>
  <si>
    <t>ПП-00270471</t>
  </si>
  <si>
    <t>Записная книжка А6 80л. ТЁМНО-СИНИЙ ЦВЕТ - 2 (ЗК80-0746) цветная спираль</t>
  </si>
  <si>
    <t>ЗК80-0746</t>
  </si>
  <si>
    <t>4670159307464</t>
  </si>
  <si>
    <t>ПП-00270473</t>
  </si>
  <si>
    <t>Записная книжка А6 80л. ФУТБОЛЬНЫЙ МЯЧ - 35 (ЗК80-0748) цветная спираль</t>
  </si>
  <si>
    <t>ЗК80-0748</t>
  </si>
  <si>
    <t>4670159307488</t>
  </si>
  <si>
    <t>ПП-00270479</t>
  </si>
  <si>
    <t>Записная книжка А6 80л. ЧЁРНЫЙ АВТОМОБИЛЬ - 18 (ЗК80-0754) цветная спираль</t>
  </si>
  <si>
    <t>ЗК80-0754</t>
  </si>
  <si>
    <t>4670159307549</t>
  </si>
  <si>
    <t>ПП-00270472</t>
  </si>
  <si>
    <t>Записная книжка А6 80л. ЧЁРНЫЙ ЦВЕТ - 15 (ЗК80-0747) цветная спираль</t>
  </si>
  <si>
    <t>ЗК80-0747</t>
  </si>
  <si>
    <t>4670159307471</t>
  </si>
  <si>
    <t>10. Записные книжки, бизнес-блокноты</t>
  </si>
  <si>
    <t>01. Записные книжки (твёрдый переплёт, А4, А5, А6 и А7)</t>
  </si>
  <si>
    <t>01 Записные книги А4</t>
  </si>
  <si>
    <t xml:space="preserve"> TМ"Remix"Записные книги А4, 80л. СУПЕР-ЭКОНОМ (204х298)</t>
  </si>
  <si>
    <t>ПП-00236809</t>
  </si>
  <si>
    <t>TМ"Remix"Записная книжка А4, 80л. НЕБОСКРЁБЫ В ТУМАНЕ (Б80-0853) (7БЦ, второй блок)</t>
  </si>
  <si>
    <t>Б80-0853</t>
  </si>
  <si>
    <t>4670159208532</t>
  </si>
  <si>
    <t>ПП-00236810</t>
  </si>
  <si>
    <t>TМ"Remix"Записная книжка А4, 80л. ТАЁЖНЫЙ ПЕЙЗАЖ (Б80-0854) (7БЦ, второй блок)</t>
  </si>
  <si>
    <t>Б80-0854</t>
  </si>
  <si>
    <t>4670159208549</t>
  </si>
  <si>
    <t>Записные книги А4, 80л. (204х298)</t>
  </si>
  <si>
    <t>ПП-00236811</t>
  </si>
  <si>
    <t>ЗАПИСНАЯ КНИГА А4 80л. БЕЖЕВЫЙ ТОН (Б80-0855) перепл. 7БЦ, глянц.ламинация</t>
  </si>
  <si>
    <t>Б80-0855</t>
  </si>
  <si>
    <t>4670159208556</t>
  </si>
  <si>
    <t>ПП-00264400</t>
  </si>
  <si>
    <t>ЗАПИСНАЯ КНИГА А4 80л. ОДНОТОННЫЙ МИНИМАЛИЗМ (80-9261) перепл. 7БЦ, глянц.ламинация</t>
  </si>
  <si>
    <t>80-9261</t>
  </si>
  <si>
    <t>4670159292630</t>
  </si>
  <si>
    <t>ПП-00264399</t>
  </si>
  <si>
    <t>ЗАПИСНАЯ КНИГА А4 80л. ЧЁРНЫЙ ЦВЕТ - 6 (80-9260) перепл. 7БЦ, глянц.ламинация</t>
  </si>
  <si>
    <t>80-9260</t>
  </si>
  <si>
    <t>4670159292623</t>
  </si>
  <si>
    <t>Записные книги А4, 96л. (202х298)</t>
  </si>
  <si>
    <t>ПП-00236814</t>
  </si>
  <si>
    <t>ЗАПИСНАЯ КНИГА А4 96л. ГОРЫ В ТУМАНЕ (Б96-0858) перепл. 7БЦ, глянц.ламинация</t>
  </si>
  <si>
    <t>Б96-0858</t>
  </si>
  <si>
    <t>4670159208587</t>
  </si>
  <si>
    <t>ПП-00264402</t>
  </si>
  <si>
    <t>ЗАПИСНАЯ КНИГА А4 96л. ГРАФИТ - 1 (96-9265) перепл. 7БЦ, глянц.ламинация</t>
  </si>
  <si>
    <t>96-9265</t>
  </si>
  <si>
    <t>4670159292654</t>
  </si>
  <si>
    <t>ПП-00187824</t>
  </si>
  <si>
    <t>ЗАПИСНАЯ КНИГА А4 96л. НЕБОСКРЕБЫ В ЛУЧАХ (96-5758) перепл. 7БЦ, глянц.ламинация</t>
  </si>
  <si>
    <t>96-5758</t>
  </si>
  <si>
    <t>4620129757584</t>
  </si>
  <si>
    <t>ПП-00264401</t>
  </si>
  <si>
    <t>ЗАПИСНАЯ КНИГА А4 96л. ЧЁРНЫЙ ЦВЕТ - 7 (96-9264) перепл. 7БЦ, глянц.ламинация</t>
  </si>
  <si>
    <t>96-9264</t>
  </si>
  <si>
    <t>4670159292647</t>
  </si>
  <si>
    <t>Записные книги А4,120л. (204х298)</t>
  </si>
  <si>
    <t>ПП-00236817</t>
  </si>
  <si>
    <t>ЗАПИСНАЯ КНИГА А4 120л. ГЕРБ РОССИИ НА ТЁМНОМ ФОНЕ (Б120-0860) (перепл. 7БЦ, глянц.ламинация)</t>
  </si>
  <si>
    <t>Б120-0860</t>
  </si>
  <si>
    <t>4670159208600</t>
  </si>
  <si>
    <t>ПП-00236816</t>
  </si>
  <si>
    <t>ЗАПИСНАЯ КНИГА А4 120л. МРАМОРНЫЙ УЗОР (Б120-0859) (перепл. 7БЦ, глянц.ламинация)</t>
  </si>
  <si>
    <t>Б120-0859</t>
  </si>
  <si>
    <t>4670159208594</t>
  </si>
  <si>
    <t>ПП-00264405</t>
  </si>
  <si>
    <t>ЗАПИСНАЯ КНИГА А4 120л. ТЁМНО-СИНИЙ ЦВЕТ - 1 (120-9267) (перепл. 7БЦ, глянц.ламинация)</t>
  </si>
  <si>
    <t>120-9267</t>
  </si>
  <si>
    <t>4670159292678</t>
  </si>
  <si>
    <t>ПП-00264403</t>
  </si>
  <si>
    <t>ЗАПИСНАЯ КНИГА А4 120л. ЧЁРНЫЙ ЦВЕТ - 8 (120-9266) (перепл. 7БЦ, глянц.ламинация)</t>
  </si>
  <si>
    <t>120-9266</t>
  </si>
  <si>
    <t>4670159292661</t>
  </si>
  <si>
    <t>ПП-00209145</t>
  </si>
  <si>
    <t>ЗАПИСНАЯ КНИГА А4 120л. ЭСТЕТИКА ЧЁРНОГО - 1 (120-6747) (перепл. 7БЦ, глянц.ламинация)</t>
  </si>
  <si>
    <t>120-6747</t>
  </si>
  <si>
    <t>4670159067474</t>
  </si>
  <si>
    <t>Записные книги А4,160л. (202х298)</t>
  </si>
  <si>
    <t>ПП-00213974</t>
  </si>
  <si>
    <t>ЗАПИСНАЯ КНИГА А4 160л. ВОЛНЫ У БЕРЕГА (160-9597) (перепл. 7БЦ, глянц.ламинация)</t>
  </si>
  <si>
    <t>160-9597</t>
  </si>
  <si>
    <t>4670159095972</t>
  </si>
  <si>
    <t>ПП-00213973</t>
  </si>
  <si>
    <t>ЗАПИСНАЯ КНИГА А4 160л. ВЫСОТКИ МЕГАПОЛИСА - 1 (160-9596) (перепл. 7БЦ, глянц.ламинация)</t>
  </si>
  <si>
    <t>160-9596</t>
  </si>
  <si>
    <t>4670159095965</t>
  </si>
  <si>
    <t>ПП-00187832</t>
  </si>
  <si>
    <t>ЗАПИСНАЯ КНИГА А4 160л. ИДЕАЛЬНЫЙ ОФИС-6 (160-5763) (перепл. 7БЦ, глянц.ламинация)</t>
  </si>
  <si>
    <t>160-5763</t>
  </si>
  <si>
    <t>4620129757638</t>
  </si>
  <si>
    <t>ПП-00264407</t>
  </si>
  <si>
    <t>ЗАПИСНАЯ КНИГА А4 160л. КЛАССИЧЕСКИЙ СЕРЫЙ - 1 (160-9269) (перепл. 7БЦ, глянц.ламинация)</t>
  </si>
  <si>
    <t>160-9269</t>
  </si>
  <si>
    <t>4670159292692</t>
  </si>
  <si>
    <t>ПП-00236818</t>
  </si>
  <si>
    <t>ЗАПИСНАЯ КНИГА А4 160л. СИНИЙ И ФИОЛЕТОВЫЙ МРАМОР (Б160-0861) (перепл. 7БЦ, глянц.ламинация)</t>
  </si>
  <si>
    <t>Б160-0861</t>
  </si>
  <si>
    <t>4670159208617</t>
  </si>
  <si>
    <t>ПП-00264406</t>
  </si>
  <si>
    <t>ЗАПИСНАЯ КНИГА А4 160л. ЧЁРНЫЙ ЦВЕТ - 9 (160-9268) (перепл. 7БЦ, глянц.ламинация)</t>
  </si>
  <si>
    <t>160-9268</t>
  </si>
  <si>
    <t>4670159292685</t>
  </si>
  <si>
    <t>Записные книги А4,200л. (202х298)</t>
  </si>
  <si>
    <t>ПП-00209147</t>
  </si>
  <si>
    <t>ЗАПИСНАЯ КНИГА А4 200л. ГЕОМЕТРИЧЕСКИЕ ФИГУРЫ - 2 (200-6749) перепл. 7БЦ, глянц.ламинация</t>
  </si>
  <si>
    <t>200-6749</t>
  </si>
  <si>
    <t>4670159067498</t>
  </si>
  <si>
    <t>ПП-00187838</t>
  </si>
  <si>
    <t>ЗАПИСНАЯ КНИГА А4 200л. УЩЕЛЬЕ В ЛЕСУ (200-5765) перепл. 7БЦ, глянц.ламинация</t>
  </si>
  <si>
    <t>200-5765</t>
  </si>
  <si>
    <t>4620129757652</t>
  </si>
  <si>
    <t>ПП-00272580</t>
  </si>
  <si>
    <t>ЗАПИСНАЯ КНИГА А4 200л. ЧЁРНЫЙ-2 (ЗК200-1497) перепл. 7БЦ, глянц.ламинация</t>
  </si>
  <si>
    <t>ЗК200-1497</t>
  </si>
  <si>
    <t>4670159314974</t>
  </si>
  <si>
    <t>02 Записные книжки А5</t>
  </si>
  <si>
    <t>03 Записные книжки  А5, 80л. (145х205) (глянцевая ламинация)</t>
  </si>
  <si>
    <t>ПП-00238334</t>
  </si>
  <si>
    <t xml:space="preserve"> ЗАПИСНАЯ КНИЖКА. А5 80л., K-POP IDOLS (80-1692) (перепл. 7БЦ, глянц.лам., цвет.мелов.обл.)</t>
  </si>
  <si>
    <t>80-1692</t>
  </si>
  <si>
    <t>4670159216926</t>
  </si>
  <si>
    <t>ПП-00238847</t>
  </si>
  <si>
    <t xml:space="preserve"> ЗАПИСНАЯ КНИЖКА. А5 80л., K-POP IDOLS (80-1692) (перепл. 7БЦ, глянц.лам., цвет.мелов.обл.) (!)</t>
  </si>
  <si>
    <t>ПП-00262961</t>
  </si>
  <si>
    <t xml:space="preserve"> ЗАПИСНАЯ КНИЖКА. А5 80л., АВТО-11 (80-9073) (перепл. 7БЦ, глянц.лам., цвет.мелов.обл.)</t>
  </si>
  <si>
    <t>80-9073</t>
  </si>
  <si>
    <t>4670159290698</t>
  </si>
  <si>
    <t>ПП-00221944</t>
  </si>
  <si>
    <t xml:space="preserve"> ЗАПИСНАЯ КНИЖКА. А5 80л., ОЧАРОВАТЕЛЬНАЯ КАПИБАРА (48-3664) (перепл. 7БЦ, глянц.лам,цвет.мелов.обл)</t>
  </si>
  <si>
    <t>48-3664</t>
  </si>
  <si>
    <t>4670159136644</t>
  </si>
  <si>
    <t>ПП-00262962</t>
  </si>
  <si>
    <t xml:space="preserve"> ЗАПИСНАЯ КНИЖКА. А5 80л., ЧЁРНЫЙ ЦВЕТ - 1 (80-9074) (перепл. 7БЦ, глянц.лам., цвет.мелов.обл.)</t>
  </si>
  <si>
    <t>80-9074</t>
  </si>
  <si>
    <t>4670159290704</t>
  </si>
  <si>
    <t>ПП-00265234</t>
  </si>
  <si>
    <t>ЗАПИСНАЯ КНИЖКА. А5 80л., ЗАБАВНЫЙ ЧЁРНЫЙ КОТ-3 (80-9405) (перепл. 7БЦ, глянц.лам., цвет.мелов.обл.)</t>
  </si>
  <si>
    <t>80-9405</t>
  </si>
  <si>
    <t>4670159294054</t>
  </si>
  <si>
    <t>ПП-00265233</t>
  </si>
  <si>
    <t>ЗАПИСНАЯ КНИЖКА. А5 80л., ОДНОТОННЫЙ МИНИМАЛИЗМ-1 (80-9404) (перепл.7БЦ, глянц.лам.,цвет.мелов.обл.)</t>
  </si>
  <si>
    <t>80-9404</t>
  </si>
  <si>
    <t>4670159294047</t>
  </si>
  <si>
    <t>04 Записные книжки  А5, 80л. (170х220) (широкие, глянцевая ламинация)</t>
  </si>
  <si>
    <t>ПП-00257449</t>
  </si>
  <si>
    <t>ЗАПИСНАЯ КНИЖКА А5 80л., В СЕРЫХ ОТТЕНКАХ - 1 (80-7585) (широкие, 7БЦ, глянц.ламин.,цв.мел.обл.)</t>
  </si>
  <si>
    <t>80-7585</t>
  </si>
  <si>
    <t>4670159275640</t>
  </si>
  <si>
    <t>ПП-00257450</t>
  </si>
  <si>
    <t>ЗАПИСНАЯ КНИЖКА А5 80л., ВСЁ БУДЕТ - 2 (80-7586) (широкие, 7БЦ, глянц.ламин.,цв.мел.обл.)</t>
  </si>
  <si>
    <t>80-7586</t>
  </si>
  <si>
    <t>4670159275657</t>
  </si>
  <si>
    <t>ПП-00257446</t>
  </si>
  <si>
    <t>ЗАПИСНАЯ КНИЖКА А5 80л., ЗЕЛЁНЫЙ ЛИСТ (80-7582) (широкие, 7БЦ, глянц.ламин.,цв.мел.обл.)</t>
  </si>
  <si>
    <t>80-7582</t>
  </si>
  <si>
    <t>4670159275619</t>
  </si>
  <si>
    <t>ПП-00108067</t>
  </si>
  <si>
    <t>ЗАПИСНАЯ КНИЖКА А5 80л., КАМЕННЫЙ УЗОР  (К80-5595) (широкие, 7БЦ, глянц.ламин.,цв.мел.обл.)</t>
  </si>
  <si>
    <t>К80-5595</t>
  </si>
  <si>
    <t>4665306155951</t>
  </si>
  <si>
    <t>ПП-00257444</t>
  </si>
  <si>
    <t>ЗАПИСНАЯ КНИЖКА А5 80л., МЕГАПОЛИС В ОКНЕ (80-7580) (широкие, 7БЦ, глянц.ламин.,цв.мел.обл.)</t>
  </si>
  <si>
    <t>80-7580</t>
  </si>
  <si>
    <t>4670159275596</t>
  </si>
  <si>
    <t>ПП-00257445</t>
  </si>
  <si>
    <t>ЗАПИСНАЯ КНИЖКА А5 80л., РЫЖИЙ КОТ В ЛУЧАХ СОЛНЦА (80-7581) (широкие, 7БЦ, гл.лам.,цв.мел.обл.)</t>
  </si>
  <si>
    <t>80-7581</t>
  </si>
  <si>
    <t>4670159275602</t>
  </si>
  <si>
    <t>ПП-00257448</t>
  </si>
  <si>
    <t>ЗАПИСНАЯ КНИЖКА А5 80л., СИНИЙ АВТОМОБИЛЬ - 1 (80-7584) (широкие, 7БЦ, глянц.ламин.,цв.мел.обл.)</t>
  </si>
  <si>
    <t>80-7584</t>
  </si>
  <si>
    <t>4670159275633</t>
  </si>
  <si>
    <t>ПП-00257447</t>
  </si>
  <si>
    <t>ЗАПИСНАЯ КНИЖКА А5 80л., ЧЁРНЫЙ АВТОМОБИЛЬ -5 (80-7583) (широкие, 7БЦ, глянц.ламин.,цв.мел.обл.)</t>
  </si>
  <si>
    <t>80-7583</t>
  </si>
  <si>
    <t>4670159275626</t>
  </si>
  <si>
    <t>05 Записные книжки  А5, 80л. (145х205), глянцевая ламинация,лен</t>
  </si>
  <si>
    <t>ПП-00265237</t>
  </si>
  <si>
    <t>Записная книжка А5 80л. В ТЁМНЫХ ТОНАХ - 1 (80-9407) 7БЦ, глянц. ламинац, лен</t>
  </si>
  <si>
    <t>80-9407</t>
  </si>
  <si>
    <t>4670159294078</t>
  </si>
  <si>
    <t>ПП-00249055</t>
  </si>
  <si>
    <t>Записная книжка А5 80л. ПОРТРЕТ ДЕВУШКИ - 2 (80-5590) 7БЦ, глянц. ламинац, 5+0</t>
  </si>
  <si>
    <t>80-5590</t>
  </si>
  <si>
    <t>4670159255901</t>
  </si>
  <si>
    <t>ПП-00249056</t>
  </si>
  <si>
    <t>Записная книжка А5 80л. СВЕТ ИЗ ОКОН (80-5591) 7БЦ, глянц. ламинац, 5+0</t>
  </si>
  <si>
    <t>80-5591</t>
  </si>
  <si>
    <t>4670159255918</t>
  </si>
  <si>
    <t>ПП-00245933</t>
  </si>
  <si>
    <t>Записная книжка А5 80л. ЧЁРНО-ОРАНЖЕВЫЙ СПОРТКАР (80-9568) 7БЦ, глянц. ламинац, лен</t>
  </si>
  <si>
    <t>80-9568</t>
  </si>
  <si>
    <t>4670159245681</t>
  </si>
  <si>
    <t>ПП-00265240</t>
  </si>
  <si>
    <t>Записная книжка А5 80л. ШИКАРНЫЙ АВТОМОБИЛЬ - 3 (80-9410) 7БЦ, глянц. ламинац, лен</t>
  </si>
  <si>
    <t>80-9410</t>
  </si>
  <si>
    <t>4670159294108</t>
  </si>
  <si>
    <t>06 Записные книжки  А5, 80л. 7БЦ твин лак</t>
  </si>
  <si>
    <t>ПП-00187853</t>
  </si>
  <si>
    <t>Записная книжка А5 80л. ПОКОРИТЕЛЬ БЕЗДОРОЖЬЯ (80-6772) 7БЦ твин лак</t>
  </si>
  <si>
    <t>80-6772</t>
  </si>
  <si>
    <t>4620129757720</t>
  </si>
  <si>
    <t>ПП-00238704</t>
  </si>
  <si>
    <t>Записная книжка А5 80л. СПАЙДЕР ЧЕРНЫЙ (80-1809) 7БЦ твин лак</t>
  </si>
  <si>
    <t>80-1809</t>
  </si>
  <si>
    <t>4670159218098</t>
  </si>
  <si>
    <t>08 Записные книжки  А5, 80л. (145х205) без линовки, глянцевая ламинация, лен</t>
  </si>
  <si>
    <t>ПП-00238340</t>
  </si>
  <si>
    <t>ЗАПИСНАЯ КНИЖКА А5 80л. IDOLS (80-1720) 7БЦ, глянц.ламинир., лен, без линовки</t>
  </si>
  <si>
    <t>80-1720</t>
  </si>
  <si>
    <t>4670159216964</t>
  </si>
  <si>
    <t>ПП-00238853</t>
  </si>
  <si>
    <t>ЗАПИСНАЯ КНИЖКА А5 80л. IDOLS (80-1720) 7БЦ, глянц.ламинир., лен, без линовки (!)</t>
  </si>
  <si>
    <t>ПП-00245934</t>
  </si>
  <si>
    <t>ЗАПИСНАЯ КНИЖКА А5 80л. NO WHITE (80-9569) 7БЦ, глянц.ламинир., лен, без линовки</t>
  </si>
  <si>
    <t>80-9569</t>
  </si>
  <si>
    <t>4670159245698</t>
  </si>
  <si>
    <t>ПП-00238342</t>
  </si>
  <si>
    <t>ЗАПИСНАЯ КНИЖКА А5 80л. АВТОМОБИЛЬ МЕЧТЫ - 1 (80-1721) 7БЦ, глянц.ламинир., лен, без линовки</t>
  </si>
  <si>
    <t>80-1721</t>
  </si>
  <si>
    <t>4670159216971</t>
  </si>
  <si>
    <t>ПП-00265248</t>
  </si>
  <si>
    <t>ЗАПИСНАЯ КНИЖКА А5 80л. ДИЗАЙН В ЧЁРНОМ ЦВЕТЕ (80-9412) 7БЦ, глянц.ламинир., лен, без линовки</t>
  </si>
  <si>
    <t>80-9412</t>
  </si>
  <si>
    <t>4670159294122</t>
  </si>
  <si>
    <t>ПП-00238343</t>
  </si>
  <si>
    <t>ЗАПИСНАЯ КНИЖКА А5 80л. ЖЁЛТЫЙ АВТОМОБИЛЬ - 3 (80-1722) 7БЦ, глянц.ламинир., лен, без линовки</t>
  </si>
  <si>
    <t>80-1722</t>
  </si>
  <si>
    <t>4670159216988</t>
  </si>
  <si>
    <t>ПП-00265258</t>
  </si>
  <si>
    <t>ЗАПИСНАЯ КНИЖКА А5 80л. КЛАССИЧЕСКИЙ СЕРЫЙ - 2 (80-9420) 7БЦ, глянц.ламинир., лен, без линовки</t>
  </si>
  <si>
    <t>80-9420</t>
  </si>
  <si>
    <t>4670159294177</t>
  </si>
  <si>
    <t>ПП-00265245</t>
  </si>
  <si>
    <t>ЗАПИСНАЯ КНИЖКА А5 80л. МИЛЫЕ КОТЫ - 4 (80-9411) 7БЦ, глянц.ламинир., лен, без линовки</t>
  </si>
  <si>
    <t>80-9411</t>
  </si>
  <si>
    <t>4670159294115</t>
  </si>
  <si>
    <t>ПП-00206396</t>
  </si>
  <si>
    <t>ЗАПИСНАЯ КНИЖКА А5 80л. МОЛОДАЯ ДЕВУШКА (80-5493) 7БЦ, глянц.ламинир., лен, без линовки</t>
  </si>
  <si>
    <t>80-5493</t>
  </si>
  <si>
    <t>4670159054931</t>
  </si>
  <si>
    <t>ПП-00219514</t>
  </si>
  <si>
    <t>ПП-00265252</t>
  </si>
  <si>
    <t>ЗАПИСНАЯ КНИЖКА А5 80л. МОРСКИЕ ВОЛНЫ - 1 (80-9414) 7БЦ, глянц.ламинир., лен, без линовки</t>
  </si>
  <si>
    <t>80-9414</t>
  </si>
  <si>
    <t>4670159294146</t>
  </si>
  <si>
    <t>ПП-00265255</t>
  </si>
  <si>
    <t>ЗАПИСНАЯ КНИЖКА А5 80л. ПАСТЕЛЬНЫЙ ОДНОТОННЫЙ - 2 (80-9415) 7БЦ, глянц.ламинир., лен, без линовки</t>
  </si>
  <si>
    <t>80-9415</t>
  </si>
  <si>
    <t>4670159294153</t>
  </si>
  <si>
    <t>ПП-00265259</t>
  </si>
  <si>
    <t>ЗАПИСНАЯ КНИЖКА А5 80л. ТЕМА ГОРОДА - 1 (80-9421) 7БЦ, глянц.ламинир., лен, без линовки</t>
  </si>
  <si>
    <t>80-9421</t>
  </si>
  <si>
    <t>4670159294184</t>
  </si>
  <si>
    <t>ПП-00265250</t>
  </si>
  <si>
    <t>ЗАПИСНАЯ КНИЖКА А5 80л. ШИКАРНЫЙ АВТОМОБИЛЬ - 4 (80-9413) 7БЦ, глянц.ламинир., лен, без линовки</t>
  </si>
  <si>
    <t>80-9413</t>
  </si>
  <si>
    <t>4670159294139</t>
  </si>
  <si>
    <t>ПП-00265257</t>
  </si>
  <si>
    <t>ЗАПИСНАЯ КНИЖКА А5 80л. ШИКАРНЫЙ АВТОМОБИЛЬ - 5 (80-9400) 7БЦ, глянц.ламинир., лен, без линовки</t>
  </si>
  <si>
    <t>80-9400</t>
  </si>
  <si>
    <t>4670159294160</t>
  </si>
  <si>
    <t>09 Записные книжки  А5, 80л. (150х204) ДЛЯ МАЛЬЧИКОВ</t>
  </si>
  <si>
    <t>ПП-00189127</t>
  </si>
  <si>
    <t>Записная книжка ДЛЯ МАЛЬЧИКОВ А5 80л. ГЕЙМ-ЗОНА - 1 (80-6482) перепл.7БЦ, глянц.ламинация</t>
  </si>
  <si>
    <t>80-6482</t>
  </si>
  <si>
    <t>4620129764827</t>
  </si>
  <si>
    <t>ПП-00207838</t>
  </si>
  <si>
    <t>Записная книжка ДЛЯ МАЛЬЧИКОВ А5 80л. ЗАБИВНЫЕ МЯЧИ (80-6255) перепл.7БЦ, глянц.ламинация</t>
  </si>
  <si>
    <t>80-6255</t>
  </si>
  <si>
    <t>4670159062554</t>
  </si>
  <si>
    <t>ПП-00207837</t>
  </si>
  <si>
    <t>Записная книжка ДЛЯ МАЛЬЧИКОВ А5 80л. НЕОНОВЫЙ БАЙКЕР (80-6254) перепл.7БЦ, глянц.ламинация</t>
  </si>
  <si>
    <t>80-6254</t>
  </si>
  <si>
    <t>4670159062547</t>
  </si>
  <si>
    <t>ПП-00189126</t>
  </si>
  <si>
    <t>Записная книжка ДЛЯ МАЛЬЧИКОВ А5 80л. НЕУДЕРЖИМЫЙ ВЕЗДЕХОД (80-6481) перепл.7БЦ, глянц.ламинация</t>
  </si>
  <si>
    <t>80-6481</t>
  </si>
  <si>
    <t>4620129764810</t>
  </si>
  <si>
    <t>ПП-00199215</t>
  </si>
  <si>
    <t>ПП-00189129</t>
  </si>
  <si>
    <t>Записная книжка ДЛЯ МАЛЬЧИКОВ А5 80л. ПРИМАТ БОДИБИЛДЕР (80-6484) перепл.7БЦ, глянц.ламинация</t>
  </si>
  <si>
    <t>80-6484</t>
  </si>
  <si>
    <t>4620129764841</t>
  </si>
  <si>
    <t>ПП-00189128</t>
  </si>
  <si>
    <t>11 Записные книжки А5, 96л, 7БЦ, матовая ламинация, резинка, кругл. углов, печ блока 1+1, инд. в пэт</t>
  </si>
  <si>
    <t>ПП-00274397</t>
  </si>
  <si>
    <t>Записная книжка, А5, 96л., МИНИМАЛИСТИЧНЫЙ ДИЗАЙН-21 (ЗК96-2061) 7БЦ,мат лам,резинка,кругл.угл,бл1+1</t>
  </si>
  <si>
    <t>ЗК96-2061</t>
  </si>
  <si>
    <t>4670159320616</t>
  </si>
  <si>
    <t>ПП-00274400</t>
  </si>
  <si>
    <t>Записная книжка, А5, 96л., МИНИМАЛИСТИЧНЫЙ ДИЗАЙН-22 (ЗК96-2064) 7БЦ,мат лам,резинка,кругл.угл,бл1+1</t>
  </si>
  <si>
    <t>ЗК96-2064</t>
  </si>
  <si>
    <t>4670159320647</t>
  </si>
  <si>
    <t>ПП-00274395</t>
  </si>
  <si>
    <t>Записная книжка, А5, 96л., НЕЖНЫЕ ЦВЕТЫ - 25 (ЗК96-2059) 7БЦ,мат лам,резинка,кругл.угл,бл1+1</t>
  </si>
  <si>
    <t>ЗК96-2059</t>
  </si>
  <si>
    <t>4670159320593</t>
  </si>
  <si>
    <t>ПП-00274394</t>
  </si>
  <si>
    <t>Записная книжка, А5, 96л., ЦВЕТОЧНАЯ ТЕМА - 4 (ЗК96-2058) 7БЦ,мат лам,резинка,кругл.угл,бл1+1</t>
  </si>
  <si>
    <t>ЗК96-2058</t>
  </si>
  <si>
    <t>4670159320586</t>
  </si>
  <si>
    <t>12 Записные книжки А5, 120л. (169х220) широкие глянцевая ламинация</t>
  </si>
  <si>
    <t>ПП-00261012</t>
  </si>
  <si>
    <t>ЗАПИСНАЯ КНИЖКА А5 120л., МИНИМАЛИСТИЧНЫЙ ДИЗАЙН - 5 (120-8613) широкие,7БЦ, глянц.ламин.,цв.мел.обл</t>
  </si>
  <si>
    <t>120-8613</t>
  </si>
  <si>
    <t>4670159286134</t>
  </si>
  <si>
    <t>ПП-00261008</t>
  </si>
  <si>
    <t>ЗАПИСНАЯ КНИЖКА А5 120л., МОНОХРОМНЫЙ ДИЗАЙН - 2 (120-8610) широкие,7БЦ, глянц.ламин.,цв.мел.обл</t>
  </si>
  <si>
    <t>120-8610</t>
  </si>
  <si>
    <t>4670159286103</t>
  </si>
  <si>
    <t>ПП-00261011</t>
  </si>
  <si>
    <t>ЗАПИСНАЯ КНИЖКА А5 120л., ЧЁРНЫЙ АВТОМОБИЛЬ - 8 (120-8612) широкие,7БЦ, глянц.ламин.,цв.мел.обл</t>
  </si>
  <si>
    <t>120-8612</t>
  </si>
  <si>
    <t>4670159286127</t>
  </si>
  <si>
    <t>ПП-00271911</t>
  </si>
  <si>
    <t>Записная книжка А5 128л. ПУСТАЯ СТРАНИЦА (ЗК128-1138) 7БЦ, поролон, мат ламинация</t>
  </si>
  <si>
    <t>ЗК128-1138</t>
  </si>
  <si>
    <t>4670159311386</t>
  </si>
  <si>
    <t>14 Записные книжки А5 ,160л. (145х205)  глянцевая ламинация</t>
  </si>
  <si>
    <t>ПП-00238337</t>
  </si>
  <si>
    <t>ЗАПИСНАЯ КНИЖКА А5 160л., АВТО В НОЧИ (160-1694) (7БЦ,глянц.ламинир.,цвет.мелов.обл.)</t>
  </si>
  <si>
    <t>160-1694</t>
  </si>
  <si>
    <t>4670159216940</t>
  </si>
  <si>
    <t>ПП-00248845</t>
  </si>
  <si>
    <t>ЗАПИСНАЯ КНИЖКА А5 160л., КРАСИВЫЙ ГОРОД - 3 (160-5511) (7БЦ,глянц.ламинир.,цвет.мелов.обл.)</t>
  </si>
  <si>
    <t>160-5511</t>
  </si>
  <si>
    <t>4670159255116</t>
  </si>
  <si>
    <t>ПП-00265263</t>
  </si>
  <si>
    <t>ЗАПИСНАЯ КНИЖКА А5 160л., МИЛЫЕ КОТЫ - 5 (160-9422) (7БЦ,глянц.ламинир.,цвет.мелов.обл.)</t>
  </si>
  <si>
    <t>160-9422</t>
  </si>
  <si>
    <t>4670159294221</t>
  </si>
  <si>
    <t>ПП-00213976</t>
  </si>
  <si>
    <t>ЗАПИСНАЯ КНИЖКА А5 160л., ПУТЬ К ВДОХНОВЕНИЮ (160-9599) (7БЦ,глянц.ламинир.,цвет.мелов.обл.)</t>
  </si>
  <si>
    <t>160-9599</t>
  </si>
  <si>
    <t>4670159095996</t>
  </si>
  <si>
    <t>ПП-00238338</t>
  </si>
  <si>
    <t>ЗАПИСНАЯ КНИЖКА А5 160л., ФОТОГРАФИЯ КОТИКОВ (160-1695) (7БЦ,глянц.ламинир.,цвет.мелов.обл.)</t>
  </si>
  <si>
    <t>160-1695</t>
  </si>
  <si>
    <t>4670159216957</t>
  </si>
  <si>
    <t>ПП-00265260</t>
  </si>
  <si>
    <t>ЗАПИСНАЯ КНИЖКА А5 160л., ШИКАРНЫЙ АВТОМОБИЛЬ - 6 (160-9419) (7БЦ,глянц.ламинир.,цвет.мелов.обл.)</t>
  </si>
  <si>
    <t>160-9419</t>
  </si>
  <si>
    <t>4670159294191</t>
  </si>
  <si>
    <t>16 Записные книжки А5 ,160л. (145х205), глянцевая ламинация, лен</t>
  </si>
  <si>
    <t>ПП-00238348</t>
  </si>
  <si>
    <t>ЗАПИСНАЯ КНИЖКА А5 160л., КОТЫ - 1 (160-1703) (7БЦ,глянц.ламинир.,лен)</t>
  </si>
  <si>
    <t>160-1703</t>
  </si>
  <si>
    <t>4670159217039</t>
  </si>
  <si>
    <t>ПП-00265265</t>
  </si>
  <si>
    <t>ЗАПИСНАЯ КНИЖКА А5 160л., КРАСИВЫЙ КОТ - 1 (160-9424) (7БЦ,глянц.ламинир.,лен)</t>
  </si>
  <si>
    <t>160-9424</t>
  </si>
  <si>
    <t>4670159294245</t>
  </si>
  <si>
    <t>ПП-00238347</t>
  </si>
  <si>
    <t>ЗАПИСНАЯ КНИЖКА А5 160л., МЕГАПОЛИС - 1 (160-1702) (7БЦ,глянц.ламинир.,лен)</t>
  </si>
  <si>
    <t>160-1702</t>
  </si>
  <si>
    <t>4670159217022</t>
  </si>
  <si>
    <t>ПП-00265264</t>
  </si>
  <si>
    <t>ЗАПИСНАЯ КНИЖКА А5 160л., ПРИРОДНАЯ ТЕМАТИКА (160-9423) (7БЦ,глянц.ламинир.,лен)</t>
  </si>
  <si>
    <t>160-9423</t>
  </si>
  <si>
    <t>4670159294238</t>
  </si>
  <si>
    <t>ПП-00265266</t>
  </si>
  <si>
    <t>ЗАПИСНАЯ КНИЖКА А5 160л., ТЕМА ГОРОДА - 3 (160-9425) (7БЦ,глянц.ламинир.,лен)</t>
  </si>
  <si>
    <t>160-9425</t>
  </si>
  <si>
    <t>4670159294252</t>
  </si>
  <si>
    <t>17 Записные книжки А5 ,160л.(169х220) широкие глянцевая ламинация</t>
  </si>
  <si>
    <t>ПП-00213972</t>
  </si>
  <si>
    <t>ЗАПИСНАЯ КНИЖКА А5 160л., АВТОМИКС - 7 (160-9595) (широкие,пере.7БЦ, глянц.ламин.,цв.мел.обл.)</t>
  </si>
  <si>
    <t>160-9595</t>
  </si>
  <si>
    <t>4670159095958</t>
  </si>
  <si>
    <t>ПП-00238350</t>
  </si>
  <si>
    <t>ЗАПИСНАЯ КНИЖКА А5 160л., ГЕРБ - 1 (160-1705) (широкие,пере.7БЦ, глянц.лам.,цв.мел.обл.)</t>
  </si>
  <si>
    <t>160-1705</t>
  </si>
  <si>
    <t>4670159217053</t>
  </si>
  <si>
    <t>ПП-00269215</t>
  </si>
  <si>
    <t>ЗАПИСНАЯ КНИЖКА А5 160л., ЧЕРНЫЙ (ЗК160-0345) (широкие,пере.7БЦ, глянц.лам.,цв.мел.обл.)</t>
  </si>
  <si>
    <t>ЗК160-0345</t>
  </si>
  <si>
    <t>4670159303459</t>
  </si>
  <si>
    <t>03 Записные книжки А6</t>
  </si>
  <si>
    <t>01. Записные книжки А6,  48л. (105х148) 7БЦ</t>
  </si>
  <si>
    <t>ПП-00238320</t>
  </si>
  <si>
    <t>ЗАПИСНАЯ КНИЖКА А6 48л. K-POP IDOLS (48-1675) 7БЦ, глянц.ламин., цвет.мелов.обл</t>
  </si>
  <si>
    <t>48-1675</t>
  </si>
  <si>
    <t>4670159216759</t>
  </si>
  <si>
    <t>ПП-00262972</t>
  </si>
  <si>
    <t>ЗАПИСНАЯ КНИЖКА А6 48л. АВТО-13 (48-9195) 7БЦ, глянц.ламин., цвет.мелов.обл</t>
  </si>
  <si>
    <t>48-9195</t>
  </si>
  <si>
    <t>4670159290797</t>
  </si>
  <si>
    <t>ПП-00262973</t>
  </si>
  <si>
    <t>ЗАПИСНАЯ КНИЖКА А6 48л. АВТО-14 (48-9196) 7БЦ, глянц.ламин., цвет.мелов.обл</t>
  </si>
  <si>
    <t>48-9196</t>
  </si>
  <si>
    <t>4670159290803</t>
  </si>
  <si>
    <t>ПП-00270483</t>
  </si>
  <si>
    <t>ЗАПИСНАЯ КНИЖКА А6 48л. ВОЛШЕБНЫЙ ПЕРЕУЛОК (ЗК48-0778) 7БЦ, глянц.ламин., цвет.мелов.обл</t>
  </si>
  <si>
    <t>ЗК48-0778</t>
  </si>
  <si>
    <t>4670159307785</t>
  </si>
  <si>
    <t>ПП-00265394</t>
  </si>
  <si>
    <t>ЗАПИСНАЯ КНИЖКА А6 48л. ЗАБАВНЫЕ ФРАЗЫ - 2 (48-9515) 7БЦ, глянц.ламин., цвет.мелов.обл</t>
  </si>
  <si>
    <t>48-9515</t>
  </si>
  <si>
    <t>4670159294993</t>
  </si>
  <si>
    <t>ПП-00262969</t>
  </si>
  <si>
    <t>ЗАПИСНАЯ КНИЖКА А6 48л. КАПИБАРА-1 (48-9192) 7БЦ, глянц.ламин., цвет.мелов.обл</t>
  </si>
  <si>
    <t>48-9192</t>
  </si>
  <si>
    <t>4670159290766</t>
  </si>
  <si>
    <t>ПП-00262967</t>
  </si>
  <si>
    <t>ЗАПИСНАЯ КНИЖКА А6 48л. КЛАССИЧЕСКИЙ ТЁМНО-СИНИЙ (48-9191) 7БЦ, глянц.ламин., цвет.мелов.обл</t>
  </si>
  <si>
    <t>48-9191</t>
  </si>
  <si>
    <t>4670159290759</t>
  </si>
  <si>
    <t>ПП-00238319</t>
  </si>
  <si>
    <t>ЗАПИСНАЯ КНИЖКА А6 48л. КОТЫ И ИСКУССТВО (48-1677) 7БЦ, глянц.ламин., цвет.мелов.обл</t>
  </si>
  <si>
    <t>48-1677</t>
  </si>
  <si>
    <t>4670159216773</t>
  </si>
  <si>
    <t>ПП-00265393</t>
  </si>
  <si>
    <t>ЗАПИСНАЯ КНИЖКА А6 48л. КРАСИВЫЙ АВТОМОБИЛЬ - 2 (48-9514) 7БЦ, глянц.ламин., цвет.мелов.обл</t>
  </si>
  <si>
    <t>48-9514</t>
  </si>
  <si>
    <t>4670159294986</t>
  </si>
  <si>
    <t>ПП-00262975</t>
  </si>
  <si>
    <t>ЗАПИСНАЯ КНИЖКА А6 48л. МИЛЫЙ КОТИК - 3 (48-9198) 7БЦ, глянц.ламин., цвет.мелов.обл</t>
  </si>
  <si>
    <t>48-9198</t>
  </si>
  <si>
    <t>4670159290827</t>
  </si>
  <si>
    <t>ПП-00265390</t>
  </si>
  <si>
    <t>ЗАПИСНАЯ КНИЖКА А6 48л. МИЛЫЙ МИНИМАЛИЗМ - 1 (48-9511) 7БЦ, глянц.ламин., цвет.мелов.обл</t>
  </si>
  <si>
    <t>48-9511</t>
  </si>
  <si>
    <t>4670159294955</t>
  </si>
  <si>
    <t>ПП-00262971</t>
  </si>
  <si>
    <t>ЗАПИСНАЯ КНИЖКА А6 48л. МИНИМАЛИСТИЧНЫЙ ДИЗАЙН - 10 (48-9194) 7БЦ, глянц.ламин., цвет.мелов.обл</t>
  </si>
  <si>
    <t>48-9194</t>
  </si>
  <si>
    <t>4670159290780</t>
  </si>
  <si>
    <t>ПП-00262976</t>
  </si>
  <si>
    <t>ЗАПИСНАЯ КНИЖКА А6 48л. ПАСТЕЛЬНЫЙ ОДНОТОННЫЙ (48-9199) 7БЦ, глянц.ламин., цвет.мелов.обл</t>
  </si>
  <si>
    <t>48-9199</t>
  </si>
  <si>
    <t>4670159290834</t>
  </si>
  <si>
    <t>ПП-00269210</t>
  </si>
  <si>
    <t>ЗАПИСНАЯ КНИЖКА А6 48л. СИНИЙ (ЗК48-0340) 7БЦ, глянц.ламин., цвет.мелов.обл</t>
  </si>
  <si>
    <t>ЗК48-0340</t>
  </si>
  <si>
    <t>4670159303404</t>
  </si>
  <si>
    <t>ПП-00238321</t>
  </si>
  <si>
    <t>ЗАПИСНАЯ КНИЖКА А6 48л. СПАЙДЕР ЧЕРНЫЙ (48-1676) 7БЦ, глянц.ламин., цвет.мелов.обл</t>
  </si>
  <si>
    <t>48-1676</t>
  </si>
  <si>
    <t>4670159216766</t>
  </si>
  <si>
    <t>ПП-00265389</t>
  </si>
  <si>
    <t>ЗАПИСНАЯ КНИЖКА А6 48л. ТИГР В ЗАРОСЛЯХ - 1 (48-9510) 7БЦ, глянц.ламин., цвет.мелов.обл</t>
  </si>
  <si>
    <t>48-9510</t>
  </si>
  <si>
    <t>4670159294948</t>
  </si>
  <si>
    <t>ПП-00265392</t>
  </si>
  <si>
    <t>ЗАПИСНАЯ КНИЖКА А6 48л. УЮТНЫЕ КОТИКИ - 3 (48-9513) 7БЦ, глянц.ламин., цвет.мелов.обл</t>
  </si>
  <si>
    <t>48-9513</t>
  </si>
  <si>
    <t>4670159294979</t>
  </si>
  <si>
    <t>ПП-00262974</t>
  </si>
  <si>
    <t>ЗАПИСНАЯ КНИЖКА А6 48л. ФОТО КОТИКА - 1 (48-9197) 7БЦ, глянц.ламин., цвет.мелов.обл</t>
  </si>
  <si>
    <t>48-9197</t>
  </si>
  <si>
    <t>4670159290810</t>
  </si>
  <si>
    <t>ПП-00265391</t>
  </si>
  <si>
    <t>ЗАПИСНАЯ КНИЖКА А6 48л. ФУТБОЛЬНАЯ ТЕМА - 7 (48-9512) 7БЦ, глянц.ламин., цвет.мелов.обл</t>
  </si>
  <si>
    <t>48-9512</t>
  </si>
  <si>
    <t>4670159294962</t>
  </si>
  <si>
    <t>ПП-00270484</t>
  </si>
  <si>
    <t>ЗАПИСНАЯ КНИЖКА А6 48л. ЦВЕТОЧНЫЙ ПАТТЕРН - 26 (ЗК48-0779) 7БЦ, глянц.ламин., цвет.мелов.обл</t>
  </si>
  <si>
    <t>ЗК48-0779</t>
  </si>
  <si>
    <t>4670159307792</t>
  </si>
  <si>
    <t>ПП-00269211</t>
  </si>
  <si>
    <t>ЗАПИСНАЯ КНИЖКА А6 48л. ЧЕРНЫЙ (ЗК48-0341) 7БЦ, глянц.ламин., цвет.мелов.обл</t>
  </si>
  <si>
    <t>ЗК48-0341</t>
  </si>
  <si>
    <t>4670159303411</t>
  </si>
  <si>
    <t>ПП-00262966</t>
  </si>
  <si>
    <t>ЗАПИСНАЯ КНИЖКА А6 48л. ЧЁРНЫЙ ЦВЕТ - 3 (48-9190) 7БЦ, глянц.ламин., цвет.мелов.обл</t>
  </si>
  <si>
    <t>48-9190</t>
  </si>
  <si>
    <t>4670159290742</t>
  </si>
  <si>
    <t>02. Записные книжки А6,  48л. (105х148) 7БЦ, глянц. ламинация, лен</t>
  </si>
  <si>
    <t>ПП-00256553</t>
  </si>
  <si>
    <t>ЗАПИСНАЯ КНИЖКА А6 48л. БАЛАНС (48-7186) 7БЦ, глянц.ламинир., лен</t>
  </si>
  <si>
    <t>48-7186</t>
  </si>
  <si>
    <t>4670159271864</t>
  </si>
  <si>
    <t>ПП-00265395</t>
  </si>
  <si>
    <t>ЗАПИСНАЯ КНИЖКА А6 48л. ДИЗАЙН В ЧЁРНОМ ЦВЕТЕ - 1 (48-9516) 7БЦ, глянц.ламинир., лен</t>
  </si>
  <si>
    <t>48-9516</t>
  </si>
  <si>
    <t>4670159295006</t>
  </si>
  <si>
    <t>ПП-00255665</t>
  </si>
  <si>
    <t>ЗАПИСНАЯ КНИЖКА А6 48л. СПОРТИВНЫЙ АВТОМОБИЛЬ В ГОРОДЕ - 1 (48-7095) 7БЦ, глянц.ламинир., лен</t>
  </si>
  <si>
    <t>48-7095</t>
  </si>
  <si>
    <t>4670159270959</t>
  </si>
  <si>
    <t>ПП-00255664</t>
  </si>
  <si>
    <t>ЗАПИСНАЯ КНИЖКА А6 48л. СПОРТИВНЫЙ АВТОМОБИЛЬ В ГОРОДЕ (48-7102) 7БЦ, глянц.ламинир., лен</t>
  </si>
  <si>
    <t>48-7102</t>
  </si>
  <si>
    <t>4670159270942</t>
  </si>
  <si>
    <t>04. Записные книжки А6,  64л. (105х148) 7БЦ, глянц. ламинация</t>
  </si>
  <si>
    <t>ПП-00238354</t>
  </si>
  <si>
    <t>ЗАПИСНАЯ КНИЖКА. А6 64л. IDOLS (64-1706) 7БЦ,глянц.ламинирование, цвет.мелов.обл.</t>
  </si>
  <si>
    <t>64-1706</t>
  </si>
  <si>
    <t>4670159217060</t>
  </si>
  <si>
    <t>ПП-00262984</t>
  </si>
  <si>
    <t>ЗАПИСНАЯ КНИЖКА. А6 64л. АВТО-15 (64-9091) 7БЦ,глянц.ламинирование, цвет.мелов.обл.</t>
  </si>
  <si>
    <t>64-9091</t>
  </si>
  <si>
    <t>4670159290919</t>
  </si>
  <si>
    <t>ПП-00262985</t>
  </si>
  <si>
    <t>ЗАПИСНАЯ КНИЖКА. А6 64л. АВТО-16 (64-9092) 7БЦ,глянц.ламинирование, цвет.мелов.обл.</t>
  </si>
  <si>
    <t>64-9092</t>
  </si>
  <si>
    <t>4670159290926</t>
  </si>
  <si>
    <t>ПП-00208997</t>
  </si>
  <si>
    <t>ЗАПИСНАЯ КНИЖКА. А6 64л. БАШНЯ (64-6706) 7БЦ,глянц.ламинирование, цвет.мелов.обл.</t>
  </si>
  <si>
    <t>64-6706</t>
  </si>
  <si>
    <t>4670159067061</t>
  </si>
  <si>
    <t>ПП-00262982</t>
  </si>
  <si>
    <t>ЗАПИСНАЯ КНИЖКА. А6 64л. БОЛЬШИЕ КОТЫ (64-9089) 7БЦ,глянц.ламинирование, цвет.мелов.обл.</t>
  </si>
  <si>
    <t>64-9089</t>
  </si>
  <si>
    <t>4670159290896</t>
  </si>
  <si>
    <t>ПП-00208993</t>
  </si>
  <si>
    <t>ЗАПИСНАЯ КНИЖКА. А6 64л. В ЖЁЛТЫХ КРАСКАХ (64-6704) 7БЦ,глянц.ламинирование, цвет.мелов.обл.</t>
  </si>
  <si>
    <t>64-6704</t>
  </si>
  <si>
    <t>4670159067047</t>
  </si>
  <si>
    <t>ПП-00208999</t>
  </si>
  <si>
    <t>ЗАПИСНАЯ КНИЖКА. А6 64л. ДОЛЬКА АПЕЛЬСИНА (64-6708) 7БЦ,глянц.ламинирование, цвет.мелов.обл.</t>
  </si>
  <si>
    <t>64-6708</t>
  </si>
  <si>
    <t>4670159067085</t>
  </si>
  <si>
    <t>ПП-00208991</t>
  </si>
  <si>
    <t>ЗАПИСНАЯ КНИЖКА. А6 64л. ДРУЗЬЯ НАВСЕГДА (64-6702) 7БЦ,глянц.ламинирование, цвет.мелов.обл.</t>
  </si>
  <si>
    <t>64-6702</t>
  </si>
  <si>
    <t>4670159067023</t>
  </si>
  <si>
    <t>ПП-00262980</t>
  </si>
  <si>
    <t>ЗАПИСНАЯ КНИЖКА. А6 64л. КАПИБАРА-2 (64-9087) 7БЦ,глянц.ламинирование, цвет.мелов.обл.</t>
  </si>
  <si>
    <t>64-9087</t>
  </si>
  <si>
    <t>4670159290872</t>
  </si>
  <si>
    <t>ПП-00262978</t>
  </si>
  <si>
    <t>ЗАПИСНАЯ КНИЖКА. А6 64л. КЛАССИЧЕСКИЙ СЕРЫЙ (64-9085) 7БЦ,глянц.ламинирование, цвет.мелов.обл.</t>
  </si>
  <si>
    <t>64-9085</t>
  </si>
  <si>
    <t>4670159290858</t>
  </si>
  <si>
    <t>ПП-00190043</t>
  </si>
  <si>
    <t>ЗАПИСНАЯ КНИЖКА. А6 64л. КОЛЛАЖ С ЧЕРЕПОМ (64-6842) 7БЦ,глянц.ламинирование, цвет.мелов.обл.</t>
  </si>
  <si>
    <t>64-6842</t>
  </si>
  <si>
    <t>4620129768429</t>
  </si>
  <si>
    <t>ПП-00270487</t>
  </si>
  <si>
    <t>ЗАПИСНАЯ КНИЖКА. А6 64л. КОТЁНОК С КЛУБКОМ (ЗК64-0782) 7БЦ,глянц.ламинирование,цвет.мелов.обл.</t>
  </si>
  <si>
    <t>ЗК64-0782</t>
  </si>
  <si>
    <t>4670159307822</t>
  </si>
  <si>
    <t>ПП-00270488</t>
  </si>
  <si>
    <t>ЗАПИСНАЯ КНИЖКА. А6 64л. КРАСИВАЯ ПРИРОДА - 9 (ЗК64-0783) 7БЦ,глянц.ламинирование,цвет.мелов.обл.</t>
  </si>
  <si>
    <t>ЗК64-0783</t>
  </si>
  <si>
    <t>4670159307839</t>
  </si>
  <si>
    <t>ПП-00266559</t>
  </si>
  <si>
    <t>ЗАПИСНАЯ КНИЖКА. А6 64л. КРАСИВЫЙ АВТОМОБИЛЬ -5 (ЗК64-3030) 7БЦ,глянц.ламинирование, цвет.мелов.обл.</t>
  </si>
  <si>
    <t>ЗК64-3030</t>
  </si>
  <si>
    <t>4670159300304</t>
  </si>
  <si>
    <t>ПП-00266561</t>
  </si>
  <si>
    <t>ЗАПИСНАЯ КНИЖКА. А6 64л. КРАСИВЫЙ АВТОМОБИЛЬ -6 (ЗК64-3031) 7БЦ,глянц.ламинирование, цвет.мелов.обл.</t>
  </si>
  <si>
    <t>ЗК64-3031</t>
  </si>
  <si>
    <t>4670159300311</t>
  </si>
  <si>
    <t>ПП-00266565</t>
  </si>
  <si>
    <t>ЗАПИСНАЯ КНИЖКА. А6 64л. КРАСИВЫЙ АВТОМОБИЛЬ -7 (ЗК64-3033) 7БЦ,глянц.ламинирование, цвет.мелов.обл.</t>
  </si>
  <si>
    <t>ЗК64-3033</t>
  </si>
  <si>
    <t>4670159300335</t>
  </si>
  <si>
    <t>ПП-00262983</t>
  </si>
  <si>
    <t>ЗАПИСНАЯ КНИЖКА. А6 64л. ЛИСТЬЯ-1 (64-9090) 7БЦ,глянц.ламинирование, цвет.мелов.обл.</t>
  </si>
  <si>
    <t>64-9090</t>
  </si>
  <si>
    <t>4670159290902</t>
  </si>
  <si>
    <t>ПП-00270485</t>
  </si>
  <si>
    <t>ЗАПИСНАЯ КНИЖКА. А6 64л. МАЛЬЧИК И ЛИС (ЗК64-0780) 7БЦ,глянц.ламинирование,цвет.мелов.обл.</t>
  </si>
  <si>
    <t>ЗК64-0780</t>
  </si>
  <si>
    <t>4670159307808</t>
  </si>
  <si>
    <t>ПП-00266555</t>
  </si>
  <si>
    <t>ЗАПИСНАЯ КНИЖКА. А6 64л. МИЛАЯ КАПИБАРА - 2 (ЗК64-3029) 7БЦ,глянц.ламинирование, цвет.мелов.обл.</t>
  </si>
  <si>
    <t>ЗК64-3029</t>
  </si>
  <si>
    <t>4670159300298</t>
  </si>
  <si>
    <t>ПП-00208990</t>
  </si>
  <si>
    <t>ЗАПИСНАЯ КНИЖКА. А6 64л. НА КОНТРАСТЕ - 2 (64-6701) 7БЦ,глянц.ламинирование, цвет.мелов.обл.</t>
  </si>
  <si>
    <t>64-6701</t>
  </si>
  <si>
    <t>4670159067016</t>
  </si>
  <si>
    <t>ПП-00262979</t>
  </si>
  <si>
    <t>ЗАПИСНАЯ КНИЖКА. А6 64л. ПАСТЕЛЬНЫЙ ОДНОТОННЫЙ -1 (64-9086) 7БЦ,глянц.ламинирование, цвет.мелов.обл.</t>
  </si>
  <si>
    <t>64-9086</t>
  </si>
  <si>
    <t>4670159290865</t>
  </si>
  <si>
    <t>ПП-00190044</t>
  </si>
  <si>
    <t>ЗАПИСНАЯ КНИЖКА. А6 64л. ПЕРСИКИ В ВАЗЕ (64-6843) 7БЦ,глянц.ламинирование, цвет.мелов.обл.</t>
  </si>
  <si>
    <t>64-6843</t>
  </si>
  <si>
    <t>4620129768436</t>
  </si>
  <si>
    <t>ПП-00190035</t>
  </si>
  <si>
    <t>ЗАПИСНАЯ КНИЖКА. А6 64л. ПРИШЕЛЕЦ В 3D (64-6834) 7БЦ,глянц.ламинирование, цвет.мелов.обл.</t>
  </si>
  <si>
    <t>64-6834</t>
  </si>
  <si>
    <t>4620129768344</t>
  </si>
  <si>
    <t>ПП-00269209</t>
  </si>
  <si>
    <t>ЗАПИСНАЯ КНИЖКА. А6 64л. СИНИЙ (ЗК64-0339) 7БЦ,глянц.ламинирование, цвет.мелов.обл.</t>
  </si>
  <si>
    <t>ЗК64-0339</t>
  </si>
  <si>
    <t>4670159303398</t>
  </si>
  <si>
    <t>ПП-00208992</t>
  </si>
  <si>
    <t>ЗАПИСНАЯ КНИЖКА. А6 64л. СЛЕДУЮЩИЙ УРОВЕНЬ (64-6703) 7БЦ,глянц.ламинирование, цвет.мелов.обл.</t>
  </si>
  <si>
    <t>64-6703</t>
  </si>
  <si>
    <t>4670159067030</t>
  </si>
  <si>
    <t>ПП-00266550</t>
  </si>
  <si>
    <t>ЗАПИСНАЯ КНИЖКА. А6 64л. СЛУШАЙ СВОЁ СЕРДЦЕ - 3 (ЗК64-3027) 7БЦ,глянц.ламинирование, цвет.мелов.обл.</t>
  </si>
  <si>
    <t>ЗК64-3027</t>
  </si>
  <si>
    <t>4670159300274</t>
  </si>
  <si>
    <t>ПП-00238358</t>
  </si>
  <si>
    <t>ЗАПИСНАЯ КНИЖКА. А6 64л. СПАЙДЕР СИНИЙ (64-1707) 7БЦ,глянц.ламинирование, цвет.мелов.обл.</t>
  </si>
  <si>
    <t>64-1707</t>
  </si>
  <si>
    <t>4670159217077</t>
  </si>
  <si>
    <t>ПП-00239871</t>
  </si>
  <si>
    <t>ЗАПИСНАЯ КНИЖКА. А6 64л. СТИЛЬНАЯ ДЕВУШКА-4 (64-2098) 7БЦ,глянц.ламинирование,цвет.мелов.обл.</t>
  </si>
  <si>
    <t>64-2098</t>
  </si>
  <si>
    <t>4670159220985</t>
  </si>
  <si>
    <t>ПП-00266564</t>
  </si>
  <si>
    <t>ЗАПИСНАЯ КНИЖКА. А6 64л. УГРЮМЫЙ КОТИК (ЗК64-3032) 7БЦ,глянц.ламинирование, цвет.мелов.обл.</t>
  </si>
  <si>
    <t>ЗК64-3032</t>
  </si>
  <si>
    <t>4670159300328</t>
  </si>
  <si>
    <t>ПП-00262981</t>
  </si>
  <si>
    <t>ЗАПИСНАЯ КНИЖКА. А6 64л. ФОТО КОТИКА - 2 (64-9088) 7БЦ,глянц.ламинирование, цвет.мелов.обл.</t>
  </si>
  <si>
    <t>64-9088</t>
  </si>
  <si>
    <t>4670159290889</t>
  </si>
  <si>
    <t>ПП-00262986</t>
  </si>
  <si>
    <t>ЗАПИСНАЯ КНИЖКА. А6 64л. ФУТБОЛЬНАЯ ТЕМА - 6 (64-9093) 7БЦ,глянц.ламинирование, цвет.мелов.обл.</t>
  </si>
  <si>
    <t>64-9093</t>
  </si>
  <si>
    <t>4670159290933</t>
  </si>
  <si>
    <t>ПП-00266554</t>
  </si>
  <si>
    <t>ЗАПИСНАЯ КНИЖКА. А6 64л. ФУТБОЛЬНАЯ ТЕМА - 9 (ЗК64-3028) 7БЦ,глянц.ламинирование, цвет.мелов.обл.</t>
  </si>
  <si>
    <t>ЗК64-3028</t>
  </si>
  <si>
    <t>4670159300281</t>
  </si>
  <si>
    <t>ПП-00262977</t>
  </si>
  <si>
    <t>ЗАПИСНАЯ КНИЖКА. А6 64л. ЧЁРНЫЙ ЦВЕТ - 4 (64-9084) 7БЦ,глянц.ламинирование, цвет.мелов.обл.</t>
  </si>
  <si>
    <t>64-9084</t>
  </si>
  <si>
    <t>4670159290841</t>
  </si>
  <si>
    <t>ПП-00190038</t>
  </si>
  <si>
    <t>ЗАПИСНАЯ КНИЖКА. А6 64л. ШИКАРНЫЙ ПИКАП (64-6837) 7БЦ,глянц.ламинирование, цвет.мелов.обл.</t>
  </si>
  <si>
    <t>64-6837</t>
  </si>
  <si>
    <t>4620129768375</t>
  </si>
  <si>
    <t>09. Записные книжки А6,  64л. с доп обработками, лен</t>
  </si>
  <si>
    <t>ПП-00213970</t>
  </si>
  <si>
    <t>ЗАПИСНАЯ КНИЖКА. А6 64л. ГЕЙМ-ЗОНА (64-9590) 7БЦ,глянц.ламинирование, лен + серебро</t>
  </si>
  <si>
    <t>64-9590</t>
  </si>
  <si>
    <t>4670159095903</t>
  </si>
  <si>
    <t>ПП-00189262</t>
  </si>
  <si>
    <t>ЗАПИСНАЯ КНИЖКА. А6 64л. СТИЛЬ УЛИЦ - 3 (64-6542) 7БЦ,глянц.ламинирование, лен + серебро</t>
  </si>
  <si>
    <t>64-6542</t>
  </si>
  <si>
    <t>4620129765428</t>
  </si>
  <si>
    <t xml:space="preserve">10. Записные книжки А6,  80л. (105х148) 7БЦ, глянц. ламинация, лен </t>
  </si>
  <si>
    <t>ПП-00267549</t>
  </si>
  <si>
    <t>ЗАПИСНАЯ КНИЖКА. А6 80л ВОЛШЕБНЫЕ ПИСЬМА - 1 (ЗК80-0076) 7БЦ, глянц.ламинир., лен</t>
  </si>
  <si>
    <t>ЗК80-0076</t>
  </si>
  <si>
    <t>4670159300762</t>
  </si>
  <si>
    <t>ПП-00189107</t>
  </si>
  <si>
    <t>ЗАПИСНАЯ КНИЖКА. А6 80л ДЕВУШКА И АСТРОЛОГИЯ (80-6462) 7БЦ, глянц.ламинир., лен</t>
  </si>
  <si>
    <t>80-6462</t>
  </si>
  <si>
    <t>4620129764629</t>
  </si>
  <si>
    <t>ПП-00267551</t>
  </si>
  <si>
    <t>ЗАПИСНАЯ КНИЖКА. А6 80л КРАСИВАЯ ПРИРОДА - 6 (ЗК80-0078) 7БЦ, глянц.ламинир., лен</t>
  </si>
  <si>
    <t>ЗК80-0078</t>
  </si>
  <si>
    <t>4670159300786</t>
  </si>
  <si>
    <t>ПП-00267550</t>
  </si>
  <si>
    <t>ЗАПИСНАЯ КНИЖКА. А6 80л КРАСИВЫЕ АВТОМОБИЛИ - 12 (ЗК80-0077) 7БЦ, глянц.ламинир., лен</t>
  </si>
  <si>
    <t>ЗК80-0077</t>
  </si>
  <si>
    <t>4670159300779</t>
  </si>
  <si>
    <t>ПП-00267548</t>
  </si>
  <si>
    <t>ЗАПИСНАЯ КНИЖКА. А6 80л КРАСИВЫЕ КОТЫ - 2 (ЗК80-0075) 7БЦ, глянц.ламинир., лен</t>
  </si>
  <si>
    <t>ЗК80-0075</t>
  </si>
  <si>
    <t>4670159300755</t>
  </si>
  <si>
    <t>ПП-00267552</t>
  </si>
  <si>
    <t>ЗАПИСНАЯ КНИЖКА. А6 80л ОДНОТОННЫЙ ЧЁРНЫЙ - 2 (ЗК80-0079) 7БЦ, глянц.ламинир., лен</t>
  </si>
  <si>
    <t>ЗК80-0079</t>
  </si>
  <si>
    <t>4670159300793</t>
  </si>
  <si>
    <t>11. Записные книжки А6, 80л, 7БЦ, матовая ламинация, резинка, кругл. углов, печ блока 1+1, инд.в пэт</t>
  </si>
  <si>
    <t>ПП-00274469</t>
  </si>
  <si>
    <t>ЗАПИСНАЯ КНИЖКА А6 80 л. МИНИМАЛИСТИЧНЫЙ ДИЗАЙН - 24 (ЗК80-2069) 7БЦ, мат. лам., резинка, кругл. угл</t>
  </si>
  <si>
    <t>ЗК80-2069</t>
  </si>
  <si>
    <t>4670159320692</t>
  </si>
  <si>
    <t>ПП-00274455</t>
  </si>
  <si>
    <t>ЗАПИСНАЯ КНИЖКА А6 80 л. НЕЖНЫЕ ЦВЕТЫ - 26 (ЗК80-2065) 7БЦ, мат. лам., резинка, кругл. угл, бл 1+1</t>
  </si>
  <si>
    <t>ЗК80-2065</t>
  </si>
  <si>
    <t>4670159320654</t>
  </si>
  <si>
    <t>ПП-00274466</t>
  </si>
  <si>
    <t>ЗАПИСНАЯ КНИЖКА А6 80 л. ТЕНЬ ПТИЦЫ (ЗК80-2068) 7БЦ, мат. лам., резинка, кругл. угл, бл 1+1</t>
  </si>
  <si>
    <t>ЗК80-2068</t>
  </si>
  <si>
    <t>4670159320685</t>
  </si>
  <si>
    <t>ПП-00274461</t>
  </si>
  <si>
    <t>ЗАПИСНАЯ КНИЖКА А6 80 л. ЦВЕТОЧНАЯ ТЕМА - 7 (ЗК80-2066) 7БЦ, мат. лам., резинка, кругл. угл, бл 1+1</t>
  </si>
  <si>
    <t>ЗК80-2066</t>
  </si>
  <si>
    <t>4670159320661</t>
  </si>
  <si>
    <t>12. Записные книжки в точку А6, 88л, 7БЦ матовая лам+резинка, запечат.форзац</t>
  </si>
  <si>
    <t>ПП-00234801</t>
  </si>
  <si>
    <t>Записная книжка в точку А6, 88л АСТРОЛОГИЧЕСКИЙ КРУГ (Б88-9935) 7БЦ мат. лам+резинка, запечат.форзац</t>
  </si>
  <si>
    <t>Б88-9935</t>
  </si>
  <si>
    <t>4670159199359</t>
  </si>
  <si>
    <t>ПП-00234809</t>
  </si>
  <si>
    <t>Записная книжка в точку А6, 88л КОНТРАСТНАЯ КЛАССИКА (Б88-9942) 7БЦ мат. лам+резинка, запечат.форзац</t>
  </si>
  <si>
    <t>Б88-9942</t>
  </si>
  <si>
    <t>4670159199427</t>
  </si>
  <si>
    <t>ПП-00234804</t>
  </si>
  <si>
    <t>Записная книжка в точку А6, 88л ЛЮБОВЬ К КАПИБАРАМ (Б88-9937) 7БЦ мат. лам+резинка, запечат.форзац</t>
  </si>
  <si>
    <t>Б88-9937</t>
  </si>
  <si>
    <t>4670159199373</t>
  </si>
  <si>
    <t>13. Записные книжки А6,  96л. (106х148) 7БЦ</t>
  </si>
  <si>
    <t>ПП-00207839</t>
  </si>
  <si>
    <t>ЗАПИСНАЯ КНИЖКА. А6 96л. BE POSITIVE (96-6256) 7БЦ, глянц.ламинирование, цвет.мелов.обл.</t>
  </si>
  <si>
    <t>96-6256</t>
  </si>
  <si>
    <t>4670159062561</t>
  </si>
  <si>
    <t>ПП-00267559</t>
  </si>
  <si>
    <t>ЗАПИСНАЯ КНИЖКА. А6 96л. АВТО И ПРИРОДА - 11 (ЗК96-0083) 7БЦ, глянц.ламинирование, цвет.мелов.обл.</t>
  </si>
  <si>
    <t>ЗК96-0083</t>
  </si>
  <si>
    <t>4670159300830</t>
  </si>
  <si>
    <t>ПП-00267556</t>
  </si>
  <si>
    <t>ЗАПИСНАЯ КНИЖКА. А6 96л. В СИНИХ ТОНАХ - 1 (ЗК96-0081) 7БЦ, глянц.ламинирование, цвет.мелов.обл.</t>
  </si>
  <si>
    <t>ЗК96-0081</t>
  </si>
  <si>
    <t>4670159300816</t>
  </si>
  <si>
    <t>ПП-00267557</t>
  </si>
  <si>
    <t>ЗАПИСНАЯ КНИЖКА. А6 96л. ЛУННЫЕ ПЕЙЗАЖИ - 1 (ЗК96-0082) 7БЦ, глянц.ламинирование, цвет.мелов.обл.</t>
  </si>
  <si>
    <t>ЗК96-0082</t>
  </si>
  <si>
    <t>4670159300823</t>
  </si>
  <si>
    <t>ПП-00267555</t>
  </si>
  <si>
    <t>ЗАПИСНАЯ КНИЖКА. А6 96л. ОДНОТОННЫЙ ЧЁРНЫЙ - 3 (ЗК96-0080) 7БЦ, глянц.ламинирование, цвет.мелов.обл.</t>
  </si>
  <si>
    <t>ЗК96-0080</t>
  </si>
  <si>
    <t>4670159300809</t>
  </si>
  <si>
    <t>ПП-00257435</t>
  </si>
  <si>
    <t>ЗАПИСНАЯ КНИЖКА. А6 96л. ПУШИСТЫЙ КОТ - 5 (96-7562) 7БЦ, глянц.ламинирование, цвет.мелов.обл.</t>
  </si>
  <si>
    <t>96-7562</t>
  </si>
  <si>
    <t>4670159275534</t>
  </si>
  <si>
    <t>ПП-00257443</t>
  </si>
  <si>
    <t>ЗАПИСНАЯ КНИЖКА. А6 96л. ФУТБОЛЬНЫЙ МЯЧ - 18 (96-7567) 7БЦ, глянц.ламинирование, цвет.мелов.обл.</t>
  </si>
  <si>
    <t>96-7567</t>
  </si>
  <si>
    <t>4670159275589</t>
  </si>
  <si>
    <t>15. Записные книжки А6, 160л. (105х148) 7БЦ, глянц. ламинация</t>
  </si>
  <si>
    <t>ПП-00267561</t>
  </si>
  <si>
    <t>ЗАПИСНАЯ КНИЖКА. А6 160л. Aesthetics-1 (ЗК160-0084) 7БЦ, глянц.ламин., цвет.мелов.обл</t>
  </si>
  <si>
    <t>ЗК160-0084</t>
  </si>
  <si>
    <t>4670159300847</t>
  </si>
  <si>
    <t>ПП-00256555</t>
  </si>
  <si>
    <t>ЗАПИСНАЯ КНИЖКА. А6 160л. ГУСЬ В ОЧКАХ - 1 (160-7188) 7БЦ, глянц.ламин., цвет.мелов.обл</t>
  </si>
  <si>
    <t>160-7188</t>
  </si>
  <si>
    <t>4670159271888</t>
  </si>
  <si>
    <t>ПП-00267563</t>
  </si>
  <si>
    <t>ЗАПИСНАЯ КНИЖКА. А6 160л. КРАСИВЫЕ АВТОМОБИЛИ - 13 (ЗК160-0086) 7БЦ, глянц.ламин., цвет.мелов.обл</t>
  </si>
  <si>
    <t>ЗК160-0086</t>
  </si>
  <si>
    <t>4670159300861</t>
  </si>
  <si>
    <t>ПП-00256557</t>
  </si>
  <si>
    <t>ЗАПИСНАЯ КНИЖКА. А6 160л. МРАМОР-2 (160-7190) 7БЦ, глянц.ламин., цвет.мелов.обл</t>
  </si>
  <si>
    <t>160-7190</t>
  </si>
  <si>
    <t>4670159271901</t>
  </si>
  <si>
    <t>ПП-00256556</t>
  </si>
  <si>
    <t>ЗАПИСНАЯ КНИЖКА. А6 160л. СЕРО-БЕЛАЯ ТЕКСТУРА (160-7189) 7БЦ, глянц.ламин., цвет.мелов.обл</t>
  </si>
  <si>
    <t>160-7189</t>
  </si>
  <si>
    <t>4670159271895</t>
  </si>
  <si>
    <t>16. Записные книжки А6, 160л. (105х148), 7БЦ, глянц. ламинация, лен</t>
  </si>
  <si>
    <t>ПП-00265399</t>
  </si>
  <si>
    <t>ЗАПИСНАЯ КНИЖКА. А6 160л. ДИЗАЙН В ЧЁРНОМ ЦВЕТЕ - 2 (160-9504) 7БЦ, глянц.ламин.,лен</t>
  </si>
  <si>
    <t>160-9504</t>
  </si>
  <si>
    <t>4670159295044</t>
  </si>
  <si>
    <t>ПП-00265401</t>
  </si>
  <si>
    <t>ЗАПИСНАЯ КНИЖКА. А6 160л. ЗЕЛЕНОГЛАЗЫЙ КОТИК - 2 (160-9506) 7БЦ, глянц.ламин.,лен</t>
  </si>
  <si>
    <t>160-9506</t>
  </si>
  <si>
    <t>4670159295068</t>
  </si>
  <si>
    <t>ПП-00265403</t>
  </si>
  <si>
    <t>ЗАПИСНАЯ КНИЖКА. А6 160л. КРАСИВАЯ ПРИРОДА - 4 (160-9508) 7БЦ, глянц.ламин.,лен</t>
  </si>
  <si>
    <t>160-9508</t>
  </si>
  <si>
    <t>4670159295082</t>
  </si>
  <si>
    <t>ПП-00265400</t>
  </si>
  <si>
    <t>ЗАПИСНАЯ КНИЖКА. А6 160л. НАДПИСИ-1 (160-9505) 7БЦ, глянц.ламин.,лен</t>
  </si>
  <si>
    <t>160-9505</t>
  </si>
  <si>
    <t>4670159295051</t>
  </si>
  <si>
    <t>ПП-00189089</t>
  </si>
  <si>
    <t>ЗАПИСНАЯ КНИЖКА. А6 160л. НЕВЕРОЯТНЫЙ СУПЕРКАР (160-6455) 7БЦ, глянц.ламин.,лен</t>
  </si>
  <si>
    <t>160-6455</t>
  </si>
  <si>
    <t>4620129764551</t>
  </si>
  <si>
    <t>ПП-00265397</t>
  </si>
  <si>
    <t>ЗАПИСНАЯ КНИЖКА. А6 160л. ПАСТЕЛЬНЫЕ РАЗВОДЫ (160-9502) 7БЦ, глянц.ламин.,лен</t>
  </si>
  <si>
    <t>160-9502</t>
  </si>
  <si>
    <t>4670159295020</t>
  </si>
  <si>
    <t>ПП-00265398</t>
  </si>
  <si>
    <t>ЗАПИСНАЯ КНИЖКА. А6 160л. СЕРЕБРИСТАЯ МАШИНА - 3 (160-9503) 7БЦ, глянц.ламин.,лен</t>
  </si>
  <si>
    <t>160-9503</t>
  </si>
  <si>
    <t>4670159295037</t>
  </si>
  <si>
    <t>ПП-00265404</t>
  </si>
  <si>
    <t>ЗАПИСНАЯ КНИЖКА. А6 160л. ЦВЕТОЧНЫЙ МИНИМАЛИЗМ - 1 (160-9509) 7БЦ, глянц.ламин.,лен</t>
  </si>
  <si>
    <t>160-9509</t>
  </si>
  <si>
    <t>4670159295099</t>
  </si>
  <si>
    <t>04 Записные книжки А7</t>
  </si>
  <si>
    <t xml:space="preserve"> Записные книжки А7, 48л.</t>
  </si>
  <si>
    <t>ПП-00270491</t>
  </si>
  <si>
    <t>ЗАПИСНАЯ КНИЖКА А7 48л. ВОЛШЕБНОЕ ПИСЬМО (ЗК48-0786) перепл. 7БЦ, глянц. ламинация</t>
  </si>
  <si>
    <t>ЗК48-0786</t>
  </si>
  <si>
    <t>4670159307860</t>
  </si>
  <si>
    <t>ПП-00270489</t>
  </si>
  <si>
    <t>ЗАПИСНАЯ КНИЖКА А7 48л. ЖЁЛТЫЙ АВТОМОБИЛЬ - 5 (ЗК48-0784) перепл. 7БЦ, глянц. ламинация</t>
  </si>
  <si>
    <t>ЗК48-0784</t>
  </si>
  <si>
    <t>4670159307846</t>
  </si>
  <si>
    <t>ПП-00261063</t>
  </si>
  <si>
    <t>ЗАПИСНАЯ КНИЖКА А7 48л. ЗАБАВНЫЕ ГУСИ - 2 (48-8623) перепл. 7БЦ, глянц. ламинация</t>
  </si>
  <si>
    <t>48-8623</t>
  </si>
  <si>
    <t>4670159286226</t>
  </si>
  <si>
    <t>ПП-00261073</t>
  </si>
  <si>
    <t>ЗАПИСНАЯ КНИЖКА А7 48л. ЗЕЛЕНОГЛАЗЫЙ КОТИК - 1 (48-8633) перепл. 7БЦ, глянц. ламинация</t>
  </si>
  <si>
    <t>48-8633</t>
  </si>
  <si>
    <t>4670159286325</t>
  </si>
  <si>
    <t>ПП-00267568</t>
  </si>
  <si>
    <t>ЗАПИСНАЯ КНИЖКА А7 48л. МИЛАЯ КАПИБАРА - 3 (ЗК48-0088) перепл. 7БЦ, глянц. ламинация</t>
  </si>
  <si>
    <t>ЗК48-0088</t>
  </si>
  <si>
    <t>4670159300885</t>
  </si>
  <si>
    <t>ПП-00267570</t>
  </si>
  <si>
    <t>ЗАПИСНАЯ КНИЖКА А7 48л. ОДНОТОННЫЙ ЧЁРНЫЙ - 4 (ЗК48-0089) перепл. 7БЦ, глянц. ламинация</t>
  </si>
  <si>
    <t>ЗК48-0089</t>
  </si>
  <si>
    <t>4670159300892</t>
  </si>
  <si>
    <t>ПП-00267572</t>
  </si>
  <si>
    <t>ЗАПИСНАЯ КНИЖКА А7 48л. РАЗНЫЕ АВТОМОБИЛИ - 19 (ЗК48-0090) перепл. 7БЦ, глянц. ламинация</t>
  </si>
  <si>
    <t>ЗК48-0090</t>
  </si>
  <si>
    <t>4670159300908</t>
  </si>
  <si>
    <t>ПП-00269212</t>
  </si>
  <si>
    <t>ЗАПИСНАЯ КНИЖКА А7 48л. СИНИЙ (ЗК48-0342) перепл. 7БЦ, глянц. ламинация</t>
  </si>
  <si>
    <t>ЗК48-0342</t>
  </si>
  <si>
    <t>4670159303428</t>
  </si>
  <si>
    <t>ПП-00270493</t>
  </si>
  <si>
    <t>ЗАПИСНАЯ КНИЖКА А7 48л. ФРАЗА НА ЧЁРНОМ (ЗК48-0788) перепл. 7БЦ, глянц. ламинация</t>
  </si>
  <si>
    <t>ЗК48-0788</t>
  </si>
  <si>
    <t>4670159307884</t>
  </si>
  <si>
    <t>ПП-00261060</t>
  </si>
  <si>
    <t>ЗАПИСНАЯ КНИЖКА А7 48л. ЦВЕТНЫЕ МОНСТРИКИ - 2 (48-8622) перепл. 7БЦ, глянц. ламинация</t>
  </si>
  <si>
    <t>48-8622</t>
  </si>
  <si>
    <t>4670159286219</t>
  </si>
  <si>
    <t>ПП-00270490</t>
  </si>
  <si>
    <t>ЗАПИСНАЯ КНИЖКА А7 48л. ЧЁРНЫЙ АВТОМОБИЛЬ - 19 (ЗК48-0785) перепл. 7БЦ, глянц. ламинация</t>
  </si>
  <si>
    <t>ЗК48-0785</t>
  </si>
  <si>
    <t>4670159307853</t>
  </si>
  <si>
    <t>ПП-00261077</t>
  </si>
  <si>
    <t>ЗАПИСНАЯ КНИЖКА А7 48л. ЧЁРНЫЙ АВТОМОБИЛЬ - 9 (48-8637) перепл. 7БЦ, глянц. ламинация</t>
  </si>
  <si>
    <t>48-8637</t>
  </si>
  <si>
    <t>4670159286363</t>
  </si>
  <si>
    <t>ПП-00261068</t>
  </si>
  <si>
    <t>ЗАПИСНАЯ КНИЖКА А7 48л. ШИКАРНЫЙ АВТОМОБИЛЬ - 2 (48-8628) перепл. 7БЦ, глянц. ламинация</t>
  </si>
  <si>
    <t>48-8628</t>
  </si>
  <si>
    <t>4670159286271</t>
  </si>
  <si>
    <t>Записные книжки  А7,  64л.</t>
  </si>
  <si>
    <t>ПП-00065536</t>
  </si>
  <si>
    <t>ЗАПИСНАЯ КНИЖКА А7 64л. АВТО И ГОРНЫЕ ВЕРШИНЫ (64-4680) перепл. 7БЦ, глянц.ламинация</t>
  </si>
  <si>
    <t>64-4680</t>
  </si>
  <si>
    <t>4665302646804</t>
  </si>
  <si>
    <t>ПП-00238322</t>
  </si>
  <si>
    <t>ЗАПИСНАЯ КНИЖКА А7 64л. В СТИЛЕ ГРАФФИТИ (64-1679) перепл. 7БЦ, глянц.ламинация</t>
  </si>
  <si>
    <t>64-1679</t>
  </si>
  <si>
    <t>4670159216797</t>
  </si>
  <si>
    <t>ПП-00270496</t>
  </si>
  <si>
    <t>ЗАПИСНАЯ КНИЖКА А7 64л. ВОЛШЕБНОЕ ПИСЬМО - 1 (ЗК64-0791) перепл. 7БЦ, глянц.ламинация</t>
  </si>
  <si>
    <t>ЗК64-0791</t>
  </si>
  <si>
    <t>4670159307914</t>
  </si>
  <si>
    <t>ПП-00261090</t>
  </si>
  <si>
    <t>ЗАПИСНАЯ КНИЖКА А7 64л. ДЕВУШКА И ПРИРОДА - 1 (64-8638) перепл. 7БЦ, глянц. ламинация</t>
  </si>
  <si>
    <t>64-8638</t>
  </si>
  <si>
    <t>4670159286387</t>
  </si>
  <si>
    <t>ПП-00189334</t>
  </si>
  <si>
    <t>ЗАПИСНАЯ КНИЖКА А7 64л. ДРУЖЕЛЮБНЫЙ КОТЁНОК (64-6599) перепл. 7БЦ, глянц.ламинация</t>
  </si>
  <si>
    <t>64-6599</t>
  </si>
  <si>
    <t>4620129765992</t>
  </si>
  <si>
    <t>ПП-00189341</t>
  </si>
  <si>
    <t>ЗАПИСНАЯ КНИЖКА А7 64л. КАВАЙНАЯ ДЕВЧОНКА (64-6601) перепл. 7БЦ, глянц.ламинация</t>
  </si>
  <si>
    <t>64-6601</t>
  </si>
  <si>
    <t>4620129766012</t>
  </si>
  <si>
    <t>ПП-00267581</t>
  </si>
  <si>
    <t>ЗАПИСНАЯ КНИЖКА А7 64л. КАПИБАРА С УТКАМИ (ЗК64-0095) перепл. 7БЦ, глянц.ламинация</t>
  </si>
  <si>
    <t>ЗК64-0095</t>
  </si>
  <si>
    <t>4670159300953</t>
  </si>
  <si>
    <t>ПП-00261094</t>
  </si>
  <si>
    <t>ЗАПИСНАЯ КНИЖКА А7 64л. КРАСИВЫЙ АВТОМОБИЛЬ - 1 (64-8642) перепл. 7БЦ, глянц. ламинация</t>
  </si>
  <si>
    <t>64-8642</t>
  </si>
  <si>
    <t>4670159286424</t>
  </si>
  <si>
    <t>ПП-00270494</t>
  </si>
  <si>
    <t>ЗАПИСНАЯ КНИЖКА А7 64л. КРАСНЫЙ АВТОМОБИЛЬ - 7 (ЗК64-0789) перепл. 7БЦ, глянц.ламинация</t>
  </si>
  <si>
    <t>ЗК64-0789</t>
  </si>
  <si>
    <t>4670159307891</t>
  </si>
  <si>
    <t>ПП-00261091</t>
  </si>
  <si>
    <t>ЗАПИСНАЯ КНИЖКА А7 64л. МИЛЫЕ КОТЯТА - 6 (64-8639) перепл. 7БЦ, глянц. ламинация</t>
  </si>
  <si>
    <t>64-8639</t>
  </si>
  <si>
    <t>4670159286394</t>
  </si>
  <si>
    <t>ПП-00267577</t>
  </si>
  <si>
    <t>ЗАПИСНАЯ КНИЖКА А7 64л. МИЛЫЙ ПАТТЕРН - 3 (ЗК64-0093) перепл. 7БЦ, глянц.ламинация</t>
  </si>
  <si>
    <t>ЗК64-0093</t>
  </si>
  <si>
    <t>4670159300939</t>
  </si>
  <si>
    <t>ПП-00267575</t>
  </si>
  <si>
    <t>ЗАПИСНАЯ КНИЖКА А7 64л. МИНИМАЛИЗМ И ФРАЗЫ - 5 (ЗК64-0092) перепл. 7БЦ, глянц.ламинация</t>
  </si>
  <si>
    <t>ЗК64-0092</t>
  </si>
  <si>
    <t>4670159300922</t>
  </si>
  <si>
    <t>ПП-00238327</t>
  </si>
  <si>
    <t>ЗАПИСНАЯ КНИЖКА А7 64л. ОГНИ СОВРЕМЕННОГО ГОРОДА (64-1684) перепл. 7БЦ, глянц.ламинация</t>
  </si>
  <si>
    <t>64-1684</t>
  </si>
  <si>
    <t>4670159216841</t>
  </si>
  <si>
    <t>ПП-00267573</t>
  </si>
  <si>
    <t>ЗАПИСНАЯ КНИЖКА А7 64л. ОДНОТОННЫЙ СИНИЙ - 1 (ЗК64-0091) перепл. 7БЦ, глянц.ламинация</t>
  </si>
  <si>
    <t>ЗК64-0091</t>
  </si>
  <si>
    <t>4670159300915</t>
  </si>
  <si>
    <t>ПП-00267582</t>
  </si>
  <si>
    <t>ЗАПИСНАЯ КНИЖКА А7 64л. ОДНОТОННЫЙ ЧЁРНЫЙ - 5 (ЗК64-0096) перепл. 7БЦ, глянц.ламинация</t>
  </si>
  <si>
    <t>ЗК64-0096</t>
  </si>
  <si>
    <t>4670159300960</t>
  </si>
  <si>
    <t>ПП-00107998</t>
  </si>
  <si>
    <t>ЗАПИСНАЯ КНИЖКА А7 64л. ПУСТЫННЫЙ КАМУФЛЯЖ (К64-5559) перепл. 7БЦ, глянц.ламинация</t>
  </si>
  <si>
    <t>К64-5559</t>
  </si>
  <si>
    <t>4665306155593</t>
  </si>
  <si>
    <t>ПП-00261100</t>
  </si>
  <si>
    <t>ЗАПИСНАЯ КНИЖКА А7 64л. СЕРЕБРИСТАЯ МАШИНА - 2 (64-8646) перепл. 7БЦ, глянц. ламинация</t>
  </si>
  <si>
    <t>64-8646</t>
  </si>
  <si>
    <t>4670159286462</t>
  </si>
  <si>
    <t>ПП-00270495</t>
  </si>
  <si>
    <t>ЗАПИСНАЯ КНИЖКА А7 64л. СИНИЙ ВНЕДОРОЖНИК - 3 (ЗК64-0790) перепл. 7БЦ, глянц.ламинация</t>
  </si>
  <si>
    <t>ЗК64-0790</t>
  </si>
  <si>
    <t>4670159307907</t>
  </si>
  <si>
    <t>ПП-00267580</t>
  </si>
  <si>
    <t>ЗАПИСНАЯ КНИЖКА А7 64л. СТИЛЬНЫЕ АВТОМОБИЛИ - 3 (ЗК64-0094) перепл. 7БЦ, глянц.ламинация</t>
  </si>
  <si>
    <t>ЗК64-0094</t>
  </si>
  <si>
    <t>4670159300946</t>
  </si>
  <si>
    <t>ПП-00238324</t>
  </si>
  <si>
    <t>ЗАПИСНАЯ КНИЖКА А7 64л. ТЁМНЫЙ ВНЕДОРОЖНИК (64-1681) перепл. 7БЦ, глянц.ламинация</t>
  </si>
  <si>
    <t>64-1681</t>
  </si>
  <si>
    <t>4670159216810</t>
  </si>
  <si>
    <t>ПП-00270498</t>
  </si>
  <si>
    <t>ЗАПИСНАЯ КНИЖКА А7 64л. ФРАЗА НА ЧЁРНОМ - 1 (ЗК64-0793) перепл. 7БЦ, глянц.ламинация</t>
  </si>
  <si>
    <t>ЗК64-0793</t>
  </si>
  <si>
    <t>4670159307938</t>
  </si>
  <si>
    <t>ПП-00261095</t>
  </si>
  <si>
    <t>ЗАПИСНАЯ КНИЖКА А7 64л. ФУТБОЛЬНЫЙ МЯЧ - 23 (64-8643) перепл. 7БЦ, глянц. ламинация</t>
  </si>
  <si>
    <t>64-8643</t>
  </si>
  <si>
    <t>4670159286431</t>
  </si>
  <si>
    <t>ПП-00270497</t>
  </si>
  <si>
    <t>ЗАПИСНАЯ КНИЖКА А7 64л. ФУТБОЛЬНЫЙ МЯЧ - 36 (ЗК64-0792) перепл. 7БЦ, глянц.ламинация</t>
  </si>
  <si>
    <t>ЗК64-0792</t>
  </si>
  <si>
    <t>4670159307921</t>
  </si>
  <si>
    <t>ПП-00238331</t>
  </si>
  <si>
    <t>ЗАПИСНАЯ КНИЖКА А7 64л. ЯРКИЙ МОТОЦИКЛ - 1 (64-1691) перепл. 7БЦ, глянц.ламинация</t>
  </si>
  <si>
    <t>64-1691</t>
  </si>
  <si>
    <t>4670159216889</t>
  </si>
  <si>
    <t>02. Записные книги (тетради) на гребне, твёрдый переплёт, А4, А5 и А6</t>
  </si>
  <si>
    <t xml:space="preserve"> Записные книги на гребне А4</t>
  </si>
  <si>
    <t>Записные книги на гребне  А4, 80л. (204х298)</t>
  </si>
  <si>
    <t>ПП-00209132</t>
  </si>
  <si>
    <t>Записная книга на гребне  А4 80л. ГОСУДАРСТВЕННЫЙ СИМВОЛ РОССИИ (80-6743) (гребень сбоку,гл.лам,7БЦ)</t>
  </si>
  <si>
    <t>80-6743</t>
  </si>
  <si>
    <t>4670159067436</t>
  </si>
  <si>
    <t>ПП-00269216</t>
  </si>
  <si>
    <t>Записная книга на гребне  А4 80л. ЧЕРНЫЙ (ЗК80-0346) (гребень сбоку,гл.лам,7БЦ)</t>
  </si>
  <si>
    <t>ЗК80-0346</t>
  </si>
  <si>
    <t>4670159303466</t>
  </si>
  <si>
    <t>Записные книги на гребне А4, 100л.</t>
  </si>
  <si>
    <t>ПП-00189600</t>
  </si>
  <si>
    <t>Записная книга на гребне А4 100л. ОБЪЁМНАЯ ГЕОМЕТРИЯ (100-6667) (гребень сбоку,гл.ламинир-ие, 7БЦ)</t>
  </si>
  <si>
    <t>100-6667</t>
  </si>
  <si>
    <t>4620129766678</t>
  </si>
  <si>
    <t>Записные книги на гребне А4, 120л.</t>
  </si>
  <si>
    <t>ПП-00238363</t>
  </si>
  <si>
    <t>Записная книга на гребне А4 120л. БЕРЁЗЫ (120-1711) (гребень сбоку,глянц.лам., 7БЦ)</t>
  </si>
  <si>
    <t>120-1711</t>
  </si>
  <si>
    <t>4670159217114</t>
  </si>
  <si>
    <t>ПП-00213964</t>
  </si>
  <si>
    <t>Записная книга на гребне А4 120л. СОПРИКОСНОВЕНИЕ (120-9587) (гребень сбоку,глянц.лам., 7БЦ)</t>
  </si>
  <si>
    <t>120-9587</t>
  </si>
  <si>
    <t>4670159095873</t>
  </si>
  <si>
    <t xml:space="preserve"> Записные книжки на гребне А5</t>
  </si>
  <si>
    <t>Записные книжки на гребне  А5, 80л.</t>
  </si>
  <si>
    <t>ПП-00262964</t>
  </si>
  <si>
    <t>Записная книга на гребне А5 80л., АВТО-12 (80-9076) (7БЦ, на гребне, глянц.ламинирование)</t>
  </si>
  <si>
    <t>80-9076</t>
  </si>
  <si>
    <t>4670159290728</t>
  </si>
  <si>
    <t>ПП-00209153</t>
  </si>
  <si>
    <t>Записная книга на гребне А5 80л., БЕНГАЛЬСКИЙ КОТ (80-6750) (7БЦ, на гребне, глянц.ламинирование)</t>
  </si>
  <si>
    <t>80-6750</t>
  </si>
  <si>
    <t>4670159067504</t>
  </si>
  <si>
    <t>ПП-00262963</t>
  </si>
  <si>
    <t>Записная книга на гребне А5 80л., ЧЁРНЫЙ ЦВЕТ - 2 (80-9075) (7БЦ, на гребне, глянц.ламинирование)</t>
  </si>
  <si>
    <t>80-9075</t>
  </si>
  <si>
    <t>4670159290711</t>
  </si>
  <si>
    <t>ПП-00238701</t>
  </si>
  <si>
    <t>Записная книга на гребнеА5 80л.,ЭСТЕТИКА ЧЁРНОГО-2 (80-6751) (7БЦ, на гребне,глянц.ламинирование)</t>
  </si>
  <si>
    <t>80-6751</t>
  </si>
  <si>
    <t>4670159067511</t>
  </si>
  <si>
    <t>Записные книжки на гребне А5, 100л.</t>
  </si>
  <si>
    <t>ПП-00209156</t>
  </si>
  <si>
    <t>Записная книга на гребне А5 100л. АБСТРАКТНАЯ ГЕОМЕТРИЯ - 3 арт. 100-6753 (7БЦ, глянц.ламинирование)</t>
  </si>
  <si>
    <t>100-6753</t>
  </si>
  <si>
    <t>4670159067535</t>
  </si>
  <si>
    <t>ПП-00255684</t>
  </si>
  <si>
    <t>Записная книга на гребне А5 100л. ГОРОДСКАЯ АРХИТЕКТУРА - 3 (100-7107) 7БЦ, глянц.ламинирование</t>
  </si>
  <si>
    <t>100-7107</t>
  </si>
  <si>
    <t>4670159271079</t>
  </si>
  <si>
    <t>ПП-00209157</t>
  </si>
  <si>
    <t>Записная книга на гребне А5 100л. КЛАССИЧЕСКИЙ СТИЛЬ - 2 арт. 100-6754 (7БЦ, глянц.ламинирование)</t>
  </si>
  <si>
    <t>100-6754</t>
  </si>
  <si>
    <t>4670159067542</t>
  </si>
  <si>
    <t>Записные книжки на гребне А5, 120л.</t>
  </si>
  <si>
    <t>ПП-00256768</t>
  </si>
  <si>
    <t>Записная книга на гребне А5 120л. МОСТ В ЧЁРНО-БЕЛОМ - 1 (120-7213) 7БЦ, глянц.ламинирование</t>
  </si>
  <si>
    <t>120-7213</t>
  </si>
  <si>
    <t>4670159272137</t>
  </si>
  <si>
    <t>ПП-00189974</t>
  </si>
  <si>
    <t>Записная книга на гребне А5 120л. СИМВОЛИКА РОССИИ - 5 (120-6795) (7БЦ, глянц.ламинирование)</t>
  </si>
  <si>
    <t>120-6795</t>
  </si>
  <si>
    <t>4620129767958</t>
  </si>
  <si>
    <t xml:space="preserve"> Записные книжки на гребне А6</t>
  </si>
  <si>
    <t>Записные книжки на гребне А6, 80л.</t>
  </si>
  <si>
    <t>ПП-00110078</t>
  </si>
  <si>
    <t>Записная книжка на гребне А6 80л.,  ТАУЭРСКИЙ МОСТ- 4 (К80-5914) (7БЦ, глянц.ламинирование)</t>
  </si>
  <si>
    <t>К80-5914</t>
  </si>
  <si>
    <t>4665306159140</t>
  </si>
  <si>
    <t>ПП-00265406</t>
  </si>
  <si>
    <t>Записная книжка на гребне А6 80л., БЛЕСТЯЩИЕ АВТО - 1 (80-9511) (7БЦ, глянц.ламинирование)</t>
  </si>
  <si>
    <t>80-9511</t>
  </si>
  <si>
    <t>4670159295112</t>
  </si>
  <si>
    <t>ПП-00265408</t>
  </si>
  <si>
    <t>Записная книжка на гребне А6 80л., ДИЗАЙН В ЧЁРНОМ ЦВЕТЕ - 3 (80-9513) (7БЦ, глянц.ламинирование)</t>
  </si>
  <si>
    <t>80-9513</t>
  </si>
  <si>
    <t>4670159295136</t>
  </si>
  <si>
    <t>ПП-00265407</t>
  </si>
  <si>
    <t>Записная книжка на гребне А6 80л., ЗАБАВНЫЙ КОТИК - 3 (80-9512) (7БЦ, глянц.ламинирование)</t>
  </si>
  <si>
    <t>80-9512</t>
  </si>
  <si>
    <t>4670159295129</t>
  </si>
  <si>
    <t>ПП-00189746</t>
  </si>
  <si>
    <t>Записная книжка на гребне А6 80л., ПОВЕЛИТЕЛЬ БЕЗДОРОЖЬЯ (80-6694) (7БЦ, глянц.ламинирование)</t>
  </si>
  <si>
    <t>80-6694</t>
  </si>
  <si>
    <t>4620129766944</t>
  </si>
  <si>
    <t>ПП-00265405</t>
  </si>
  <si>
    <t>Записная книжка на гребне А6 80л., ЦВЕТОЧНЫЕ МОТИВЫ - 1 (80-9510) (7БЦ, глянц.ламинирование)</t>
  </si>
  <si>
    <t>80-9510</t>
  </si>
  <si>
    <t>4670159295105</t>
  </si>
  <si>
    <t>05. Бизнес-блокноты (твёрдый переплёт А4,  А5, и А6)</t>
  </si>
  <si>
    <t>Бизнес-блокноты А4</t>
  </si>
  <si>
    <t>ПП-00209096</t>
  </si>
  <si>
    <t>Бизнес-блокнот А4 80л. ЭСТЕТИКА ЧЁРНОГО (Б80-6747) 7БЦ, глянц.ламин., цвет.мелов.обл.</t>
  </si>
  <si>
    <t>Б80-6747</t>
  </si>
  <si>
    <t>4670159067276</t>
  </si>
  <si>
    <t>Бизнес-блокноты А4,  96л. (206х297) глянцевое ламинирование</t>
  </si>
  <si>
    <t>ПП-00238376</t>
  </si>
  <si>
    <t>Бизнес-блокнот А4 96л. МЕГАПОЛИС - 2 (96-1730) 7БЦ, глянц.ламин., цвет.мелов.обл.</t>
  </si>
  <si>
    <t>96-1730</t>
  </si>
  <si>
    <t>4670159217190</t>
  </si>
  <si>
    <t>ПП-00238378</t>
  </si>
  <si>
    <t>Бизнес-блокнот А4 96л. МИНИМАЛИЗМ В СИНЕМ (96-1731) 7БЦ, глянц.ламин., цвет.мелов.обл.</t>
  </si>
  <si>
    <t>96-1731</t>
  </si>
  <si>
    <t>4670159217206</t>
  </si>
  <si>
    <t>Бизнес-блокноты А4, 120л. (206х297) глянцевое ламинирование</t>
  </si>
  <si>
    <t>ПП-00189752</t>
  </si>
  <si>
    <t>Бизнес-блокнот А4 120л. ВИД НА НЕБОСКРЁБЫ (Б120-6699) пер.7БЦ,глянц.лам.,цвет.мелов.обл.</t>
  </si>
  <si>
    <t>Б120-6699</t>
  </si>
  <si>
    <t>4620129766999</t>
  </si>
  <si>
    <t>ПП-00238385</t>
  </si>
  <si>
    <t>Бизнес-блокнот А4 120л. РОССИЯ - 13 (120-1725) пер.7БЦ,глянц.лам.,цвет.мелов.обл.</t>
  </si>
  <si>
    <t>120-1725</t>
  </si>
  <si>
    <t>4670159217251</t>
  </si>
  <si>
    <t>ПП-00238861</t>
  </si>
  <si>
    <t>Бизнес-блокнот А4 120л. ЧЁРНЫЙ И ЖЁЛТЫЙ (Б120-6728) пер.7БЦ,глянц.лам.,цвет.мелов.обл.</t>
  </si>
  <si>
    <t>Б120-6728</t>
  </si>
  <si>
    <t>Бизнес-блокноты А4, 160л. (206х297) глянцевое ламинирование</t>
  </si>
  <si>
    <t>ПП-00199388</t>
  </si>
  <si>
    <t>Бизнес-блокнот А4 160л. ЛОДКА И ПРИБОЙ (Б160-1360) 7БЦ, глянц.ламин., цвет.мелов.обл.</t>
  </si>
  <si>
    <t>Б160-1360</t>
  </si>
  <si>
    <t>4670159013600</t>
  </si>
  <si>
    <t>ПП-00199387</t>
  </si>
  <si>
    <t>Бизнес-блокнот А4 160л. ТЁМНЫЕ СТУПЕНИ (Б160-1359) 7БЦ, глянц.ламин., цвет.мелов.обл.</t>
  </si>
  <si>
    <t>Б160-1359</t>
  </si>
  <si>
    <t>4670159013594</t>
  </si>
  <si>
    <t>Бизнес-блокноты А4, 200л. (206х297) глянцевое ламинирование</t>
  </si>
  <si>
    <t>ПП-00233863</t>
  </si>
  <si>
    <t>Бизнес-блокнот А4 200л. МИНИМАЛИЗМ В ЧЁРНОМ (Б200-9398) 7БЦ, глянц.ламин., цвет.мелов.обл.</t>
  </si>
  <si>
    <t>Б200-9398</t>
  </si>
  <si>
    <t>4670159193982</t>
  </si>
  <si>
    <t>ПП-00233864</t>
  </si>
  <si>
    <t>Бизнес-блокнот А4 200л. МРАМОР В ГОЛУБОМ (Б200-9399) 7БЦ, глянц.ламин., цвет.мелов.обл.</t>
  </si>
  <si>
    <t>Б200-9399</t>
  </si>
  <si>
    <t>4670159193999</t>
  </si>
  <si>
    <t>ПП-00235955</t>
  </si>
  <si>
    <t>Бизнес-блокнот А4 200л. МРАМОР В ГОЛУБОМ (Б200-9399) 7БЦ, глянц.ламин., цвет.мелов.обл. (!)</t>
  </si>
  <si>
    <t>ПП-00199393</t>
  </si>
  <si>
    <t>Бизнес-блокнот А4 200л. ПОЛЁТ ЖУРАВЛЯ (Б200-1364) 7БЦ, глянц.ламин., цвет.мелов.обл.</t>
  </si>
  <si>
    <t>Б200-1364</t>
  </si>
  <si>
    <t>4670159013648</t>
  </si>
  <si>
    <t>ПП-00199390</t>
  </si>
  <si>
    <t>Бизнес-блокнот А4 200л. СИНИЕ ОКРУЖНОСТИ (Б200-1361) 7БЦ, глянц.ламин., цвет.мелов.обл.</t>
  </si>
  <si>
    <t>Б200-1361</t>
  </si>
  <si>
    <t>4670159013617</t>
  </si>
  <si>
    <t>Бизнес-блокноты А5</t>
  </si>
  <si>
    <t>Бизнес-блокноты А5,  80л. (170х220)</t>
  </si>
  <si>
    <t xml:space="preserve"> Бизнес-блокноты А5, 80л. (170х220) глянцевое ламинирование</t>
  </si>
  <si>
    <t>ПП-00189757</t>
  </si>
  <si>
    <t>Бизнес-блокнот А5 80л. ИСКУССТВО В 3D (Б80-6702) (перепл.7БЦ, глянц.ламинир., цвет.мелов.обл.)</t>
  </si>
  <si>
    <t>Б80-6702</t>
  </si>
  <si>
    <t>4620129767026</t>
  </si>
  <si>
    <t>ПП-00213962</t>
  </si>
  <si>
    <t>Бизнес-блокнот А5 80л. МНОЖЕСТВО СТРЕЛОК (Б80-9585) (пер.7БЦ, глянц.ламинир., цвет.мелов.обл.)</t>
  </si>
  <si>
    <t>Б80-9585</t>
  </si>
  <si>
    <t>4670159095859</t>
  </si>
  <si>
    <t>Бизнес-блокноты А5, 80 л. (170х220) лён, матовая ламинация, кругление углов</t>
  </si>
  <si>
    <t>ПП-00108119</t>
  </si>
  <si>
    <t>ТМ"Collezione"Бизнес-блокнот А5 80л. СТИЛЬНАЯ ДЕВУШКА (Б80-5639) 7БЦ,лён,цвет.мел.обл.,кругл.углов</t>
  </si>
  <si>
    <t>Б80-5639</t>
  </si>
  <si>
    <t>4665306156392</t>
  </si>
  <si>
    <t>Бизнес-блокноты А6</t>
  </si>
  <si>
    <t>Бизнес-блокноты А6,  80л. (104х148)</t>
  </si>
  <si>
    <t>Бизнес-блокноты А6, 80л . (110х148) глянцевое ламинирование</t>
  </si>
  <si>
    <t>ПП-00238381</t>
  </si>
  <si>
    <t>Бизнес-блокнот А6 80л. МОТОЦИКЛ - 3 (80-1757) 7БЦ, глянц.ламинир., цвет.мелов.обл.</t>
  </si>
  <si>
    <t>80-1757</t>
  </si>
  <si>
    <t>4670159217237</t>
  </si>
  <si>
    <t>ПП-00209123</t>
  </si>
  <si>
    <t>Бизнес-блокнот А6 80л. СЛАДКИЕ ИНЖИРЫ (Б80-6756) 7БЦ, глянц.ламинир., цвет.мелов.обл.</t>
  </si>
  <si>
    <t>Б80-6756</t>
  </si>
  <si>
    <t>4670159067368</t>
  </si>
  <si>
    <t>ПП-00209120</t>
  </si>
  <si>
    <t>Бизнес-блокнот А6 80л. ТЕМНОВОЛОСАЯ ДЕВУШКА (Б80-6753) 7БЦ, глянц.ламинир., цвет.мелов.обл.</t>
  </si>
  <si>
    <t>Б80-6753</t>
  </si>
  <si>
    <t>4670159067337</t>
  </si>
  <si>
    <t>06. Книги для записи кулинарных рецептов</t>
  </si>
  <si>
    <t>Книги для записи кулин. рецептов "ГОТОВЛЮ НА НЕДЕЛЮ",56л,7БЦ,гл.лам,обл.офс120г,бл.офс80г,гр,170х240</t>
  </si>
  <si>
    <t>ПП-00214754</t>
  </si>
  <si>
    <t>Книга для записи кулин. рецептов 56л. ГОТОВЛЮ НА НЕДЕЛЮ ВЕСНОЙ (ЕЖ-7170)7БЦ,гл.лам,цв обл,170х240</t>
  </si>
  <si>
    <t>ЕЖ-7170</t>
  </si>
  <si>
    <t>4620129771702</t>
  </si>
  <si>
    <t>ПП-00214755</t>
  </si>
  <si>
    <t>Книга для записи кулин. рецептов 56л. ГОТОВЛЮ НА НЕДЕЛЮ ЗИМОЙ (ЕЖ-7169)7БЦ,гл.лам,цв обл.,170х240</t>
  </si>
  <si>
    <t>ЕЖ-7169</t>
  </si>
  <si>
    <t>4620129771696</t>
  </si>
  <si>
    <t>ПП-00214756</t>
  </si>
  <si>
    <t>Книга для записи кулин. рецептов 56л. ГОТОВЛЮ НА НЕДЕЛЮ ЛЕТОМ (ЕЖ-7171)7БЦ,гл.лам,цв обл,170х240</t>
  </si>
  <si>
    <t>ЕЖ-7171</t>
  </si>
  <si>
    <t>4620129771719</t>
  </si>
  <si>
    <t>ПП-00214757</t>
  </si>
  <si>
    <t>Книга для записи кулин. рецептов 56л. ГОТОВЛЮ НА НЕДЕЛЮ ОСЕНЬЮ (ЕЖ-7172)7БЦ,гл.лам,цв обл,170х240</t>
  </si>
  <si>
    <t>ЕЖ-7172</t>
  </si>
  <si>
    <t>4620129771726</t>
  </si>
  <si>
    <t>ПП-00244902</t>
  </si>
  <si>
    <t>Книга для записи кулин. рецептов. 56л. ГОТОВЛЮ НА НЕДЕЛЮ 7БЦ,гл.лам.,цв обл,170х240 СПАЙКА4 !</t>
  </si>
  <si>
    <t>ЕЖ-04</t>
  </si>
  <si>
    <t>ПП-00202554</t>
  </si>
  <si>
    <t>Книга для записи кулин. рецептов. 56л. ГОТОВЛЮ НА НЕДЕЛЮ ВЕСНОЙ (ЕЖ-7170) 7БЦ,гл.лам.,цв обл,170х240</t>
  </si>
  <si>
    <t>ПП-00202553</t>
  </si>
  <si>
    <t>Книга для записи кулин. рецептов. 56л. ГОТОВЛЮ НА НЕДЕЛЮ ЗИМОЙ (ЕЖ-7169) 7БЦ,гл.лам.,цв обл.,170х240</t>
  </si>
  <si>
    <t>ПП-00202556</t>
  </si>
  <si>
    <t>Книга для записи кулин. рецептов. 56л. ГОТОВЛЮ НА НЕДЕЛЮ ЛЕТОМ (ЕЖ-7171) 7БЦ,гл.лам.,цв обл,170х240</t>
  </si>
  <si>
    <t>ПП-00202557</t>
  </si>
  <si>
    <t>Книга для записи кулин. рецептов. 56л. ГОТОВЛЮ НА НЕДЕЛЮ ОСЕНЬЮ (ЕЖ-7172) 7БЦ,гл.лам.,цв обл,170х240</t>
  </si>
  <si>
    <t>11. Записные книжки с тематическим содержанием</t>
  </si>
  <si>
    <t>Блокноты "Необычный блокнот в точку" 18л, КБС, обл. цел.картон,200г,гл.лам,ч/б блок офс.100г,215х215</t>
  </si>
  <si>
    <t>ПП-00211092</t>
  </si>
  <si>
    <t>Блокнот ДЛЯ ТЕХ, КТО ИЩЕТ ВДОХНОВЕНИЕ (Б18-3674) 18л., КБС, обл.цел.кар,гл.лам,ч/б бл офс, 215х215</t>
  </si>
  <si>
    <t>Б18-3674</t>
  </si>
  <si>
    <t>4670159036746</t>
  </si>
  <si>
    <t>ПП-00211101</t>
  </si>
  <si>
    <t>Блокнот ДЛЯ ТЕХ, КТО МНОГО РАБОТАЕТ (Б18-3676) 18л., КБС, обл.цел.кар,гл.лам,ч/б бл офс, 215х215</t>
  </si>
  <si>
    <t>Б18-3676</t>
  </si>
  <si>
    <t>4670159036760</t>
  </si>
  <si>
    <t>ПП-00211098</t>
  </si>
  <si>
    <t>Блокнот ДЛЯ ТЕХ, КТО ХОЧЕТ СТАТЬ МИЛЛИОНЕРОМ (Б18-3675) 18л., КБС,обл.ц.кар,гл.л,ч/б бл офс, 215х215</t>
  </si>
  <si>
    <t>Б18-3675</t>
  </si>
  <si>
    <t>4670159036753</t>
  </si>
  <si>
    <t>Блокноты для поднятия настроения, А5, КБС, матовая ламинация, выборочный лак</t>
  </si>
  <si>
    <t>Блокнот - Funny Book, 160х195, 72л., КБС, круг.углов, обл. мат.ламинация</t>
  </si>
  <si>
    <t>ПП-00172721</t>
  </si>
  <si>
    <t>Блокноты Рисуй легко!</t>
  </si>
  <si>
    <t>Блокноты Рисуй легко! матов.ламин.,выб.лак. гребень</t>
  </si>
  <si>
    <t>ПП-00123479</t>
  </si>
  <si>
    <t>Блокнот РИСУЙ ЛЕГКО! ИНТЕРЬЕР А5,64 л (Б64-5533), 7БЦ,мат лам,выб.лак,бл офс, гребень</t>
  </si>
  <si>
    <t>Б64-5533</t>
  </si>
  <si>
    <t>4630079155330</t>
  </si>
  <si>
    <t>Дневник успешного школьника, А5, 48л., гребень,обл. 7БЦ, глянц лам,120г, бл. офс80,полноцвет,170х240</t>
  </si>
  <si>
    <t>ПП-00206083</t>
  </si>
  <si>
    <t>Дневник-мотиватор школьника УЧИТЬСЯ - КРУТО! (ДН-8895) А5, 48л.,7БЦ, греб, гл. лам, блок офс,полноцв</t>
  </si>
  <si>
    <t>ПП-00206082</t>
  </si>
  <si>
    <t>Дневник-мотиватор школьника УЧУСЬ ЛЕГКО! (ДН-8894) А5, 48л., 7БЦ, греб, глянц. лам, блок офс,полноцв</t>
  </si>
  <si>
    <t>ПП-00206081</t>
  </si>
  <si>
    <t>Дневник-мотиватор школьника Я МОЛОДЕЦ! (ДН-8893) А5, 48л., 7БЦ, греб, глянц. лам, блок офс,полноцв</t>
  </si>
  <si>
    <t>ПП-00206078</t>
  </si>
  <si>
    <t>12. Книги учёта и регистрации</t>
  </si>
  <si>
    <t>Книги учёта  А4 (мягкий переплёт, блок- офсет)</t>
  </si>
  <si>
    <t>Книги учёта  А4 (мягкий переплёт, блок- офсет) 48л</t>
  </si>
  <si>
    <t>ПП-00031117</t>
  </si>
  <si>
    <t>Книга учёта  48л. БЕЛАЯ, клетка (48-4496) скрепка, обл.-картон хромер., блок-офсет, 200х275</t>
  </si>
  <si>
    <t>48-4496</t>
  </si>
  <si>
    <t>9785378244966</t>
  </si>
  <si>
    <t>ПП-00039988</t>
  </si>
  <si>
    <t>Книга учёта  48л. БОРДО, клетка (48-8009) скрепка, обл.-картон хромер., блок-офсет, 200х275</t>
  </si>
  <si>
    <t>48-8009</t>
  </si>
  <si>
    <t>4665297780095</t>
  </si>
  <si>
    <t>ПП-00039984</t>
  </si>
  <si>
    <t>Книга учёта  48л. ЗЕЛЕНАЯ, клетка (48-8011) скрепка, обл.-картон хромер., блок-офсет,  200х275</t>
  </si>
  <si>
    <t>48-8011</t>
  </si>
  <si>
    <t>4665297780118</t>
  </si>
  <si>
    <t>Книги учёта  А4 (мягкий переплёт, блок- офсет) 96л</t>
  </si>
  <si>
    <t>ПП-00031118</t>
  </si>
  <si>
    <t>Книга учёта  96л. БЕЛАЯ, клетка (96-4494) скрепка, обл.-картон хромер., блок-офсет, 200х275</t>
  </si>
  <si>
    <t>96-4494</t>
  </si>
  <si>
    <t>9785378244942</t>
  </si>
  <si>
    <t>ПП-00262789</t>
  </si>
  <si>
    <t>Книга учёта  96л. ГРАФИТ, клетка (96-9055) скрепка, обл.-картон хромер., блок-офсет, 200х275</t>
  </si>
  <si>
    <t>96-9055</t>
  </si>
  <si>
    <t>4670159290551</t>
  </si>
  <si>
    <t>ПП-00262790</t>
  </si>
  <si>
    <t>Книга учёта  96л. СИНЯЯ РОССИЯ, клетка (96-9056) скрепка, обл.-картон хромер., блок-офсет, 200х275</t>
  </si>
  <si>
    <t>96-9056</t>
  </si>
  <si>
    <t>4670159290568</t>
  </si>
  <si>
    <t>ПП-00262788</t>
  </si>
  <si>
    <t>Книга учёта  96л. ЧЕРНАЯ, клетка (96-9054) скрепка, обл.-картон хромер., блок-офсет, 200х275</t>
  </si>
  <si>
    <t>96-9054</t>
  </si>
  <si>
    <t>4670159290544</t>
  </si>
  <si>
    <t>ПП-00039942</t>
  </si>
  <si>
    <t>Книга учёта  96л., БОРДО, клетка (96-8006) скрепка, обл.-картон хромер., блок-офсет, 200х275</t>
  </si>
  <si>
    <t>96-8006</t>
  </si>
  <si>
    <t>4665297780064</t>
  </si>
  <si>
    <t>Книги учёта  А4, А5 (твёрдый переплёт, блок- офсет)</t>
  </si>
  <si>
    <t>Книга учёта А4, 80л., переплёт 7БЦ, глянц.ламин.,блок-офсет</t>
  </si>
  <si>
    <t>ПП-00027473</t>
  </si>
  <si>
    <t>Книга учёта  80л. ЗЕЛЁНАЯ, клетка (80-8676) переплёт 7БЦ, глянц.ламин., блок-офсет, 205х300</t>
  </si>
  <si>
    <t>80-8676</t>
  </si>
  <si>
    <t>9785378186761</t>
  </si>
  <si>
    <t>ПП-00185748</t>
  </si>
  <si>
    <t>Книга учёта  80л. НЕБОСКРЕБЫ И НЕБО, клетка (80-5640) переплёт 7БЦ, глянц.лам., блок-офсет, 200х298</t>
  </si>
  <si>
    <t>80-5640</t>
  </si>
  <si>
    <t>4620129746403</t>
  </si>
  <si>
    <t>ПП-00185746</t>
  </si>
  <si>
    <t>Книга учёта  80л. СИМВОЛИКА РОССИИ-4, клетка (80-4633) переплёт 7БЦ, глянц.лам., блок-офсет, 200х298</t>
  </si>
  <si>
    <t>80-4633</t>
  </si>
  <si>
    <t>4620129746335</t>
  </si>
  <si>
    <t>ПП-00027614</t>
  </si>
  <si>
    <t>Книга учёта  80л. СИНЯЯ, клетка (80-8668) переплёт 7БЦ, глянц.ламин., блок-офсет, 200х298</t>
  </si>
  <si>
    <t>80-8668</t>
  </si>
  <si>
    <t>9785378186686</t>
  </si>
  <si>
    <t>ПП-00264474</t>
  </si>
  <si>
    <t>Книга учёта  80л. ЧЁРНЫЙ ЦВЕТ - 10, клетка (80-9288) переплёт 7БЦ, глянц.лам., блок-офсет, 200х298</t>
  </si>
  <si>
    <t>80-9288</t>
  </si>
  <si>
    <t>4670159292883</t>
  </si>
  <si>
    <t>Книга учёта А4, 96л., переплёт 7БЦ, глянц.ламин.,блок-офсет</t>
  </si>
  <si>
    <t>ПП-00040781</t>
  </si>
  <si>
    <t>Книга учёта  96 л. СИНЯЯ, линия (96-6663) переплёт 7БЦ, глянц.ламин., блок-офсет, 200х275</t>
  </si>
  <si>
    <t>96-6663</t>
  </si>
  <si>
    <t>4665295466632</t>
  </si>
  <si>
    <t>ПП-00030747</t>
  </si>
  <si>
    <t>Книга учёта  96л. БОРДО, клетка (96-3169) переплёт 7БЦ, глянц.ламин., блок-офсет, 200х298</t>
  </si>
  <si>
    <t>96-3169</t>
  </si>
  <si>
    <t>9785378231690</t>
  </si>
  <si>
    <t>ПП-00185754</t>
  </si>
  <si>
    <t>Книга учёта  96л. ГОРОДСКОЙ ПЕЙЗАЖ-2, клетка (96-4635) переплёт 7БЦ, глянц.лам., блок-офсет, 200х298</t>
  </si>
  <si>
    <t>96-4635</t>
  </si>
  <si>
    <t>4620129746359</t>
  </si>
  <si>
    <t>ПП-00260942</t>
  </si>
  <si>
    <t>Книга учёта  96л. ГОСУДАРСТВЕННЫЙ СИМВОЛ РОССИИ - 2, клетка(96-8603)перепл.7БЦ,глянц.лам.,блок-офсет</t>
  </si>
  <si>
    <t>96-8603</t>
  </si>
  <si>
    <t>4670159286035</t>
  </si>
  <si>
    <t>ПП-00264486</t>
  </si>
  <si>
    <t>Книга учёта  96л. ГРАФИТ -  2, клетка (96-9290) переплёт 7БЦ, глянц.ламин., блок-офсет, 200х298</t>
  </si>
  <si>
    <t>96-9290</t>
  </si>
  <si>
    <t>4670159292906</t>
  </si>
  <si>
    <t>ПП-00030736</t>
  </si>
  <si>
    <t>Книга учёта  96л. ЗЕЛЁНАЯ, клетка (96-3168) переплёт 7БЦ, глянц.ламин., блок-офсет, 200х298</t>
  </si>
  <si>
    <t>96-3168</t>
  </si>
  <si>
    <t>9785378231683</t>
  </si>
  <si>
    <t>ПП-00185753</t>
  </si>
  <si>
    <t>Книга учёта  96л. РАДУЖНЫЕ СПИРАЛИ-1, клетка (96-4634) переплёт 7БЦ, глянц.лам., блок-офсет, 200х298</t>
  </si>
  <si>
    <t>96-4634</t>
  </si>
  <si>
    <t>4620129746342</t>
  </si>
  <si>
    <t>ПП-00185750</t>
  </si>
  <si>
    <t>Книга учёта  96л. СИМВОЛИКА РОССИИ-3, клетка (96-4632) переплёт 7БЦ, глянц.лам., блок-офсет, 200х298</t>
  </si>
  <si>
    <t>96-4632</t>
  </si>
  <si>
    <t>4620129746328</t>
  </si>
  <si>
    <t>ПП-00027575</t>
  </si>
  <si>
    <t>Книга учёта  96л. СИНЯЯ, клетка (96-8669) переплёт 7БЦ, глянц.ламин., блок-офсет, 200х298</t>
  </si>
  <si>
    <t>96-8669</t>
  </si>
  <si>
    <t>9785378186693</t>
  </si>
  <si>
    <t>ПП-00264479</t>
  </si>
  <si>
    <t>Книга учёта  96л. ЧЁРНЫЙ ЦВЕТ - 11, клетка (96-9289) переплёт 7БЦ, глянц.ламин., блок-офсет, 200х298</t>
  </si>
  <si>
    <t>96-9289</t>
  </si>
  <si>
    <t>4670159292890</t>
  </si>
  <si>
    <t>Книга учёта А4,120л., переплёт 7БЦ, глянц.ламин.,блок-офсет</t>
  </si>
  <si>
    <t>ПП-00033644</t>
  </si>
  <si>
    <t>Книга учёта 120л. БОРДО, клетка (120-3025) переплёт 7БЦ, глянц.ламин., блок-офсет, 200х298</t>
  </si>
  <si>
    <t>120-3025</t>
  </si>
  <si>
    <t>4665295430251</t>
  </si>
  <si>
    <t>ПП-00033645</t>
  </si>
  <si>
    <t>Книга учёта 120л. ЗЕЛЁНАЯ, клетка (120-3026) переплёт 7БЦ, глянц.ламин., блок-офсет, 200х298</t>
  </si>
  <si>
    <t>120-3026</t>
  </si>
  <si>
    <t>4665295430268</t>
  </si>
  <si>
    <t>ПП-00027576</t>
  </si>
  <si>
    <t>Книга учёта 120л. СИНЯЯ, клетка (120-8671) переплёт 7БЦ, глянц.ламин., блок-офсет, 200х298</t>
  </si>
  <si>
    <t>120-8671</t>
  </si>
  <si>
    <t>9785378186716</t>
  </si>
  <si>
    <t>ПП-00185756</t>
  </si>
  <si>
    <t>Книга учёта 120л. СТАРИННАЯ УЛОЧКА, клетка (120-4639) переплёт 7БЦ, глянц.лам., блок-офсет, 200х298</t>
  </si>
  <si>
    <t>120-4639</t>
  </si>
  <si>
    <t>4620129746397</t>
  </si>
  <si>
    <t>ПП-00264490</t>
  </si>
  <si>
    <t>Книга учёта 120л. ЧЁРНЫЙ ЦВЕТ - 12, клетка (120-9291) переплёт 7БЦ, глянц.ламин., блок-офсет,200х298</t>
  </si>
  <si>
    <t>120-9291</t>
  </si>
  <si>
    <t>4670159292913</t>
  </si>
  <si>
    <t>Книга учёта А4,160л., переплёт 7БЦ, глянц.ламин.,блок-офсет</t>
  </si>
  <si>
    <t>ПП-00264493</t>
  </si>
  <si>
    <t>Книга учёта 160л. ГРАФИТ -  3, клетка (160-9293) переплёт 7БЦ, глянц.ламин., блок-офсет, 200х298</t>
  </si>
  <si>
    <t>160-9293</t>
  </si>
  <si>
    <t>4670159292937</t>
  </si>
  <si>
    <t>ПП-00027615</t>
  </si>
  <si>
    <t>Книга учёта 160л. СИНЯЯ, клетка (160-8673) переплёт 7БЦ, глянц.ламин., блок-офсет, 200х298</t>
  </si>
  <si>
    <t>160-8673</t>
  </si>
  <si>
    <t>9785378186730</t>
  </si>
  <si>
    <t>ПП-00264492</t>
  </si>
  <si>
    <t>Книга учёта 160л. ЧЁРНЫЙ ЦВЕТ - 13, клетка (160-9292) переплёт 7БЦ, глянц.ламин., блок-офсет,200х298</t>
  </si>
  <si>
    <t>160-9292</t>
  </si>
  <si>
    <t>4670159292920</t>
  </si>
  <si>
    <t>Книга учёта А4,196л., переплёт 7БЦ, глянц.ламин.,блок-офсет</t>
  </si>
  <si>
    <t>ПП-00185761</t>
  </si>
  <si>
    <t>Книга учёта 196л. АБСТРАКТНЫЕ ФИГУРЫ-3, клетка (196-4631) переплёт 7БЦ, гл.лам., блок-офсет, 200х298</t>
  </si>
  <si>
    <t>196-4631</t>
  </si>
  <si>
    <t>4620129746311</t>
  </si>
  <si>
    <t>ПП-00056383</t>
  </si>
  <si>
    <t>Книга учёта 196л. БОРДО (196-2774) переплёт 7БЦ, глянц.ламин., блок-офсет, 200х275</t>
  </si>
  <si>
    <t>196-2774</t>
  </si>
  <si>
    <t>4665299627749</t>
  </si>
  <si>
    <t>ПП-00264498</t>
  </si>
  <si>
    <t>Книга учёта 196л. ГРАФИТ -  4, клетка (196-9295) переплёт 7БЦ, глянц.ламин., блок-офсет, 200х298</t>
  </si>
  <si>
    <t>196-9295</t>
  </si>
  <si>
    <t>4670159292951</t>
  </si>
  <si>
    <t>ПП-00030737</t>
  </si>
  <si>
    <t>Книга учёта 196л. ЗЕЛЁНАЯ, клетка (196-3171) переплёт 7БЦ, глянц.ламин., блок-офсет, 200х275</t>
  </si>
  <si>
    <t>196-3171</t>
  </si>
  <si>
    <t>9785378231713</t>
  </si>
  <si>
    <t>ПП-00185771</t>
  </si>
  <si>
    <t>Книга учёта 196л. МЕГАПОЛИС БУДУЩЕГО, клетка (196-4641) переплёт 7БЦ, гл.лам., блок-офсет, 200х298</t>
  </si>
  <si>
    <t>196-4641</t>
  </si>
  <si>
    <t>4620129746410</t>
  </si>
  <si>
    <t>ПП-00222492</t>
  </si>
  <si>
    <t>Книга учёта 196л. СИМВОЛИКА РОССИИ - 6, клетка (196-3941) переплёт 7БЦ, гл.лам., блок-офсет, 200х298</t>
  </si>
  <si>
    <t>196-3941</t>
  </si>
  <si>
    <t>4670159139416</t>
  </si>
  <si>
    <t>ПП-00033397</t>
  </si>
  <si>
    <t>Книга учёта 196л. СИНЯЯ, клетка (196-3029) переплёт 7БЦ, глянц.ламин., блок-офсет, 200х275</t>
  </si>
  <si>
    <t>196-3029</t>
  </si>
  <si>
    <t>4665295430299</t>
  </si>
  <si>
    <t>ПП-00222491</t>
  </si>
  <si>
    <t>Книга учёта 196л. УРБАНИЗМ, клетка (196-3940) переплёт 7БЦ, гл.лам., блок-офсет, 200х298</t>
  </si>
  <si>
    <t>196-3940</t>
  </si>
  <si>
    <t>4670159139409</t>
  </si>
  <si>
    <t>ПП-00264496</t>
  </si>
  <si>
    <t>Книга учёта 196л. ЧЁРНЫЙ ЦВЕТ - 1, клетка (196-9294) переплёт 7БЦ, глянц.ламин., блок-офсет, 200х298</t>
  </si>
  <si>
    <t>196-9294</t>
  </si>
  <si>
    <t>4670159292944</t>
  </si>
  <si>
    <t>Книги учёта А4 бумвинил, клетка, тиснение фольгой (твёрдый переплёт, блок- офсет)</t>
  </si>
  <si>
    <t>ПП-00264465</t>
  </si>
  <si>
    <t>Книга учета бумвинил 96л ЗЕЛЕНЫЙ, клетка (96-9283) тиснение фольгой</t>
  </si>
  <si>
    <t>96-9283</t>
  </si>
  <si>
    <t>4670159292838</t>
  </si>
  <si>
    <t>ПП-00264467</t>
  </si>
  <si>
    <t>Книга учета бумвинил 96л КОРИЧНЕВЫЙ, клетка (96-9285) тиснение фольгой</t>
  </si>
  <si>
    <t>96-9285</t>
  </si>
  <si>
    <t>4670159292852</t>
  </si>
  <si>
    <t>Медицинские карты А4, А5</t>
  </si>
  <si>
    <t>Медицинские карты А4, А5 скрепка</t>
  </si>
  <si>
    <t>Медицинские карты А5, 32л, скрепка, обл.офсет</t>
  </si>
  <si>
    <t>ПП-00036809</t>
  </si>
  <si>
    <t xml:space="preserve">  Медицинская  карта ребёнка (КРАСНАЯ) А5 32л (КМ-5605) скреп., обл.- офсет №1, 195x138</t>
  </si>
  <si>
    <t>КМ-5605</t>
  </si>
  <si>
    <t>4665295456053</t>
  </si>
  <si>
    <t>ПП-00036835</t>
  </si>
  <si>
    <t xml:space="preserve">  Медицинская  карта ребёнка (СИНЯЯ) А5 32л (КМ-5604) скреп., обл.-офсет №1, 195x138</t>
  </si>
  <si>
    <t>КМ-5604</t>
  </si>
  <si>
    <t>4665295456046</t>
  </si>
  <si>
    <t>Медицинские карты А5, 7БЦ</t>
  </si>
  <si>
    <t>Медицинские карты А5, 7БЦ, 96л, мат.ламин.</t>
  </si>
  <si>
    <t>ПП-00275883</t>
  </si>
  <si>
    <t>Медицинская карта. История развития ребенка А5 96л,7БЦ МИЛЫЙ КОТИК-10 (96-2420) мел.обл., блок офсет</t>
  </si>
  <si>
    <t>96-2420</t>
  </si>
  <si>
    <t>4670159324201</t>
  </si>
  <si>
    <t>ПП-00275885</t>
  </si>
  <si>
    <t>Медицинская карта. История развития ребенка А5 96л,7БЦ МИЛЫЙ ПЁСИК - 2 (96-2422) мел.обл,бл оф</t>
  </si>
  <si>
    <t>96-2422</t>
  </si>
  <si>
    <t>4670159324225</t>
  </si>
  <si>
    <t>ПП-00275884</t>
  </si>
  <si>
    <t>Медицинская карта. История развития ребенка А5 96л,7БЦ МИШКА И ВОЗДУШНЫЙ ШАР (96-2421) мел.обл,бл оф</t>
  </si>
  <si>
    <t>96-2421</t>
  </si>
  <si>
    <t>4670159324218</t>
  </si>
  <si>
    <t>Медицинские карты А5, 7БЦ,144л, мат.ламин.</t>
  </si>
  <si>
    <t>ПП-00030750</t>
  </si>
  <si>
    <t xml:space="preserve"> Амбулаторная карта А5, 144л. (АК-3248) 7БЦ, обл.-картон, блок-офсет.,200х140</t>
  </si>
  <si>
    <t>АК-3248</t>
  </si>
  <si>
    <t>9785378232482</t>
  </si>
  <si>
    <t>ПП-00136821</t>
  </si>
  <si>
    <t xml:space="preserve"> Амбулаторная карта А5, 144л. ЕДИНОРОГИ (КМ-0464) 7БЦ, обл.-картон, блок-офсет.,200х140</t>
  </si>
  <si>
    <t>КМ-0464</t>
  </si>
  <si>
    <t>4680088404646</t>
  </si>
  <si>
    <t>ПП-00195320</t>
  </si>
  <si>
    <t xml:space="preserve"> Амбулаторная карта А5, 144л. ЁЖИК И ЛИСИЧКА (КМ-8977) 7БЦ, обл.-картон, блок-офсет.,200х140</t>
  </si>
  <si>
    <t>КМ-8977</t>
  </si>
  <si>
    <t>4620129789776</t>
  </si>
  <si>
    <t>ПП-00195321</t>
  </si>
  <si>
    <t xml:space="preserve"> Амбулаторная карта А5, 144л. МЕДИЦИНСКАЯ КЛАССИКА (КМ-8976) 7БЦ, обл.-картон, блок-офсет.,200х140</t>
  </si>
  <si>
    <t>КМ-8976</t>
  </si>
  <si>
    <t>4620129789769</t>
  </si>
  <si>
    <t>ПП-00136827</t>
  </si>
  <si>
    <t xml:space="preserve"> Амбулаторная карта А5, 144л. РЕЗВЫЕ МАШИНКИ (КМ-0468) 7БЦ, обл.-картон, блок-офсет.,200х140</t>
  </si>
  <si>
    <t>КМ-0468</t>
  </si>
  <si>
    <t>4680088404684</t>
  </si>
  <si>
    <t>ПП-00137374</t>
  </si>
  <si>
    <t xml:space="preserve"> Амбулаторная карта взрослого А5, 144л. (АК-0529) 7БЦ, обл.-картон, блок-офсет., 218х153</t>
  </si>
  <si>
    <t>АК-0529</t>
  </si>
  <si>
    <t>4680088405292</t>
  </si>
  <si>
    <t>ПП-00278219</t>
  </si>
  <si>
    <t xml:space="preserve"> Амбулаторная карта взрослого А5, 144л. МЕДИЦИНСКАЯ ТЕМАТИКА-1 (144-3165)7БЦ, блок-офсет., 218х153</t>
  </si>
  <si>
    <t>144-3165</t>
  </si>
  <si>
    <t>4670159331650</t>
  </si>
  <si>
    <t>ПП-00275887</t>
  </si>
  <si>
    <t>Амбулаторная карта А5, 144л. ЗВЕРИ И ДОКТОР (144-2424) 7БЦ, обл.-картон, блок-офсет.,200х140</t>
  </si>
  <si>
    <t>144-2424</t>
  </si>
  <si>
    <t>4670159324249</t>
  </si>
  <si>
    <t>ПП-00272578</t>
  </si>
  <si>
    <t>Амбулаторная карта А5, 144л. КОТЁНОК-2 (144-1495) 7БЦ, обл.-картон, блок-офсет.,200х140</t>
  </si>
  <si>
    <t>144-1495</t>
  </si>
  <si>
    <t>4670159314950</t>
  </si>
  <si>
    <t>ПП-00272579</t>
  </si>
  <si>
    <t>Амбулаторная карта А5, 144л. МИЛАЯ ЗВЕРУШКА (144-1496) 7БЦ, обл.-картон, блок-офсет.,200х140</t>
  </si>
  <si>
    <t>144-1496</t>
  </si>
  <si>
    <t>4670159314967</t>
  </si>
  <si>
    <t>ПП-00275888</t>
  </si>
  <si>
    <t>Амбулаторная карта А5, 144л. МИЛЫЙ ЗАЙЧИК (144-2425) 7БЦ, обл.-картон, блок-офсет.,200х140</t>
  </si>
  <si>
    <t>144-2425</t>
  </si>
  <si>
    <t>4670159324256</t>
  </si>
  <si>
    <t>ПП-00182576</t>
  </si>
  <si>
    <t>Амбулаторная карта А5, 144л. РЕЗВЫЕ МАШИНКИ (КМ-0468) 7БЦ, обл.-картон, блок-офсет. (!)</t>
  </si>
  <si>
    <t>4620129722704</t>
  </si>
  <si>
    <t>ПП-00275886</t>
  </si>
  <si>
    <t>Амбулаторная карта А5, 144л. СИНЯЯ МАШИНА - 4 (144-2423) 7БЦ, обл.-картон, блок-офсет.,200х140</t>
  </si>
  <si>
    <t>144-2423</t>
  </si>
  <si>
    <t>4670159324232</t>
  </si>
  <si>
    <t>Медицинские карты А5, КБС</t>
  </si>
  <si>
    <t>Медицинские карты А5, КБС,96л,обл.картон, блок офсет</t>
  </si>
  <si>
    <t>ПП-00180639</t>
  </si>
  <si>
    <t>Медицинская карта История разв. ребенка А5 96л,КБС САМОЛЕТ И МАШИНА(КМ-6125) мел.обл., блок офсет(!)</t>
  </si>
  <si>
    <t>КМ-6125</t>
  </si>
  <si>
    <t>4620129722711</t>
  </si>
  <si>
    <t>Сертификаты о профилактических прививках</t>
  </si>
  <si>
    <t xml:space="preserve"> Сертификат о профилактических прививках А5, 6л.обл.-офсет, блок-офсет</t>
  </si>
  <si>
    <t>ПП-00037827</t>
  </si>
  <si>
    <t>Сертификат о профилактических прививках А5, 6л. (06-5501) обл.-офсет, блок-офсет.,195х140</t>
  </si>
  <si>
    <t>06-5501</t>
  </si>
  <si>
    <t>4665295455018</t>
  </si>
  <si>
    <t>Сертификат о профилактических прививках А6, 12л.обл.-офсет, блок-офсет</t>
  </si>
  <si>
    <t>ПП-00037826</t>
  </si>
  <si>
    <t>Сертификат о профилактических прививках А6, 12л. (12-5502) обл.-офсет, блок-офсет.,140х98</t>
  </si>
  <si>
    <t>12-5502</t>
  </si>
  <si>
    <t>4665295455025</t>
  </si>
  <si>
    <t>Сертификат о профилактических прививках А6, 12л.обл.цветн.мелов., блок-офсет</t>
  </si>
  <si>
    <t>ПП-00270434</t>
  </si>
  <si>
    <t>Сертификат о профилактических прививках А6, 12л. ДЕВОЧКА С ЗАЙЧИКОМ (12-0773) цв.мел.обл.</t>
  </si>
  <si>
    <t>12-0773</t>
  </si>
  <si>
    <t>4670159307730</t>
  </si>
  <si>
    <t>ПП-00227593</t>
  </si>
  <si>
    <t>Сертификат о профилактических прививках А6, 12л. ЗВЕРЯТА НА ТРАНСПОРТЕ - 1 (12-6736) цв.мел.обл.</t>
  </si>
  <si>
    <t>12-6736</t>
  </si>
  <si>
    <t>4670159167365</t>
  </si>
  <si>
    <t>13. Продукция для планирования</t>
  </si>
  <si>
    <t>01. Ежедневники и Еженедельники (твёрдый переплёт А4, А5 и А6)</t>
  </si>
  <si>
    <t>02. Ежедневники А5</t>
  </si>
  <si>
    <t>ПП-00197919</t>
  </si>
  <si>
    <t>TM"Profit"ЕЖЕДНЕВНИК А5, 80л. АБСТРАКТНЫЙ КОЛЛАЖ (80-6194) 7БЦ, глян.лам., цвет.мел обл.,недат.</t>
  </si>
  <si>
    <t>80-6194</t>
  </si>
  <si>
    <t>4620129751940</t>
  </si>
  <si>
    <t xml:space="preserve">   TМ"Profit"Ежедневники А5, 80л. БУМВИНИЛ (150х208), недатированные</t>
  </si>
  <si>
    <t>ПП-00217932</t>
  </si>
  <si>
    <t>TМ"Profit"Ежедневник А5, 80 л. БОРДО (80БВ-4632) бумвинил недатированный</t>
  </si>
  <si>
    <t>80БВ-4632</t>
  </si>
  <si>
    <t>4665295446320</t>
  </si>
  <si>
    <t>ПП-00033928</t>
  </si>
  <si>
    <t>ПП-00033930</t>
  </si>
  <si>
    <t>TМ"Profit"Ежедневник А5, 80 л. ЗЕЛЁНЫЙ (80БВ-4634) бумвинил недатированный</t>
  </si>
  <si>
    <t>80БВ-4634</t>
  </si>
  <si>
    <t>4665295446344</t>
  </si>
  <si>
    <t>ПП-00033931</t>
  </si>
  <si>
    <t>TМ"Profit"Ежедневник А5, 80 л. КОРИЧНЕВЫЙ (80БВ-4635) бумвинил недатированный</t>
  </si>
  <si>
    <t>80БВ-4635</t>
  </si>
  <si>
    <t>4665295446351</t>
  </si>
  <si>
    <t>ПП-00042929</t>
  </si>
  <si>
    <t>TМ"Profit"Ежедневник А5, 80 л. КРАСНЫЙ (80БВ-1134) бумвинил недатированный</t>
  </si>
  <si>
    <t>80БВ-1134</t>
  </si>
  <si>
    <t>4665299611342</t>
  </si>
  <si>
    <t>ПП-00033929</t>
  </si>
  <si>
    <t>TМ"Profit"Ежедневник А5, 80 л. СИНИЙ (80БВ-4633) бумвинил недатированный</t>
  </si>
  <si>
    <t>80БВ-4633</t>
  </si>
  <si>
    <t>4665295446337</t>
  </si>
  <si>
    <t>ПП-00033927</t>
  </si>
  <si>
    <t>TМ"Profit"Ежедневник А5, 80 л. ЧЁРНЫЙ (80БВ-4631) бумвинил недатированный</t>
  </si>
  <si>
    <t>80БВ-4631</t>
  </si>
  <si>
    <t>4665295446313</t>
  </si>
  <si>
    <t xml:space="preserve">   Ежедневники А5,128л. БУМВИНИЛ (150х208). недатированные</t>
  </si>
  <si>
    <t>ПП-00103182</t>
  </si>
  <si>
    <t>Ежедневник А5, 128 л. (128-4925) ЧЁРНЫЙ бумвинил недатированный</t>
  </si>
  <si>
    <t>128-4925</t>
  </si>
  <si>
    <t>4665306149257</t>
  </si>
  <si>
    <t>ПП-00103183</t>
  </si>
  <si>
    <t>Ежедневник А5, 128 л. (128-4926) БОРДО  бумвинил недатированный</t>
  </si>
  <si>
    <t>128-4926</t>
  </si>
  <si>
    <t>4665306149264</t>
  </si>
  <si>
    <t>ПП-00103184</t>
  </si>
  <si>
    <t>Ежедневник А5, 128 л. (128-4927) СИНИЙ  бумвинил недатированный</t>
  </si>
  <si>
    <t>128-4927</t>
  </si>
  <si>
    <t>4665306149271</t>
  </si>
  <si>
    <t>ПП-00173370</t>
  </si>
  <si>
    <t>Ежедневник А5, 128 л. (128-4928) ЗЕЛЕНЫЙ  бумвинил недатированный</t>
  </si>
  <si>
    <t>128-4928</t>
  </si>
  <si>
    <t>4665306149288</t>
  </si>
  <si>
    <t>ПП-00103185</t>
  </si>
  <si>
    <t>ПП-00103186</t>
  </si>
  <si>
    <t>Ежедневник А5, 128 л. (128-4929) КОРИЧНЕВЫЙ  бумвинил недатированный</t>
  </si>
  <si>
    <t>128-4929</t>
  </si>
  <si>
    <t>4665306149295</t>
  </si>
  <si>
    <t>ПП-00198065</t>
  </si>
  <si>
    <t>Ежедневник А5, 128 л. (128-4930) КРАСНЫЙ  бумвинил недатированный</t>
  </si>
  <si>
    <t>128-4930</t>
  </si>
  <si>
    <t>4665306149301</t>
  </si>
  <si>
    <t>ПП-00103187</t>
  </si>
  <si>
    <t xml:space="preserve">  Ежедневники А5,  80л. (145х203) глянцевая ламинация, недатированные</t>
  </si>
  <si>
    <t>ПП-00253519</t>
  </si>
  <si>
    <t>ЕЖЕДНЕВНИК А5, 80л. ВСЁ ПРАВИЛЬНО (80-4703) (7БЦ,глянц.ламин., цвет.мелов обл., недатиров.)</t>
  </si>
  <si>
    <t>80-4703</t>
  </si>
  <si>
    <t>4670159267461</t>
  </si>
  <si>
    <t>ПП-00235723</t>
  </si>
  <si>
    <t>ЕЖЕДНЕВНИК А5, 80л. ГОРОДСКОЙ МОСТ - 1 (80-0311) (7БЦ,глянц.ламин., цвет.мелов обл., недатиров.)</t>
  </si>
  <si>
    <t>80-0311</t>
  </si>
  <si>
    <t>4670159203759</t>
  </si>
  <si>
    <t>ПП-00272998</t>
  </si>
  <si>
    <t>ЕЖЕДНЕВНИК А5, 80л. КРАСИВАЯ АРХИТЕКТУРА -13 (80-1582) (7БЦ,глянц.ламин., цвет.мел обл., недатиров.)</t>
  </si>
  <si>
    <t>80-1582</t>
  </si>
  <si>
    <t>4670159315827</t>
  </si>
  <si>
    <t>ПП-00253516</t>
  </si>
  <si>
    <t>ЕЖЕДНЕВНИК А5, 80л. НЕЖНЫЙ МРАМОР (80-4701) (7БЦ,глянц.ламин., цвет.мелов обл., недатиров.)</t>
  </si>
  <si>
    <t>80-4701</t>
  </si>
  <si>
    <t>4670159267447</t>
  </si>
  <si>
    <t>ПП-00272999</t>
  </si>
  <si>
    <t>ЕЖЕДНЕВНИК А5, 80л. ОДНОТОННЫЙ МИНИМАЛИЗМ -2 (80-1583) (7БЦ,глянц.ламин., цвет.мел обл., недатиров.)</t>
  </si>
  <si>
    <t>80-1583</t>
  </si>
  <si>
    <t>4670159315834</t>
  </si>
  <si>
    <t>ПП-00235724</t>
  </si>
  <si>
    <t>ЕЖЕДНЕВНИК А5, 80л. СЕРЫЙ АВТОМОБИЛЬ - 2 (80-0310) (7БЦ,глянц.ламин., цвет.мелов обл., недатиров.)</t>
  </si>
  <si>
    <t>80-0310</t>
  </si>
  <si>
    <t>4670159203742</t>
  </si>
  <si>
    <t>ПП-00273000</t>
  </si>
  <si>
    <t>ЕЖЕДНЕВНИК А5, 80л. ЦВЕТОЧНЫЙ ПАТТЕРН - 30 (80-1584) (7БЦ,глянц.ламин., цвет.мел обл., недатиров.)</t>
  </si>
  <si>
    <t>80-1584</t>
  </si>
  <si>
    <t>4670159315841</t>
  </si>
  <si>
    <t>ПП-00273001</t>
  </si>
  <si>
    <t>ЕЖЕДНЕВНИК А5, 80л. ЧЁРНЫЙ МИНИМАЛИЗМ - 8 (80-1585) (7БЦ,глянц.ламин., цвет.мел обл., недатиров.)</t>
  </si>
  <si>
    <t>80-1585</t>
  </si>
  <si>
    <t>4670159315858</t>
  </si>
  <si>
    <t>ПП-00235725</t>
  </si>
  <si>
    <t>ЕЖЕДНЕВНИК А5, 80л. ЯРКИЙ ФУТБОЛЬНЫЙ МЯЧ (80-0312) (7БЦ,глянц.ламин., цвет.мелов обл., недатиров.)</t>
  </si>
  <si>
    <t>80-0312</t>
  </si>
  <si>
    <t>4670159203766</t>
  </si>
  <si>
    <t xml:space="preserve"> Ежедневники А5,  128л. (145х203) глянцевая ламинация, недатированные</t>
  </si>
  <si>
    <t>ПП-00197933</t>
  </si>
  <si>
    <t>ЕЖЕДНЕВНИК А5, 128л. ДЕРЗКИЙ ПРИМАТ (128-5209) (7БЦ, гл.ламин, цвет.мелов обл., недатиров.)</t>
  </si>
  <si>
    <t>128-5209</t>
  </si>
  <si>
    <t>4620129752091</t>
  </si>
  <si>
    <t>ПП-00253520</t>
  </si>
  <si>
    <t>ЕЖЕДНЕВНИК А5, 128л. ПАСТЕЛЬНЫЙ МИНИМАЛИЗМ-2 (128-6749) (7БЦ, гл.ламин, цвет.мелов обл., недатиров.)</t>
  </si>
  <si>
    <t>128-6749</t>
  </si>
  <si>
    <t>4670159267492</t>
  </si>
  <si>
    <t>ПП-00253521</t>
  </si>
  <si>
    <t>ЕЖЕДНЕВНИК А5, 128л. ПРИРОДНОЕ УМИРОТВОРЕНИЕ-2 (128-6750) (7БЦ, гл.лам, цвет.мелов обл., недатиров.)</t>
  </si>
  <si>
    <t>128-6750</t>
  </si>
  <si>
    <t>4670159267508</t>
  </si>
  <si>
    <t>ПП-00253523</t>
  </si>
  <si>
    <t>ЕЖЕДНЕВНИК А5, 128л. ТЁМНО-СИНИЙ МИНИМАЛИЗМ (128-6748) (7БЦ, гл.лам, цвет.мелов обл., недатиров.)</t>
  </si>
  <si>
    <t>128-6748</t>
  </si>
  <si>
    <t>4670159267485</t>
  </si>
  <si>
    <t>ПП-00253522</t>
  </si>
  <si>
    <t>ЕЖЕДНЕВНИК А5, 128л. ТРУДИСЬ ТИХО (128-6747) (7БЦ, гл.лам, цвет.мелов обл., недатиров.)</t>
  </si>
  <si>
    <t>128-6747</t>
  </si>
  <si>
    <t>4670159267478</t>
  </si>
  <si>
    <t>ПП-00233549</t>
  </si>
  <si>
    <t>ЕЖЕДНЕВНИК А5, 128л. ШИКАРНЫЙ АВТОМОБИЛЬ - 1 (128-9260) (7БЦ, гл.ламин, цвет.мелов обл., недатиров.)</t>
  </si>
  <si>
    <t>128-9260</t>
  </si>
  <si>
    <t>4670159192510</t>
  </si>
  <si>
    <t xml:space="preserve"> Ежедневники А5, 128л. (150х204)7БЦ,софт-тач,лам,выб.л,черн.фон,резинка,недат</t>
  </si>
  <si>
    <t>ПП-00234549</t>
  </si>
  <si>
    <t>ЕЖЕДНЕВНИК А5,128л. ЗАСНЕЖЕННЫЕ ГОРЫ (128-9897)7БЦ,софт-тач,лам,в.л,чер.ф,рез</t>
  </si>
  <si>
    <t>128-9897</t>
  </si>
  <si>
    <t>4670159198970</t>
  </si>
  <si>
    <t>ПП-00234548</t>
  </si>
  <si>
    <t>ЕЖЕДНЕВНИК А5,128л. МЯЧ НА ГАЗОНЕ (128-9898)7БЦ,софт-тач,лам,в.л,чер.ф,рез</t>
  </si>
  <si>
    <t>128-9898</t>
  </si>
  <si>
    <t>4670159198987</t>
  </si>
  <si>
    <t>ПП-00234551</t>
  </si>
  <si>
    <t>ЕЖЕДНЕВНИК А5,128л. НЕЖНЫЙ ЦВЕТОК - 3 (128-9899)7БЦ,софт-тач,лам,в.л,чер.ф,рез</t>
  </si>
  <si>
    <t>128-9899</t>
  </si>
  <si>
    <t>4670159198994</t>
  </si>
  <si>
    <t>ПП-00234546</t>
  </si>
  <si>
    <t>ЕЖЕДНЕВНИК А5,128л. ЯРКО-КРАСНОЕ АВТО - 1 (128-9896)7БЦ,софт-тач,лам,в.л,чер.ф,рез</t>
  </si>
  <si>
    <t>128-9896</t>
  </si>
  <si>
    <t>4670159198963</t>
  </si>
  <si>
    <t xml:space="preserve"> Ежедневники А5, 136л. (145х205)</t>
  </si>
  <si>
    <t xml:space="preserve"> Ежедневники А5, 136л., обл.карт157г, подложка,софт-тач лам,цв.лам обл+перфорация (К)</t>
  </si>
  <si>
    <t>ПП-00210389</t>
  </si>
  <si>
    <t>Ежедневник с внутренним карманом A5, 136 л. TIMBER - БИРЮЗА (136-7586)</t>
  </si>
  <si>
    <t>136-7586</t>
  </si>
  <si>
    <t>4670159075868</t>
  </si>
  <si>
    <t>Ежедневники  А5, 136л. (145х203) лен, недатированные + горячая фольга, матовая ламинация.</t>
  </si>
  <si>
    <t>ПП-00253525</t>
  </si>
  <si>
    <t>ЕЖЕДНЕВНИК А5, 136л. МИНИМАЛИСТИЧНЫЙ ЕЖЕДНЕВНИК (136-6751) 7БЦ, лен, горячая фольга, мат.лам., нед.</t>
  </si>
  <si>
    <t>136-6751</t>
  </si>
  <si>
    <t>4670159267515</t>
  </si>
  <si>
    <t>ПП-00253526</t>
  </si>
  <si>
    <t>ЕЖЕДНЕВНИК А5, 136л. МИНИМАЛИСТИЧНЫЙ ЕЖЕДНЕВНИК-1 (136-6752) 7БЦ, лен, горячая фольга, мат.лам.,нед.</t>
  </si>
  <si>
    <t>136-6752</t>
  </si>
  <si>
    <t>4670159267522</t>
  </si>
  <si>
    <t>ПП-00253527</t>
  </si>
  <si>
    <t>ЕЖЕДНЕВНИК А5, 136л. МИНИМАЛИСТИЧНЫЙ ЕЖЕДНЕВНИК-2 (136-6753) 7БЦ, лен, горячая фольга, мат.лам.,нед.</t>
  </si>
  <si>
    <t>136-6753</t>
  </si>
  <si>
    <t>4670159267539</t>
  </si>
  <si>
    <t>ПП-00253528</t>
  </si>
  <si>
    <t>ЕЖЕДНЕВНИК А5, 136л. МИНИМАЛИСТИЧНЫЙ ЕЖЕДНЕВНИК-3 (136-6754) 7БЦ, лен, горячая фольга, мат.лам.,нед.</t>
  </si>
  <si>
    <t>136-6754</t>
  </si>
  <si>
    <t>4670159267546</t>
  </si>
  <si>
    <t>Ежедневники  А5, 136л. (150х205) лен, недатированные</t>
  </si>
  <si>
    <t>ПП-00228518</t>
  </si>
  <si>
    <t>ЕЖЕДНЕВНИК А5, 136л. PEACH FUZZ (136-7134) 7БЦ, лен, цвет.мелов обл., недатиров.</t>
  </si>
  <si>
    <t>136-7134</t>
  </si>
  <si>
    <t>4670159171348</t>
  </si>
  <si>
    <t>ПП-00186024</t>
  </si>
  <si>
    <t>ЕЖЕДНЕВНИК А5, 136л. ГАЛАКТИЧЕСКИЙ ДИ-ДЖЕЙ (136-4860) 7БЦ, лен, цвет.мелов обл., недатиров.</t>
  </si>
  <si>
    <t>136-4860</t>
  </si>
  <si>
    <t>4620129748605</t>
  </si>
  <si>
    <t>ПП-00233556</t>
  </si>
  <si>
    <t>ЕЖЕДНЕВНИК А5, 136л. КЛАССИКА В ЧЁРНОМ (136-9256) 7БЦ, лен, цвет.мелов обл., недатиров.</t>
  </si>
  <si>
    <t>136-9256</t>
  </si>
  <si>
    <t>4670159192565</t>
  </si>
  <si>
    <t>ПП-00233557</t>
  </si>
  <si>
    <t>ЕЖЕДНЕВНИК А5, 136л. ПАТРИОТИЗМ - 1 (136-9257) 7БЦ, лен, цвет.мелов обл., недатиров.</t>
  </si>
  <si>
    <t>136-9257</t>
  </si>
  <si>
    <t>4670159192572</t>
  </si>
  <si>
    <t>ПП-00233555</t>
  </si>
  <si>
    <t>ЕЖЕДНЕВНИК А5, 136л. СЕРЫЕ КВАДРАТЫ - 1 (136-9255) 7БЦ, лен, цвет.мелов обл., недатиров.</t>
  </si>
  <si>
    <t>136-9255</t>
  </si>
  <si>
    <t>4670159192558</t>
  </si>
  <si>
    <t>Ежедневники А5, 80л. (145х203) контрасты, гланц. ламин., недатированные</t>
  </si>
  <si>
    <t>ПП-00273887</t>
  </si>
  <si>
    <t>ЕЖЕДНЕВНИК А5, 80л. КОНТРАСТ-1 (80-1825) 7БЦ,контраст,цв.мел обл,недатир</t>
  </si>
  <si>
    <t>80-1825</t>
  </si>
  <si>
    <t>4670159318224</t>
  </si>
  <si>
    <t>ПП-00273888</t>
  </si>
  <si>
    <t>ЕЖЕДНЕВНИК А5, 80л. КОНТРАСТ-2 (80-1826) 7БЦ,контраст,цв.мел обл,недатир</t>
  </si>
  <si>
    <t>80-1826</t>
  </si>
  <si>
    <t>4670159318231</t>
  </si>
  <si>
    <t>ПП-00273889</t>
  </si>
  <si>
    <t>ЕЖЕДНЕВНИК А5, 80л. КОНТРАСТ-3 (80-1827) 7БЦ,контраст,цв.мел обл,недатир</t>
  </si>
  <si>
    <t>80-1827</t>
  </si>
  <si>
    <t>4670159318248</t>
  </si>
  <si>
    <t>ПП-00273890</t>
  </si>
  <si>
    <t>ЕЖЕДНЕВНИК А5, 80л. КОНТРАСТ-4 (80-1828) 7БЦ,контраст,цв.мел обл,недатир</t>
  </si>
  <si>
    <t>80-1828</t>
  </si>
  <si>
    <t>4670159318255</t>
  </si>
  <si>
    <t>ПП-00235708</t>
  </si>
  <si>
    <t>ТМ"Collezione" ЕЖЕДНЕВНИК А5,80л. ВЗГЛЯД ХИЩНИКА - 1 (80-0397) 7БЦ,контраст,цв.мел обл,недатир</t>
  </si>
  <si>
    <t>80-0397</t>
  </si>
  <si>
    <t>4670159203650</t>
  </si>
  <si>
    <t>ПП-00235695</t>
  </si>
  <si>
    <t>ТМ"Collezione" ЕЖЕДНЕВНИК А5,80л. ГОРОДСКИЕ ФОНАРИ (80-0391) 7БЦ,контраст,цв.мел обл,недатир</t>
  </si>
  <si>
    <t>80-0391</t>
  </si>
  <si>
    <t>4670159203599</t>
  </si>
  <si>
    <t>ПП-00235701</t>
  </si>
  <si>
    <t>ТМ"Collezione" ЕЖЕДНЕВНИК А5,80л. МАКИ В ЦВЕТЕ (80-0394) 7БЦ,контраст,цв.мел обл,недатир</t>
  </si>
  <si>
    <t>80-0394</t>
  </si>
  <si>
    <t>4670159203629</t>
  </si>
  <si>
    <t>ПП-00235700</t>
  </si>
  <si>
    <t>ТМ"Collezione" ЕЖЕДНЕВНИК А5,80л. ПЕРЬЯ В ЦВЕТЕ (80-0393) 7БЦ,контраст,цв.мел обл,недатир</t>
  </si>
  <si>
    <t>80-0393</t>
  </si>
  <si>
    <t>4670159203612</t>
  </si>
  <si>
    <t>ПП-00235703</t>
  </si>
  <si>
    <t>ТМ"Collezione" ЕЖЕДНЕВНИК А5,80л. УЛИЦЫ ЛОНДОНА (80-0395) 7БЦ,контраст,цв.мел обл,недатир</t>
  </si>
  <si>
    <t>80-0395</t>
  </si>
  <si>
    <t>4670159203636</t>
  </si>
  <si>
    <t>ПП-00235705</t>
  </si>
  <si>
    <t>ТМ"Collezione" ЕЖЕДНЕВНИК А5,80л. ЦВЕТЫ НА КАМНЯХ (80-0396) 7БЦ,контраст,цв.мел обл,недатир</t>
  </si>
  <si>
    <t>80-0396</t>
  </si>
  <si>
    <t>4670159203643</t>
  </si>
  <si>
    <t>ПП-00235694</t>
  </si>
  <si>
    <t>ТМ"Collezione" ЕЖЕДНЕВНИК А5,80л. ЯРКО-ЖЁЛТАЯ МАШИНА (80-0390) 7БЦ,контраст,цв.мел обл,недатир</t>
  </si>
  <si>
    <t>80-0390</t>
  </si>
  <si>
    <t>4670159203582</t>
  </si>
  <si>
    <t>Ежедневники А5, 80л. (145х203), софтач+выборочный лак, недатированные</t>
  </si>
  <si>
    <t>ПП-00253530</t>
  </si>
  <si>
    <t>ЕЖЕДНЕВНИК А5, 80л. ВЕЧЕРНИЕ УЛИЧНЫЕ ОГНИ (80-6758) 7БЦ, софт-тач+выбороч.лак, недатир.</t>
  </si>
  <si>
    <t>80-6758</t>
  </si>
  <si>
    <t>4670159267584</t>
  </si>
  <si>
    <t>ПП-00253529</t>
  </si>
  <si>
    <t>ЕЖЕДНЕВНИК А5, 80л. ДИЗАЙН В КЛЕТКУ - 4 (80-6755) 7БЦ, софт-тач+выбороч.лак, недатир.</t>
  </si>
  <si>
    <t>80-6755</t>
  </si>
  <si>
    <t>4670159267553</t>
  </si>
  <si>
    <t>ПП-00253531</t>
  </si>
  <si>
    <t>ЕЖЕДНЕВНИК А5, 80л. КОСМИЧЕСКИЙ МИНИМАЛИЗМ (80-6756) 7БЦ, софт-тач+выбороч.лак, недатир.</t>
  </si>
  <si>
    <t>80-6756</t>
  </si>
  <si>
    <t>4670159267560</t>
  </si>
  <si>
    <t>ПП-00253532</t>
  </si>
  <si>
    <t>ЕЖЕДНЕВНИК А5, 80л. КРАСНЫЙ С ЧЁРНЫМ АВТОМОБИЛЬ (80-6757) 7БЦ, софт-тач+выбороч.лак, недатир.</t>
  </si>
  <si>
    <t>80-6757</t>
  </si>
  <si>
    <t>4670159267577</t>
  </si>
  <si>
    <t>Ежедневники А5, 80л. (145х210) Твин лак, недатированные</t>
  </si>
  <si>
    <t>ПП-00217694</t>
  </si>
  <si>
    <t>ТМ"Collezione" ЕЖЕДНЕВНИК А5,80л. КОЛЕСО МАШИНЫ (80-7365) 7БЦ, твин лак, недатированный</t>
  </si>
  <si>
    <t>80-7365</t>
  </si>
  <si>
    <t>4670159073659</t>
  </si>
  <si>
    <t>ПП-00186042</t>
  </si>
  <si>
    <t>ТМ"Collezione" ЕЖЕДНЕВНИК А5,80л. ПЛЯЖНЫЙ ПРИШЕЛЕЦ (80-4875) 7БЦ, твин лак, недатированный</t>
  </si>
  <si>
    <t>80-4875</t>
  </si>
  <si>
    <t>4620129748759</t>
  </si>
  <si>
    <t>Ежедневники А5, 80л. (145х210) Холодная фольга, недатированные</t>
  </si>
  <si>
    <t>ПП-00233568</t>
  </si>
  <si>
    <t>ТМ"Collezione" ЕЖЕДНЕВНИК А5,80л. КРАСНЫЙ СПОРТКАР - 4 (80-9263) 7БЦ,хол. фол, недатированный</t>
  </si>
  <si>
    <t>80-9263</t>
  </si>
  <si>
    <t>4670159192633</t>
  </si>
  <si>
    <t>ПП-00195751</t>
  </si>
  <si>
    <t>ТМ"Collezione" ЕЖЕДНЕВНИК А5,80л. СЕРФИНГ В КАЛИФОРНИИ-1 (80-8256) 7БЦ,холод фольга, недатир</t>
  </si>
  <si>
    <t>80-8256</t>
  </si>
  <si>
    <t>4620129752565</t>
  </si>
  <si>
    <t>ПП-00233569</t>
  </si>
  <si>
    <t>ТМ"Collezione" ЕЖЕДНЕВНИК А5,80л. СИМВОЛЫ ГОСУДАРСТВА - 3 (80-9266) 7БЦ,хол. фол, недатированный</t>
  </si>
  <si>
    <t>80-9266</t>
  </si>
  <si>
    <t>4670159192664</t>
  </si>
  <si>
    <t>ПП-00233571</t>
  </si>
  <si>
    <t>ТМ"Collezione" ЕЖЕДНЕВНИК А5,80л. СИМВОЛЫ И УЗОРЫ (80-9264) 7БЦ,хол. фол, недатированный</t>
  </si>
  <si>
    <t>80-9264</t>
  </si>
  <si>
    <t>4670159192640</t>
  </si>
  <si>
    <t>Ежедневники А5, 80л. (150х204)7БЦ,софт-тач,неон+черный дизайн,недатированные</t>
  </si>
  <si>
    <t>ПП-00186621</t>
  </si>
  <si>
    <t>ТМ"Collezione" ЕЖЕДНЕВНИК А5,80л. СКЕЛЕТ ТИ-РЕКСА-1 (80-8276)7БЦ,софт-тач,неон+черн.диз.,недат</t>
  </si>
  <si>
    <t>80-8276</t>
  </si>
  <si>
    <t>4620129752763</t>
  </si>
  <si>
    <t>ПП-00197256</t>
  </si>
  <si>
    <t>Ежедневники А5,128 л. на кольцах, 7БЦ, лен+мат.лам., блок стандарт 60 гр 1+1 инд.в пэт</t>
  </si>
  <si>
    <t>ПП-00253562</t>
  </si>
  <si>
    <t>ЕЖЕДНЕВНИК А5,128л. НЕЖНЫЕ ЦВЕТКИ (128-6782) на кольцах, 7БЦ, лен+мат.лам., блок стандарт 60 гр 1+1</t>
  </si>
  <si>
    <t>128-6782</t>
  </si>
  <si>
    <t>4670159267829</t>
  </si>
  <si>
    <t>ПП-00253563</t>
  </si>
  <si>
    <t>ЕЖЕДНЕВНИК А5,128л. ПРИНТ ЗЕБРЫ -2 (128-6781) на кольцах, 7БЦ, лен+мат.лам., блок стандарт 60 гр 1+1</t>
  </si>
  <si>
    <t>128-6781</t>
  </si>
  <si>
    <t>4670159267812</t>
  </si>
  <si>
    <t>ПП-00253564</t>
  </si>
  <si>
    <t>ЕЖЕДНЕВНИК А5,128л. СИЛУЭТ ЛОШАДИ (128-6779) на кольцах, 7БЦ, лен+мат.лам., блок стандарт 60 гр 1+1</t>
  </si>
  <si>
    <t>128-6779</t>
  </si>
  <si>
    <t>4670159267799</t>
  </si>
  <si>
    <t>ПП-00253565</t>
  </si>
  <si>
    <t>ЕЖЕДНЕВНИК А5,128л. ТЁМНЫЕ ОТТЕНКИ (128-6780) на кольцах, 7БЦ, лен+мат.лам., блок стандарт 60 гр 1+1</t>
  </si>
  <si>
    <t>128-6780</t>
  </si>
  <si>
    <t>4670159267805</t>
  </si>
  <si>
    <t>Ежедневники А5,128л. (145х203) 7БЦ, глянцевая ламинация, матовый лак, недатир</t>
  </si>
  <si>
    <t>ПП-00253541</t>
  </si>
  <si>
    <t>ЕЖЕДНЕВНИК А5,128л. АРОМАТ СЧАСТЬЯ (128-6766) 7БЦ, глянц. лам., матовый лак,недат</t>
  </si>
  <si>
    <t>128-6766</t>
  </si>
  <si>
    <t>4670159267669</t>
  </si>
  <si>
    <t>ПП-00253543</t>
  </si>
  <si>
    <t>ЕЖЕДНЕВНИК А5,128л. ОРАНЖЕВЫЙ С ЧЁРНЫМ АВТОМОБИЛЬ (128-6764) 7БЦ, глянц. лам., матовый лак,недат</t>
  </si>
  <si>
    <t>128-6764</t>
  </si>
  <si>
    <t>4670159267645</t>
  </si>
  <si>
    <t>ПП-00253537</t>
  </si>
  <si>
    <t>ЕЖЕДНЕВНИК А5,128л. ПАСТЕЛЬНЫЕ ПОЛОСЫ (128-6765) 7БЦ, глянц. лам., матовый лак,недат</t>
  </si>
  <si>
    <t>128-6765</t>
  </si>
  <si>
    <t>4670159267652</t>
  </si>
  <si>
    <t>ПП-00253542</t>
  </si>
  <si>
    <t>ЕЖЕДНЕВНИК А5,128л. ЧЁРНАЯ ТЕКСТУРА (128-6763) 7БЦ, глянц. лам., матовый лак,недат</t>
  </si>
  <si>
    <t>128-6763</t>
  </si>
  <si>
    <t>4670159267638</t>
  </si>
  <si>
    <t>Ежедневники А5,128л. (145х203) 7БЦ, софт-тач однотонный, недатир</t>
  </si>
  <si>
    <t>ПП-00253548</t>
  </si>
  <si>
    <t>ЕЖЕДНЕВНИК А5,128л. ПАСТЕЛЬНЫЙ ЗЕЛЁНЫЙ (128-6702) 7БЦ, софт-тач однотонный, недат</t>
  </si>
  <si>
    <t>128-6702</t>
  </si>
  <si>
    <t>4670159267690</t>
  </si>
  <si>
    <t>ПП-00253550</t>
  </si>
  <si>
    <t>ЕЖЕДНЕВНИК А5,128л. ПАСТЕЛЬНЫЙ РОЗОВЫЙ (128-6703) 7БЦ, софт-тач однотонный, недат</t>
  </si>
  <si>
    <t>128-6703</t>
  </si>
  <si>
    <t>4670159267706</t>
  </si>
  <si>
    <t>ПП-00253551</t>
  </si>
  <si>
    <t>ЕЖЕДНЕВНИК А5,128л. ПУТЬ ВАЖНЕЕ ЦЕЛИ (128-6700) 7БЦ, софт-тач однотонный, недат</t>
  </si>
  <si>
    <t>128-6700</t>
  </si>
  <si>
    <t>4670159267676</t>
  </si>
  <si>
    <t>ПП-00235045</t>
  </si>
  <si>
    <t>ТМ"Collezione" ЕЖЕДНЕВНИК А5,128л. ДЕЛУ ВРЕМЯ (128-9974) 7БЦ, софт-тач однотонный, недат</t>
  </si>
  <si>
    <t>128-9974</t>
  </si>
  <si>
    <t>4670159199748</t>
  </si>
  <si>
    <t>ПП-00235046</t>
  </si>
  <si>
    <t>ТМ"Collezione" ЕЖЕДНЕВНИК А5,128л. ДУМАЙ РАЗНООБРАЗНО (128-9975) 7БЦ, софт-тач однотонный, недат</t>
  </si>
  <si>
    <t>128-9975</t>
  </si>
  <si>
    <t>4670159199755</t>
  </si>
  <si>
    <t>ПП-00235044</t>
  </si>
  <si>
    <t>ТМ"Collezione" ЕЖЕДНЕВНИК А5,128л. НИКОГДА НЕ СДАВАЙСЯ (128-9973) 7БЦ, софт-тач однотонный, недат</t>
  </si>
  <si>
    <t>128-9973</t>
  </si>
  <si>
    <t>4670159199731</t>
  </si>
  <si>
    <t>ПП-00235043</t>
  </si>
  <si>
    <t>ТМ"Collezione" ЕЖЕДНЕВНИК А5,128л. РАСШИРЯЯ ПРЕДЕЛЫ (128-9972) 7БЦ, софт-тач однотонный, недат</t>
  </si>
  <si>
    <t>128-9972</t>
  </si>
  <si>
    <t>4670159199724</t>
  </si>
  <si>
    <t>Ежедневники А5,128л. (150х204) 7БЦ, матовая ламинация, выбороч. лак, недатир</t>
  </si>
  <si>
    <t>ПП-00235042</t>
  </si>
  <si>
    <t>ТМ"Collezione" ЕЖЕДНЕВНИК А5,128л. БЕЛЫЕ ПЁРЫШКИ (128-9987)7БЦ,матовая ламинация,выбороч. лак,недат</t>
  </si>
  <si>
    <t>128-9987</t>
  </si>
  <si>
    <t>4670159199878</t>
  </si>
  <si>
    <t>ПП-00235039</t>
  </si>
  <si>
    <t>ТМ"Collezione" ЕЖЕДНЕВНИК А5,128л. БЕЛЫЙ ГИПЕРКАР (128-9984)7БЦ,матовая ламинация,выбороч. лак,недат</t>
  </si>
  <si>
    <t>128-9984</t>
  </si>
  <si>
    <t>4670159199847</t>
  </si>
  <si>
    <t>ПП-00235041</t>
  </si>
  <si>
    <t>ТМ"Collezione" ЕЖЕДНЕВНИК А5,128л. ЖЕНСКИЙ СИЛУЭТ (128-9986)7БЦ,матовая ламинация,выбороч. лак,недат</t>
  </si>
  <si>
    <t>128-9986</t>
  </si>
  <si>
    <t>4670159199861</t>
  </si>
  <si>
    <t>ПП-00235040</t>
  </si>
  <si>
    <t>ТМ"Collezione" ЕЖЕДНЕВНИК А5,128л. ПРОФИЛЬ ЛЬВА (128-9985)7БЦ,матовая ламинация,выбороч. лак,недат</t>
  </si>
  <si>
    <t>128-9985</t>
  </si>
  <si>
    <t>4670159199854</t>
  </si>
  <si>
    <t>Ежедневники А5,128л. (150х204) 7БЦ, матовая ламинация, пена глянцевая</t>
  </si>
  <si>
    <t>ПП-00234556</t>
  </si>
  <si>
    <t>ТМ"Collezione" ЕЖЕДНЕВНИК А5,128л. БОЛЬШОЙ СИНИЙ КИТ (128-9901) 7БЦ, матовая лам, пена глянц,недат</t>
  </si>
  <si>
    <t>128-9901</t>
  </si>
  <si>
    <t>4670159199014</t>
  </si>
  <si>
    <t>ПП-00234552</t>
  </si>
  <si>
    <t>ТМ"Collezione" ЕЖЕДНЕВНИК А5,128л. МОТОЦИКЛИСТ - 5 (128-9900) 7БЦ, матовая лам, пена глянц,недат</t>
  </si>
  <si>
    <t>128-9900</t>
  </si>
  <si>
    <t>4670159199007</t>
  </si>
  <si>
    <t>ПП-00234553</t>
  </si>
  <si>
    <t>ТМ"Collezione" ЕЖЕДНЕВНИК А5,128л. ПРОФИЛЬ ЗВЕРЯ (128-9903) 7БЦ, матовая лам, пена глянц,недат</t>
  </si>
  <si>
    <t>128-9903</t>
  </si>
  <si>
    <t>4670159199038</t>
  </si>
  <si>
    <t>ПП-00234555</t>
  </si>
  <si>
    <t>ТМ"Collezione" ЕЖЕДНЕВНИК А5,128л. ТУМАННЫЙ ЛЕСНОЙ ПЕЙЗАЖ (128-9902) 7БЦ, матовая лам, пена гл,недат</t>
  </si>
  <si>
    <t>128-9902</t>
  </si>
  <si>
    <t>4670159199021</t>
  </si>
  <si>
    <t>Ежедневники А5,128л. (150х204) 7БЦ, софт-тач ламинация, песок глянцевый</t>
  </si>
  <si>
    <t>ПП-00234562</t>
  </si>
  <si>
    <t>ТМ"Collezione" ЕЖЕДНЕВНИК А5,128л. КОКОС И КОФЕ (128-9907) 7БЦ,софт-тач лам, песок глянц, нед</t>
  </si>
  <si>
    <t>128-9907</t>
  </si>
  <si>
    <t>4670159199076</t>
  </si>
  <si>
    <t>ПП-00234560</t>
  </si>
  <si>
    <t>ТМ"Collezione" ЕЖЕДНЕВНИК А5,128л. СВЕТЯЩЕЕСЯ ПОБЕРЕЖЬЕ (128-9906) 7БЦ,софт-тач лам, песок глянц,нед</t>
  </si>
  <si>
    <t>128-9906</t>
  </si>
  <si>
    <t>4670159199069</t>
  </si>
  <si>
    <t>ПП-00234559</t>
  </si>
  <si>
    <t>ТМ"Collezione" ЕЖЕДНЕВНИК А5,128л. ТУМАННЫЙ ДРАКОН (128-9905) 7БЦ,софт-тач лам, песок глянц, нед</t>
  </si>
  <si>
    <t>128-9905</t>
  </si>
  <si>
    <t>4670159199052</t>
  </si>
  <si>
    <t>ПП-00234558</t>
  </si>
  <si>
    <t>ТМ"Collezione" ЕЖЕДНЕВНИК А5,128л. ЯРКО-КРАСНОЕ АВТО-2 (128-9904) 7БЦ,софт-тач лам, песок глянц, нед</t>
  </si>
  <si>
    <t>128-9904</t>
  </si>
  <si>
    <t>4670159199045</t>
  </si>
  <si>
    <t>Ежедневники А5,128л(145х203) мат.лам,чер.фон+резинка в цвет диз.недатир, круг.углов</t>
  </si>
  <si>
    <t>ПП-00273002</t>
  </si>
  <si>
    <t>ЕЖЕДНЕВНИК А5, 128л. ДОЖДЬ В ГОРОДЕ - 1 (128-1550) 7БЦ, мат.лам,чер.фон+рез,недат.кр.уг</t>
  </si>
  <si>
    <t>128-1550</t>
  </si>
  <si>
    <t>4670159315865</t>
  </si>
  <si>
    <t>ПП-00253554</t>
  </si>
  <si>
    <t>ЕЖЕДНЕВНИК А5, 128л. ЗЕЛЁНЫЕ ЛИСТЬЯ - 2 (128-6705) 7БЦ, мат.лам,чер.фон+рез,недат.кр.уг</t>
  </si>
  <si>
    <t>128-6705</t>
  </si>
  <si>
    <t>4670159267720</t>
  </si>
  <si>
    <t>ПП-00253553</t>
  </si>
  <si>
    <t>ЕЖЕДНЕВНИК А5, 128л. ПАСТЕЛЬНЫЕ ЦВЕТА - 1 (128-6706) 7БЦ, мат.лам,чер.фон+рез,недат.кр.уг</t>
  </si>
  <si>
    <t>128-6706</t>
  </si>
  <si>
    <t>4670159267737</t>
  </si>
  <si>
    <t>ПП-00273003</t>
  </si>
  <si>
    <t>ЕЖЕДНЕВНИК А5, 128л. ПАСТЕЛЬНЫЙ МИНИМАЛИЗМ - 6 (128-1551) 7БЦ, мат.лам,чер.фон+рез,недат.кр.уг</t>
  </si>
  <si>
    <t>128-1551</t>
  </si>
  <si>
    <t>4670159315872</t>
  </si>
  <si>
    <t>ПП-00253555</t>
  </si>
  <si>
    <t>ЕЖЕДНЕВНИК А5, 128л. РОЗОВЫЙ С СЕРЫМ (128-6704) 7БЦ, мат.лам,чер.фон+рез,недат.кр.уг</t>
  </si>
  <si>
    <t>128-6704</t>
  </si>
  <si>
    <t>4670159267713</t>
  </si>
  <si>
    <t>ПП-00273004</t>
  </si>
  <si>
    <t>ЕЖЕДНЕВНИК А5, 128л. ТЕНЬ ЛИСТЬЕВ - 3 (128-1552) 7БЦ, мат.лам,чер.фон+рез,недат.кр.уг</t>
  </si>
  <si>
    <t>128-1552</t>
  </si>
  <si>
    <t>4670159315889</t>
  </si>
  <si>
    <t>ПП-00273005</t>
  </si>
  <si>
    <t>ЕЖЕДНЕВНИК А5, 128л. ЧЁРНЫЙ МИНИМАЛИЗМ - 9 (128-1553) 7БЦ, мат.лам,чер.фон+рез,недат.кр.уг</t>
  </si>
  <si>
    <t>128-1553</t>
  </si>
  <si>
    <t>4670159315896</t>
  </si>
  <si>
    <t>ПП-00234564</t>
  </si>
  <si>
    <t>ТМ"Collezione" ЕЖЕДНЕВНИК А5,128л. ЧЁРНЫЕ ФИГУРЫ (128-9908) 7БЦ,мат.лам,чер.фон+рез,недат.кр.уг</t>
  </si>
  <si>
    <t>128-9908</t>
  </si>
  <si>
    <t>4670159199083</t>
  </si>
  <si>
    <t>03. Ежедневники А6</t>
  </si>
  <si>
    <t xml:space="preserve">  Еженедельник  А6,64л. (150х105) глянцевая ламинация, недатированные, горизонтальный</t>
  </si>
  <si>
    <t>ПП-00235049</t>
  </si>
  <si>
    <t>Еженедельник А6 64л. БАСКЕТБОЛЬНЫЙ МЯЧ (64-9978) 7БЦ, глянц. лам., горизонтальный, недатиров.</t>
  </si>
  <si>
    <t>64-9978</t>
  </si>
  <si>
    <t>4670159199786</t>
  </si>
  <si>
    <t>ПП-00235050</t>
  </si>
  <si>
    <t>Еженедельник А6 64л. СПОРТКАР ПОД ДОЖДЁМ (64-9979) 7БЦ, глянц. лам., горизонтальный, недатиров.</t>
  </si>
  <si>
    <t>64-9979</t>
  </si>
  <si>
    <t>4670159199793</t>
  </si>
  <si>
    <t>Ежедневники А6, 96л. (110х148) БУМВИНИЛ, недатированные</t>
  </si>
  <si>
    <t>ПП-00061051</t>
  </si>
  <si>
    <t>Ежедневник А6, 96л. БОРДО (96БВ-3998) бумвинил, недатир.</t>
  </si>
  <si>
    <t>96БВ-3998</t>
  </si>
  <si>
    <t>4665299639988</t>
  </si>
  <si>
    <t>ПП-00061053</t>
  </si>
  <si>
    <t>Ежедневник А6, 96л. ЗЕЛЕНЫЙ (96БВ-3000) бумвинил, недатир.</t>
  </si>
  <si>
    <t>96БВ-3000</t>
  </si>
  <si>
    <t>4665299630008</t>
  </si>
  <si>
    <t>ПП-00061054</t>
  </si>
  <si>
    <t>Ежедневник А6, 96л. КОРИЧНЕВЫЙ (96БВ-3001) бумвинил, недатир.</t>
  </si>
  <si>
    <t>96БВ-3001</t>
  </si>
  <si>
    <t>4665302630018</t>
  </si>
  <si>
    <t>ПП-00061057</t>
  </si>
  <si>
    <t>Ежедневник А6, 96л. КРАСНЫЙ (96БВ-3004) бумвинил, недатир.</t>
  </si>
  <si>
    <t>96БВ-3004</t>
  </si>
  <si>
    <t>4665302630049</t>
  </si>
  <si>
    <t>02. Ежедневники (искусственная кожа, А4, А5 и А6, пухлая обложка)</t>
  </si>
  <si>
    <t>01.Ежедневники А5</t>
  </si>
  <si>
    <t>ПП-00202476</t>
  </si>
  <si>
    <t>ТМ "Profit" ЕЖЕДНЕВНИК А5, 80л. недатир. PELLE ITALIANA бордо (80-3166)кожзам,кругление</t>
  </si>
  <si>
    <t>80-3166</t>
  </si>
  <si>
    <t>4670159031666</t>
  </si>
  <si>
    <t xml:space="preserve"> Ежедневники  НЕДАТИРОВАННЫЕ А5, 136л.  не стандарт</t>
  </si>
  <si>
    <t>Ежедневники   НЕДАТИРОВАННЫЕ А5,136л. белый кожзам с картоном,4-хцв. принт,строчка,цв.фольга,поролон</t>
  </si>
  <si>
    <t>ПП-00210521</t>
  </si>
  <si>
    <t>Ежедневник A5, 136л. недатир. КОПТЕР VOIUME  (136-7636) кожзам</t>
  </si>
  <si>
    <t>136-7636</t>
  </si>
  <si>
    <t>4670159076360</t>
  </si>
  <si>
    <t>ПП-00210523</t>
  </si>
  <si>
    <t>Ежедневник A5, 136л. недатир. СОЗВЕЗДИЕ VOIUME  (136-7637) кожзам</t>
  </si>
  <si>
    <t>136-7637</t>
  </si>
  <si>
    <t>4670159076377</t>
  </si>
  <si>
    <t>Ежедневники   НЕДАТИРОВАННЫЕ А5,136л. кожзам неоновый, обл. софт-тач, печать черным</t>
  </si>
  <si>
    <t>ПП-00210530</t>
  </si>
  <si>
    <t>Ежедневник A5, 136л. недатир. MINIMAL NEON - ТИГР (136-7640) кожзам, неоновый принт, обл. софтач</t>
  </si>
  <si>
    <t>136-7640</t>
  </si>
  <si>
    <t>4670159076407</t>
  </si>
  <si>
    <t>ПП-00210531</t>
  </si>
  <si>
    <t>Ежедневник A5, 136л. недатир. MINIMAL NEON - УРБАН (136-7641) кожзам, неоновый принт, обл. софтач</t>
  </si>
  <si>
    <t>136-7641</t>
  </si>
  <si>
    <t>4670159076414</t>
  </si>
  <si>
    <t>ПП-00210493</t>
  </si>
  <si>
    <t>Ежедневник A5, 136 л. недатир. FINE PATTERN - ВРЕМЯ (136-7628) кожзам</t>
  </si>
  <si>
    <t>136-7628</t>
  </si>
  <si>
    <t>4670159076285</t>
  </si>
  <si>
    <t>Ежедневники   НЕДАТИРОВАННЫЕ А5,136л. кожзам софт-тач с тиснением, твердый + цв.лам.обл+перфорация</t>
  </si>
  <si>
    <t>ПП-00210314</t>
  </si>
  <si>
    <t>Ежедневник A5, 136 л. недатир. MILD SHADES-ЖЕЛТЫЙ (136-7569) кожзам, софт-тач с тисн,цв.лам.обл.</t>
  </si>
  <si>
    <t>136-7569</t>
  </si>
  <si>
    <t>4670159075691</t>
  </si>
  <si>
    <t>Ежедневники   НЕДАТИРОВАННЫЕ А5,136л. кожзам, интегральная обложка, тиснение, двойное ляссе</t>
  </si>
  <si>
    <t>ПП-00210471</t>
  </si>
  <si>
    <t>Ежедневник A5, 136л. недатир. NEW YORK SOFT (136-7616) кожзам</t>
  </si>
  <si>
    <t>136-7616</t>
  </si>
  <si>
    <t>4670159076162</t>
  </si>
  <si>
    <t>Ежедневники   НЕДАТИРОВАННЫЕ А5,136л. кожзам,твердая обл.из полиурет.с поролон.,декор.строчка,перфоф</t>
  </si>
  <si>
    <t>ПП-00210418</t>
  </si>
  <si>
    <t>Ежедневник A5, 136л. недатир. ALICANTE - БИРЮЗОВЫЙ (136-7603) кожзам с декоративной строчкой</t>
  </si>
  <si>
    <t>136-7603</t>
  </si>
  <si>
    <t>4670159076032</t>
  </si>
  <si>
    <t>Ежедневники   НЕДАТИРОВАННЫЕ А5,136л., джинсовая ткань с карманом с эластичной резинкой+перфорация</t>
  </si>
  <si>
    <t>ПП-00210404</t>
  </si>
  <si>
    <t>Ежедневник A5, 136 л. недатир. PROF-PRESS edition, ТЕМНО-СИНИЙ (136-7592) джинсовая ткань с карманом</t>
  </si>
  <si>
    <t>136-7592</t>
  </si>
  <si>
    <t>4670159075929</t>
  </si>
  <si>
    <t>ПП-00210407</t>
  </si>
  <si>
    <t>Ежедневник A5, 136 л. недатир. PROF-PRESS edition, ЧЕРНЫЙ (136-7595) джинсовая ткань с карманом</t>
  </si>
  <si>
    <t>136-7595</t>
  </si>
  <si>
    <t>4670159075950</t>
  </si>
  <si>
    <t>Ежедневники   НЕДАТИРОВАННЫЕ А5,136л., ПЭТ обложка, эластичная резинка,цв.лам.обл+перфорация</t>
  </si>
  <si>
    <t>ПП-00210353</t>
  </si>
  <si>
    <t>Ежедневник A5, 136 л. недатир. ORLEAN - ГОЛУБОЙ (136-7576) ПЭТ обложка, эластичная резинка</t>
  </si>
  <si>
    <t>136-7576</t>
  </si>
  <si>
    <t>4670159075769</t>
  </si>
  <si>
    <t>ПП-00210357</t>
  </si>
  <si>
    <t>Ежедневник A5, 136 л. недатир. ORLEAN - ЖЕЛТЫЙ (136-7577) ПЭТ обложка, эластичная резинка</t>
  </si>
  <si>
    <t>136-7577</t>
  </si>
  <si>
    <t>4670159075776</t>
  </si>
  <si>
    <t>ПП-00210360</t>
  </si>
  <si>
    <t>Ежедневник A5, 136 л. недатир. ORLEAN - ЗЕЛЕНЫЙ (136-7578) ПЭТ обложка, эластичная резинка</t>
  </si>
  <si>
    <t>136-7578</t>
  </si>
  <si>
    <t>4670159075783</t>
  </si>
  <si>
    <t>ПП-00232047</t>
  </si>
  <si>
    <t>ЕЖЕДНЕВНИК А5, 168л. датир. зеленый (168-8328) кожзам тиснение YEAR OF SNAKE 2025</t>
  </si>
  <si>
    <t>168-8328</t>
  </si>
  <si>
    <t>4670159183280</t>
  </si>
  <si>
    <t>04. Ежедневники с тематическим содержанием</t>
  </si>
  <si>
    <t>Ежедневники "Все успеваю!" А6, 48л, 7БЦ, гребень, мел.обл. мат.лам+выб.гл.уф-лак,бл.офс.80г, 105х144</t>
  </si>
  <si>
    <t>ПП-00208371</t>
  </si>
  <si>
    <t>Ежедневник А6, 48л, БЕЗМЯТЕЖНОСТЬ (48-1554) 7БЦ,мат.лам, выб.лак, бл. офсет80г полноцв., 105х144</t>
  </si>
  <si>
    <t>ПП-00208377</t>
  </si>
  <si>
    <t>Ежедневник А6, 48л, МОРСКИЕ ГЛУБИНЫ (48-1660) 7БЦ,мат.лам, выб.лак, бл. офсет80г полноцв., 105х144</t>
  </si>
  <si>
    <t>48-1660</t>
  </si>
  <si>
    <t>4670159015604</t>
  </si>
  <si>
    <t>ПП-00208374</t>
  </si>
  <si>
    <t>Ежедневник А6, 48л, СОВА (48-1557) 7БЦ,мат.лам, выб.лак, бл. офсет80г полноцв., 105х144</t>
  </si>
  <si>
    <t>48-1557</t>
  </si>
  <si>
    <t>4670159015574</t>
  </si>
  <si>
    <t>ПП-00208370</t>
  </si>
  <si>
    <t>Ежедневник А6, 48л, СОЛНЦЕ И ЛУНА (48-1553) 7БЦ,мат.лам, выб.лак, бл. офсет80г полноцв., 105х144</t>
  </si>
  <si>
    <t>48-1553</t>
  </si>
  <si>
    <t>4670159015536</t>
  </si>
  <si>
    <t>ПП-00208376</t>
  </si>
  <si>
    <t>Ежедневник А6, 48л, ТРОПИЧЕСКИЙ ЛЕС (48-1559) 7БЦ,мат.лам, выб.лак, бл. офсет80г полноцв., 105х144</t>
  </si>
  <si>
    <t>48-1559</t>
  </si>
  <si>
    <t>4670159015598</t>
  </si>
  <si>
    <t>ПП-00208372</t>
  </si>
  <si>
    <t>Ежедневник А6, 48л, ФРУКТОВЫЙ МИКС (48-1555) 7БЦ,мат.лам, выб.лак, бл. офсет80г полноцв., 105х144</t>
  </si>
  <si>
    <t>48-1555</t>
  </si>
  <si>
    <t>4670159015550</t>
  </si>
  <si>
    <t>ПП-00208373</t>
  </si>
  <si>
    <t>Ежедневник А6, 48л, ЭКЗОТИЧЕСКИЕ ЦВЕТ (48-1556) 7БЦ,мат.лам, выб.лак, бл. офсет80г полноцв., 105х144</t>
  </si>
  <si>
    <t>Ежедневники "Польза каждый день" А5, 64л, 7БЦ, мелов.обл. мат.лам+выб.уф-лак,бл.офс.80г, 150х204</t>
  </si>
  <si>
    <t>ПП-00206096</t>
  </si>
  <si>
    <t>4620129778077</t>
  </si>
  <si>
    <t>ПП-00206098</t>
  </si>
  <si>
    <t>Ежедневник А5, 64л, ВСЕГДА НА ВЫСОТЕ! (ЕЖ-7809) 7БЦ,мат.лам, выб.лак, бл. офсет80г, 150х204</t>
  </si>
  <si>
    <t>ЕЖ-7809</t>
  </si>
  <si>
    <t>4620129778091</t>
  </si>
  <si>
    <t>ПП-00206097</t>
  </si>
  <si>
    <t>Ежедневник А5, 64л, ОТ СЛОВ К ДЕЛУ (ЕЖ-7808) 7БЦ,мат.лам, выб.лак, бл. офсет80г, 150х204</t>
  </si>
  <si>
    <t>ЕЖ-7808</t>
  </si>
  <si>
    <t>4620129778084</t>
  </si>
  <si>
    <t>ПП-00206095</t>
  </si>
  <si>
    <t>Ежедневник А5, 64л, ПРОДУКТИВНЫЙ ДЕНЬ (ЕЖ-7806) 7БЦ,мат.лам, выб.лак, бл. офсет80г, 150х204</t>
  </si>
  <si>
    <t>ЕЖ-7806</t>
  </si>
  <si>
    <t>4620129778060</t>
  </si>
  <si>
    <t>ПП-00219519</t>
  </si>
  <si>
    <t>Ежедневники ПОЗИТИВНОЕ УТРО А5, КБС, 64л, обл. целл.картон 200г, софт-тач, бл. офсет 60г, ч/б</t>
  </si>
  <si>
    <t>ПП-00200894</t>
  </si>
  <si>
    <t>Ежедневник А5, 64л, АВОКАДО (ЕЖ-6234) КБС,обл.целл.кар 200,софт-тач,ч/б блок офс 65</t>
  </si>
  <si>
    <t>ЕЖ-6234</t>
  </si>
  <si>
    <t>4620129762342</t>
  </si>
  <si>
    <t>ПП-00200889</t>
  </si>
  <si>
    <t>Ежедневник А5, 64л, КОТИКИ (ЕЖ-6231) КБС,обл.целл.кар 200,софт-тач,ч/б блок офс 65</t>
  </si>
  <si>
    <t>ЕЖ-6231</t>
  </si>
  <si>
    <t>4620129762311</t>
  </si>
  <si>
    <t>ПП-00200891</t>
  </si>
  <si>
    <t>Ежедневник А5, 64л, ОКЕАН (ЕЖ-6232) КБС,обл.целл.кар 200,софт-тач,ч/б блок офс 65</t>
  </si>
  <si>
    <t>ЕЖ-6232</t>
  </si>
  <si>
    <t>4620129762328</t>
  </si>
  <si>
    <t>05. Планинги</t>
  </si>
  <si>
    <t xml:space="preserve">   Планинги мини, переплет интегральный, недатированные (93х171 )</t>
  </si>
  <si>
    <t>ПП-00209087</t>
  </si>
  <si>
    <t>ПЛАНИНГ 64 л. недатир. ЖЕНЩИНА В АФРИКЕ (64-6793) интегралный переплет, мини</t>
  </si>
  <si>
    <t>64-6793</t>
  </si>
  <si>
    <t>4670159067733</t>
  </si>
  <si>
    <t xml:space="preserve"> Планинги переплет 7БЦ 105х290, недатированные,  56 л.гребень + матовая ламинация+лён</t>
  </si>
  <si>
    <t>ПП-00253569</t>
  </si>
  <si>
    <t>ПЛАНИНГ 56 л. недатир. ДИЗАЙН В КЛЕТКУ - 4 (56-6785) 7БЦ, 105х290, гребень + матовая ламинация+лён</t>
  </si>
  <si>
    <t>56-6785</t>
  </si>
  <si>
    <t>4670159267850</t>
  </si>
  <si>
    <t>ПП-00253572</t>
  </si>
  <si>
    <t>ПЛАНИНГ 56 л. недатир. КОРИЧНЕВЫЙ МИНИМАЛИЗМ (56-6783) 7БЦ, 105х290, гребень + матовая лам.+лён</t>
  </si>
  <si>
    <t>56-6783</t>
  </si>
  <si>
    <t>4670159267836</t>
  </si>
  <si>
    <t>ПП-00253571</t>
  </si>
  <si>
    <t>ПЛАНИНГ 56 л. недатир. ПРИРОДНОЕ УМИРОТВОРЕНИЕ -2 (56-6784) 7БЦ, 105х290, гребень + матовая лам.+лён</t>
  </si>
  <si>
    <t>56-6784</t>
  </si>
  <si>
    <t>4670159267843</t>
  </si>
  <si>
    <t>ПП-00253568</t>
  </si>
  <si>
    <t>ПЛАНИНГ 56 л. недатир. ЦВЕТОЧНЫЙ ПАТТЕРН - 1 (56-6786) 7БЦ, 105х290, гребень + матовая ламинация+лён</t>
  </si>
  <si>
    <t>56-6786</t>
  </si>
  <si>
    <t>4670159267867</t>
  </si>
  <si>
    <t xml:space="preserve"> Планинги переплет 7БЦ 105х290, недатированные,  56 л.гребень, холодная фольга+твин.лак</t>
  </si>
  <si>
    <t>ПП-00186659</t>
  </si>
  <si>
    <t>ПЛАНИНГ 56 л. недатир. ПРИМАТ МЕЛОМАН  (56-5307) 7БЦ, 105х290, гребень, холодная фольга+твин.л</t>
  </si>
  <si>
    <t>56-5307</t>
  </si>
  <si>
    <t>4620129753074</t>
  </si>
  <si>
    <t>Планинги (бумвинил, на гребне, недатированные), инд. в пэт.(125х300)</t>
  </si>
  <si>
    <t>ПП-00042960</t>
  </si>
  <si>
    <t>ПЛАНИНГ 56л. недатир. БОРДО (56-1492) гребень, бумвинил</t>
  </si>
  <si>
    <t>56-1492</t>
  </si>
  <si>
    <t>4665297814929</t>
  </si>
  <si>
    <t>ПП-00042959</t>
  </si>
  <si>
    <t>ПЛАНИНГ 56л. недатир. КОРИЧНЕВЫЙ (56-1494) гребень, бумвинил</t>
  </si>
  <si>
    <t>56-1494</t>
  </si>
  <si>
    <t>4665297814943</t>
  </si>
  <si>
    <t>ПП-00042961</t>
  </si>
  <si>
    <t>ПЛАНИНГ 56л. недатир.ЗЕЛЁНЫЙ (56-1493) гребень, бумвинил</t>
  </si>
  <si>
    <t>56-1493</t>
  </si>
  <si>
    <t>4665297814936</t>
  </si>
  <si>
    <t>ПП-00042962</t>
  </si>
  <si>
    <t>ПЛАНИНГ 56л. недатир.СИНИЙ (56-1495) гребень, бумвинил</t>
  </si>
  <si>
    <t>56-1495</t>
  </si>
  <si>
    <t>4665297814950</t>
  </si>
  <si>
    <t>ПП-00042958</t>
  </si>
  <si>
    <t>ПЛАНИНГ 56л. недатир.ЧЁРНЫЙ (56-1496) гребень, бумвинил</t>
  </si>
  <si>
    <t>56-1496</t>
  </si>
  <si>
    <t>4665297814967</t>
  </si>
  <si>
    <t>Планинги (искусственная кожа, на гребне)</t>
  </si>
  <si>
    <t>Планинги  недатированные (искусственная кожа, 300х130, на гребне) 56л. КЛАССИКА(К)</t>
  </si>
  <si>
    <t>ПП-00224413</t>
  </si>
  <si>
    <t>ПЛАНИНГ 56 л. недатир. EVERYDAY CHRONICLES - BLACK (56-5039)гребень,кожзам(черный),отстроч,300х130мм</t>
  </si>
  <si>
    <t>56-5039</t>
  </si>
  <si>
    <t>4670159150398</t>
  </si>
  <si>
    <t>ПП-00224412</t>
  </si>
  <si>
    <t>ПЛАНИНГ 56 л. недатир. EVERYDAY CHRONICLES - BLUE (56-5038)гребень,кожзам(синий),отстрочка,300х130мм</t>
  </si>
  <si>
    <t>56-5038</t>
  </si>
  <si>
    <t>4670159150381</t>
  </si>
  <si>
    <t>ПП-00224415</t>
  </si>
  <si>
    <t>ПЛАНИНГ 56 л. недатир. EVERYDAY CHRONICLES - BORDEAUX(56-5041)греб,кожзам(т-корич),отстроч,300х130мм</t>
  </si>
  <si>
    <t>56-5041</t>
  </si>
  <si>
    <t>4670159150411</t>
  </si>
  <si>
    <t>ПП-00224414</t>
  </si>
  <si>
    <t>ПЛАНИНГ 56 л. недатир. EVERYDAY CHRONICLES - CHOCO (56-5040)гребень,кожзам(коричн),отстроч,300х130мм</t>
  </si>
  <si>
    <t>56-5040</t>
  </si>
  <si>
    <t>4670159150404</t>
  </si>
  <si>
    <t>ПП-00224417</t>
  </si>
  <si>
    <t>ПЛАНИНГ 56 л. недатир. EVERYDAY CHRONICLES - RED (56-5043)греб,кожзам(красный),отстроч,300х130мм</t>
  </si>
  <si>
    <t>56-5043</t>
  </si>
  <si>
    <t>4670159150435</t>
  </si>
  <si>
    <t>ПП-00202515</t>
  </si>
  <si>
    <t>ПЛАНИНГ 56 л. недатир. TOUCH SKIN - BORDEAUX (56-3196) гребень,кожзам(бордовый) отстрочка, 300х130мм</t>
  </si>
  <si>
    <t>56-3196</t>
  </si>
  <si>
    <t>4670159031963</t>
  </si>
  <si>
    <t>ПП-00202520</t>
  </si>
  <si>
    <t>ПЛАНИНГ 56 л. недатир. TOUCH SKIN - CHERRY RED (56-3201)гребень,кожзам(красный),отстрочка, 300х130мм</t>
  </si>
  <si>
    <t>56-3201</t>
  </si>
  <si>
    <t>4670159032014</t>
  </si>
  <si>
    <t>ПП-00202518</t>
  </si>
  <si>
    <t>ПЛАНИНГ 56 л. недатир. TOUCH SKIN - CHOCO (56-3199)гребень,кожзам(коричневый),отстрочка, 300х130мм</t>
  </si>
  <si>
    <t>56-3199</t>
  </si>
  <si>
    <t>4670159031994</t>
  </si>
  <si>
    <t>ПП-00202517</t>
  </si>
  <si>
    <t>ПЛАНИНГ 56 л. недатир. TOUCH SKIN - DEEP BLACK (56-3198)гребень,кожзам(черный),отстрочка, 300х130мм</t>
  </si>
  <si>
    <t>56-3198</t>
  </si>
  <si>
    <t>4670159031987</t>
  </si>
  <si>
    <t>ПП-00202519</t>
  </si>
  <si>
    <t>ПЛАНИНГ 56 л. недатир. TOUCH SKIN - EMERALD (56-3200)гребень,кожзам(зеленый),отстрочка, 300х130мм</t>
  </si>
  <si>
    <t>56-3200</t>
  </si>
  <si>
    <t>4670159032007</t>
  </si>
  <si>
    <t>ПП-00202516</t>
  </si>
  <si>
    <t>ПЛАНИНГ 56 л. недатир. TOUCH SKIN - INDIGO (56-3197)гребень,кожзам(синий),отстрочка,300х130мм</t>
  </si>
  <si>
    <t>56-3197</t>
  </si>
  <si>
    <t>4670159031970</t>
  </si>
  <si>
    <t xml:space="preserve">Планинги  недатированные (искусственная кожа, двойной черный греб+золотистый/серебрист срез) 56л </t>
  </si>
  <si>
    <t>ПП-00224446</t>
  </si>
  <si>
    <t>ПЛАНИНГ 56 л. недатир. SELECTION - BLACK (56-5071) греб, кожзам (черный), золотистый срез 300х130мм</t>
  </si>
  <si>
    <t>56-5071</t>
  </si>
  <si>
    <t>4670159150718</t>
  </si>
  <si>
    <t>ПП-00224450</t>
  </si>
  <si>
    <t>ПЛАНИНГ 56 л. недатир. SELECTION - BLACK (56-5075) греб, кожзам (черный), серебр срез 300х130мм</t>
  </si>
  <si>
    <t>56-5075</t>
  </si>
  <si>
    <t>4670159150756</t>
  </si>
  <si>
    <t>ПП-00224445</t>
  </si>
  <si>
    <t>ПЛАНИНГ 56 л. недатир. SELECTION - BLUE (56-5070) греб, кожзам (синий), серебристый срез 300х130мм</t>
  </si>
  <si>
    <t>56-5070</t>
  </si>
  <si>
    <t>4670159150701</t>
  </si>
  <si>
    <t>ПП-00224448</t>
  </si>
  <si>
    <t>ПЛАНИНГ 56 л. недатир. SELECTION - BORDEAUX (56-5073) греб, кожзам (бордовый), золот срез 300х130мм</t>
  </si>
  <si>
    <t>56-5073</t>
  </si>
  <si>
    <t>4670159150732</t>
  </si>
  <si>
    <t>ПП-00224447</t>
  </si>
  <si>
    <t>ПЛАНИНГ 56 л. недатир. SELECTION - CHOCO (56-5072) греб,кожзам (коричневый), золотист срез 300х130мм</t>
  </si>
  <si>
    <t>56-5072</t>
  </si>
  <si>
    <t>4670159150725</t>
  </si>
  <si>
    <t>ПП-00224449</t>
  </si>
  <si>
    <t>ПЛАНИНГ 56 л. недатир. SELECTION - EMERALD (56-5074) греб, кожзам (зеленый), золотис срез 300х130мм</t>
  </si>
  <si>
    <t>56-5074</t>
  </si>
  <si>
    <t>4670159150749</t>
  </si>
  <si>
    <t>06. КАЛЕНДАРИ 2025</t>
  </si>
  <si>
    <t>13. Календари настенные перекидные на скрепке (200х200) ДЕТСКИЕ С ЗАМЕТКАМИ И НАКЛЕЙКАМИ, инд. в пэт</t>
  </si>
  <si>
    <t>ПП-00234387</t>
  </si>
  <si>
    <t>Календарь настенный перекидной АВТО И МОТО (КН-9584) 6л,200х200 на скр, с накл с европодв</t>
  </si>
  <si>
    <t>КН-9584</t>
  </si>
  <si>
    <t>4670159195849</t>
  </si>
  <si>
    <t>ПП-00234384</t>
  </si>
  <si>
    <t>Календарь настенный перекидной ДОБРЫЕ ЗВЕРУШКИ (КН-9583) 6л,200х200 на скр, с накл с европодв</t>
  </si>
  <si>
    <t>КН-9583</t>
  </si>
  <si>
    <t>4670159195832</t>
  </si>
  <si>
    <t>ПП-00234393</t>
  </si>
  <si>
    <t>Календарь настенный перекидной МИЛЫЕ ЗМЕЙКИ (КН-9587) 6л,200х200 на скр, с накл с европодв</t>
  </si>
  <si>
    <t>КН-9587</t>
  </si>
  <si>
    <t>4670159195870</t>
  </si>
  <si>
    <t>ПП-00234392</t>
  </si>
  <si>
    <t>Календарь настенный перекидной МИЛЫЕ ПУШИСТЫЕ КОТЫ (КН-9586) 6л,200х200 на скр, с накл с европодв</t>
  </si>
  <si>
    <t>КН-9586</t>
  </si>
  <si>
    <t>4670159195863</t>
  </si>
  <si>
    <t>ПП-00234389</t>
  </si>
  <si>
    <t>Календарь настенный перекидной НЕОНОВЫЕ МАШИНЫ (КН-9585) 6л,200х200 на скр, с накл с европодв</t>
  </si>
  <si>
    <t>КН-9585</t>
  </si>
  <si>
    <t>4670159195856</t>
  </si>
  <si>
    <t>ПП-00234395</t>
  </si>
  <si>
    <t>Календарь настенный перекидной ПРЕЛЕСТНЫЕ ЗВЕРУШКИ (КН-9588) 6л,200х200 на скр, с накл с европодв</t>
  </si>
  <si>
    <t>КН-9588</t>
  </si>
  <si>
    <t>4670159195887</t>
  </si>
  <si>
    <t>14. Продукция для учителей</t>
  </si>
  <si>
    <t>Классные журналы А4 (205х290) переплёт 7БЦ</t>
  </si>
  <si>
    <t>ПП-00018163</t>
  </si>
  <si>
    <t>КЛАССНЫЙ ЖУРНАЛ ДЛЯ 10-11КЛАССОВ 96л. арт.1763791 (перепл. 7БЦ, глянц.ламин.) 205х290</t>
  </si>
  <si>
    <t>1763791</t>
  </si>
  <si>
    <t>9785378037919</t>
  </si>
  <si>
    <t>ПП-00190291</t>
  </si>
  <si>
    <t>КЛАССНЫЙ ЖУРНАЛ ДЛЯ 10-11КЛАССОВ 96л. арт.1763791 (перепл. 7БЦ, глянц.ламин.) 205х290 (!)</t>
  </si>
  <si>
    <t>15. Сопутствующая продукция</t>
  </si>
  <si>
    <t>01. Читательский дневник</t>
  </si>
  <si>
    <t>Читательский дневник А5, 24л, на скрепке</t>
  </si>
  <si>
    <t>ПП-00185116</t>
  </si>
  <si>
    <t>Читательский дневник А5 24л. КОЛОДЕЦ ЗНАНИЙ (Д24-4190) на скрепке, без обработки</t>
  </si>
  <si>
    <t>Д24-4190</t>
  </si>
  <si>
    <t>4620129741903</t>
  </si>
  <si>
    <t>ПП-00124006</t>
  </si>
  <si>
    <t>Читательский дневник А5 24л. КОТ И ЕДИНОРОГ (24-5613) на скрепке, без обработки</t>
  </si>
  <si>
    <t>24-5613</t>
  </si>
  <si>
    <t>4630079156139</t>
  </si>
  <si>
    <t>ПП-00185124</t>
  </si>
  <si>
    <t>Читательский дневник А5 24л. ЧИТАЮЩАЯ МОЛОДЕЖЬ (Д24-4194) на скрепке, без обработки</t>
  </si>
  <si>
    <t>Д24-4194</t>
  </si>
  <si>
    <t>4620129741941</t>
  </si>
  <si>
    <t>Читательский дневник А5, 56л, гребень, пластиковая обл, кругл.углов</t>
  </si>
  <si>
    <t>ПП-00269688</t>
  </si>
  <si>
    <t>Читательский дневник А5 56л. ВОЛШЕБНЫЙ МИР - 2 (Д52-0523) гребень, пластиковая обл</t>
  </si>
  <si>
    <t>Д52-0523</t>
  </si>
  <si>
    <t>4670159305231</t>
  </si>
  <si>
    <t>ПП-00269692</t>
  </si>
  <si>
    <t>Читательский дневник А5 56л. КНИЖНЫЙ МИНИМАЛИЗМ (Д52-0526) гребень, пластиковая обл</t>
  </si>
  <si>
    <t>Д52-0526</t>
  </si>
  <si>
    <t>4670159305262</t>
  </si>
  <si>
    <t>03. Подарочные наборы</t>
  </si>
  <si>
    <t>ПП-00235595</t>
  </si>
  <si>
    <t>Коробка для набора 12 книг (ПП-2117) для мальчиков</t>
  </si>
  <si>
    <t>ПП-2117</t>
  </si>
  <si>
    <t>4670159202615</t>
  </si>
  <si>
    <t>ПП-00235596</t>
  </si>
  <si>
    <t>Коробка для набора 12 книг (ПП-2118) для девочек</t>
  </si>
  <si>
    <t>ПП-2118</t>
  </si>
  <si>
    <t>4670159202622</t>
  </si>
  <si>
    <t>ПП-00235597</t>
  </si>
  <si>
    <t>Коробка для набора 12 книг (ПП-2119) универсальный</t>
  </si>
  <si>
    <t>ПП-2119</t>
  </si>
  <si>
    <t xml:space="preserve">4670159202639 </t>
  </si>
  <si>
    <t>ПП-00241764</t>
  </si>
  <si>
    <t>Набор 12 книг (ПП-2117) для мальчиков</t>
  </si>
  <si>
    <t>4665308968948 ¶</t>
  </si>
  <si>
    <t>ПП-00241766</t>
  </si>
  <si>
    <t>Набор 12 книг (ПП-2119) универсальный</t>
  </si>
  <si>
    <t>4665308968955 ¶</t>
  </si>
  <si>
    <t>16. Тетради</t>
  </si>
  <si>
    <t>01. Тетрадь-словарик А5</t>
  </si>
  <si>
    <t>Словари (тетради) для записи иностранных слов, А5 и А6</t>
  </si>
  <si>
    <t>ПП-00203612</t>
  </si>
  <si>
    <t>Тетрадь-словарь СПЕЦЛИНОВКА А5 48л. ПУТЕШЕСТВИЕ ПО СТРАНАМ (48-3987) цв.мелов.обл.,4 вида в короб.</t>
  </si>
  <si>
    <t>48-3987</t>
  </si>
  <si>
    <t>4670159039778</t>
  </si>
  <si>
    <t>ПП-00203613</t>
  </si>
  <si>
    <t>Тетрадь-словарь СПЕЦЛИНОВКА А6 32л. ДОРОЖНОЕ ПУТЕШЕСТВИЕ (32-3988) цв.мел.обл., 4 в в сп</t>
  </si>
  <si>
    <t>32-3988</t>
  </si>
  <si>
    <t>4670159039785</t>
  </si>
  <si>
    <t>02. Тетради для нот А4 и А5</t>
  </si>
  <si>
    <t>Тетради для нот, А4</t>
  </si>
  <si>
    <t>1. Тетрадь для нот А4 скрепка, вертикальная 16 л. 65гр. (картон)</t>
  </si>
  <si>
    <t>ПП-00271661</t>
  </si>
  <si>
    <t>Тетрадь для нот А4 16л. вертикальная 65гр. КЛАВИШИ-5 (16-1058) на скрепке (картон)</t>
  </si>
  <si>
    <t>16-1058</t>
  </si>
  <si>
    <t>4670159310587</t>
  </si>
  <si>
    <t>ПП-00271658</t>
  </si>
  <si>
    <t>Тетрадь для нот А4 16л. вертикальная 65гр. МИНИМАЛИЗМ-2 (16-1056) на скрепке (картон)</t>
  </si>
  <si>
    <t>16-1056</t>
  </si>
  <si>
    <t>4670159310563</t>
  </si>
  <si>
    <t>ПП-00271656</t>
  </si>
  <si>
    <t>Тетрадь для нот А4 16л. вертикальная 65гр. СКРИПИЧНЫЙ КЛЮЧ - 1 (16-1055) на скрепке (картон)</t>
  </si>
  <si>
    <t>16-1055</t>
  </si>
  <si>
    <t>4670159310556</t>
  </si>
  <si>
    <t>ПП-00271660</t>
  </si>
  <si>
    <t>Тетрадь для нот А4 16л. вертикальная 65гр. ЧЁРНАЯ ГИТАРА - 1 (16-1057) на скрепке (картон)</t>
  </si>
  <si>
    <t>16-1057</t>
  </si>
  <si>
    <t>4670159310570</t>
  </si>
  <si>
    <t>2. Тетрадь для нот А4 скрепка, вертикальная 24 л. 65гр. (картон)</t>
  </si>
  <si>
    <t>ПП-00271666</t>
  </si>
  <si>
    <t>Тетрадь для нот А4 24л. вертикальная 65гр. МИНИМАЛИЗМ-3 (24-1061) на скрепке (картон)</t>
  </si>
  <si>
    <t>24-1061</t>
  </si>
  <si>
    <t>4670159310617</t>
  </si>
  <si>
    <t>ПП-00271664</t>
  </si>
  <si>
    <t>Тетрадь для нот А4 24л. вертикальная 65гр. НОТНЫЙ СТАН (24-1059) на скрепке (картон)</t>
  </si>
  <si>
    <t>24-1059</t>
  </si>
  <si>
    <t>4670159310594</t>
  </si>
  <si>
    <t>ПП-00271665</t>
  </si>
  <si>
    <t>Тетрадь для нот А4 24л. вертикальная 65гр. ЧЁРНЫЙ МИНИМАЛИЗМ - 3 (24-1060) на скрепке (картон)</t>
  </si>
  <si>
    <t>24-1060</t>
  </si>
  <si>
    <t>4670159310600</t>
  </si>
  <si>
    <t>Тетради для нот, А4 СТАНДАРТНАЯ ЛИНОВКА</t>
  </si>
  <si>
    <t>Тетради для нот А4, скрепка, альбомные  8л.</t>
  </si>
  <si>
    <t>ПП-00194834</t>
  </si>
  <si>
    <t>Тетрадь для нот А4  8л. альбомная ВЗРЫВНОЙ РИФФ арт.08-8801 (скрепка, цветная мелов.обл.),</t>
  </si>
  <si>
    <t>08-8801</t>
  </si>
  <si>
    <t>4620129788014</t>
  </si>
  <si>
    <t>ПП-00236603</t>
  </si>
  <si>
    <t>Тетрадь для нот А4  8л. альбомная ИНСТРУМЕНТЫ И ЦИТАТА КОМПОЗИТОРА (08-0740) (скрепка, цв мел.обл.),</t>
  </si>
  <si>
    <t>08-0740</t>
  </si>
  <si>
    <t>4670159207405</t>
  </si>
  <si>
    <t>ПП-00194835</t>
  </si>
  <si>
    <t>Тетрадь для нот А4  8л. альбомная ПРОСТАЯ МЕЛОДИЯ арт.08-8802 (скрепка, цветная мелов.обл.),</t>
  </si>
  <si>
    <t>08-8802</t>
  </si>
  <si>
    <t>4620129788021</t>
  </si>
  <si>
    <t>Тетради для нот А4, скрепка, вертикальные  8л.</t>
  </si>
  <si>
    <t>ПП-00157161</t>
  </si>
  <si>
    <t xml:space="preserve">Тетрадь для нот А4  8л. вертикальная КЛАВИШИ НА ГОЛУБОМ арт.08-0201 (скрепка, цветная мелов.обл.), </t>
  </si>
  <si>
    <t>08-0201</t>
  </si>
  <si>
    <t>4610144802024</t>
  </si>
  <si>
    <t>Тетради для нот, А4 УЗНАЯ ЛИНОВКА</t>
  </si>
  <si>
    <t>Тетради для нот А4, скрепка, альбомные 24л.</t>
  </si>
  <si>
    <t>ПП-00194838</t>
  </si>
  <si>
    <t>Тетрадь для нот А4 24л. альбомная В РИТМЕ БЛЮЗА (24-8805) (скрепка, цветная мелов.обл.)</t>
  </si>
  <si>
    <t>24-8805</t>
  </si>
  <si>
    <t>4620129788052</t>
  </si>
  <si>
    <t>ПП-00157201</t>
  </si>
  <si>
    <t>Тетрадь для нот А4 24л. альбомная ДИДЖЕЙ КОТИК (24-0193) (скрепка, цветная мелов.обл.)</t>
  </si>
  <si>
    <t>24-0193</t>
  </si>
  <si>
    <t>4610144801942</t>
  </si>
  <si>
    <t>ПП-00157199</t>
  </si>
  <si>
    <t>Тетрадь для нот А4 24л. альбомная КОСМИЧЕСКИЙ САКСОФОНИСТ (24-0192) (скрепка, цветная мелов.обл.)</t>
  </si>
  <si>
    <t>24-0192</t>
  </si>
  <si>
    <t>4610144801935</t>
  </si>
  <si>
    <t>ПП-00185758</t>
  </si>
  <si>
    <t>Тетрадь для нот А4  8л. вертикальная РОК В КОСМОСЕ арт.08-0199 (скр, цветная мелов.обл.), СПАЙКА 5</t>
  </si>
  <si>
    <t>08-0199</t>
  </si>
  <si>
    <t>ПП-00157156</t>
  </si>
  <si>
    <t xml:space="preserve">Тетрадь для нот А4  8л. вертикальная РОК В КОСМОСЕ арт.08-0199 (скрепка, цветная мелов.обл.), </t>
  </si>
  <si>
    <t>4610144802000</t>
  </si>
  <si>
    <t>Тетради для нот, А5</t>
  </si>
  <si>
    <t>1. Тетрадь для нот А5 скрепка, вертикальная 24 л. 65гр. (картон)</t>
  </si>
  <si>
    <t>ПП-00271675</t>
  </si>
  <si>
    <t>Тетрадь для нот А5 24л. вертикальная 65гр. КАПИБАРА С ГИТАРОЙ (24-1067) на скрепке (картон)</t>
  </si>
  <si>
    <t>24-1067</t>
  </si>
  <si>
    <t>4670159310679</t>
  </si>
  <si>
    <t>ПП-00271677</t>
  </si>
  <si>
    <t>Тетрадь для нот А5 24л. вертикальная 65гр. КЛАВИШИ-7 (24-1069) на скрепке (картон)</t>
  </si>
  <si>
    <t>24-1069</t>
  </si>
  <si>
    <t>4670159310693</t>
  </si>
  <si>
    <t>ПП-00271676</t>
  </si>
  <si>
    <t>Тетрадь для нот А5 24л. вертикальная 65гр. КОТ И ВИОЛОНЧЕЛЬ (24-1068) на скрепке (картон)</t>
  </si>
  <si>
    <t>24-1068</t>
  </si>
  <si>
    <t>4670159310686</t>
  </si>
  <si>
    <t>ПП-00271678</t>
  </si>
  <si>
    <t>Тетрадь для нот А5 24л. вертикальная 65гр. ЧЁРНЫЙ МИНИМАЛИЗМ - 4 (24-1070) на скрепке (картон)</t>
  </si>
  <si>
    <t>24-1070</t>
  </si>
  <si>
    <t>4670159310709</t>
  </si>
  <si>
    <t>03. Тетради на спирали А4 и А5</t>
  </si>
  <si>
    <t>Тетради на спирали А5</t>
  </si>
  <si>
    <t>Тетради на цветной спирали А5, 48л.</t>
  </si>
  <si>
    <t>Тетради на цветной спирали А5, 48л. цвет. мелов. обложка</t>
  </si>
  <si>
    <t>ПП-00260064</t>
  </si>
  <si>
    <t>Тетрадь КЛЕТКА А5, 48л. ГОРОДСКАЯ АРХИТЕКТУРА - 5 (48-8320) цветная спираль, цвет. мелов. обложка</t>
  </si>
  <si>
    <t>48-8320</t>
  </si>
  <si>
    <t>4670159283737</t>
  </si>
  <si>
    <t>ПП-00260070</t>
  </si>
  <si>
    <t>Тетрадь КЛЕТКА А5, 48л. ДИКИЕ КОШАЧЬИ - 2 (48-8324) цветная спираль, цвет. мелов. обложка</t>
  </si>
  <si>
    <t>48-8324</t>
  </si>
  <si>
    <t>4670159283775</t>
  </si>
  <si>
    <t>ПП-00274393</t>
  </si>
  <si>
    <t>Тетрадь КЛЕТКА А5, 48л. Микс (Т48-2078) цветная спираль, 8 диз.,цвет. мелов. обложка (!)</t>
  </si>
  <si>
    <t>Т48-2078</t>
  </si>
  <si>
    <t>4670159320784</t>
  </si>
  <si>
    <t>ПП-00260071</t>
  </si>
  <si>
    <t>Тетрадь КЛЕТКА А5, 48л. МИЛЫЙ МИНИМАЛИЗМ (48-8325) цветная спираль, цвет. мелов. обложка</t>
  </si>
  <si>
    <t>48-8325</t>
  </si>
  <si>
    <t>4670159283782</t>
  </si>
  <si>
    <t>ПП-00260073</t>
  </si>
  <si>
    <t>Тетрадь КЛЕТКА А5, 48л. ЦВЕТОЧНЫЙ ПАТТЕРН - 14 (48-8327) цветная спираль, цвет. мелов. обложка</t>
  </si>
  <si>
    <t>48-8327</t>
  </si>
  <si>
    <t>4670159283805</t>
  </si>
  <si>
    <t>Тетради на цветной спирали А5, 48л., софт-тач</t>
  </si>
  <si>
    <t>ПП-00259600</t>
  </si>
  <si>
    <t>Тетрадь КЛЕТКА А5, 48л. МИНИМАЛИЗМ В ГЕОМЕТРИИ (Т48-8338) цв спир,цвет.мел.обл,софт-тач mix</t>
  </si>
  <si>
    <t>Т48-8338</t>
  </si>
  <si>
    <t>4670159283386</t>
  </si>
  <si>
    <t>ПП-00259601</t>
  </si>
  <si>
    <t>Тетрадь КЛЕТКА А5, 48л. ПОЛЁТ НАД ОБЛАКАМИ (Т48-8339) цв спир,цвет.мел.обл,софт-тач mix</t>
  </si>
  <si>
    <t>Т48-8339</t>
  </si>
  <si>
    <t>4670159283393</t>
  </si>
  <si>
    <t>ПП-00236862</t>
  </si>
  <si>
    <t>ТМ"Collezione"Тетрадь КЛЕТКА А5, 48л. АБСТРАКТНОСТЬ ФИГУР (48-6530) цв спир,цвет,софт-тач СПАЙКА 4</t>
  </si>
  <si>
    <t>4670159163268</t>
  </si>
  <si>
    <t>ПП-00227138</t>
  </si>
  <si>
    <t>ТМ"Collezione"Тетрадь КЛЕТКА А5, 48л. АВТО НА ТЁМНОМ ФОНЕ (48-6531) цв спир,цвет.мел.обл,софт-тач</t>
  </si>
  <si>
    <t>48-6531</t>
  </si>
  <si>
    <t>4670159163275</t>
  </si>
  <si>
    <t>ПП-00227139</t>
  </si>
  <si>
    <t>ТМ"Collezione"Тетрадь КЛЕТКА А5, 48л. СОВЕРШЕННАЯ КРАСОТА (48-6532) цв спир,цвет.мел.обл,софт-тач</t>
  </si>
  <si>
    <t>48-6532</t>
  </si>
  <si>
    <t>4670159163282</t>
  </si>
  <si>
    <t>Тетради на цветной спирали А5, 48л., твин-лак, холодная фольга</t>
  </si>
  <si>
    <t>ПП-00227147</t>
  </si>
  <si>
    <t>ТМ"Collezione" Тетрадь КЛЕТКА 48л. ГРАФФИТИ В ЦВЕТЕ (48-6537) цвет.спир.,твин лак, хол. фольга</t>
  </si>
  <si>
    <t>48-6537</t>
  </si>
  <si>
    <t>4670159163336</t>
  </si>
  <si>
    <t>ПП-00227142</t>
  </si>
  <si>
    <t>ТМ"Collezione" Тетрадь КЛЕТКА 48л. ПРИКЛЮЧЕНИЯ НА АВТО (48-6534) цвет.спир.,твин лак, хол. фольга</t>
  </si>
  <si>
    <t>48-6534</t>
  </si>
  <si>
    <t>4670159163305</t>
  </si>
  <si>
    <t>Тетради на цветной спирали А5, 48л.,твин-лак</t>
  </si>
  <si>
    <t>ПП-00259611</t>
  </si>
  <si>
    <t>Тетрадь КЛЕТКА А5, 48л. ГОРНЫЕ ВЕРШИНЫ (Т48-8340) цветная спираль, твин-лак mix</t>
  </si>
  <si>
    <t>Т48-8340</t>
  </si>
  <si>
    <t>4670159283409</t>
  </si>
  <si>
    <t>ПП-00259614</t>
  </si>
  <si>
    <t>Тетрадь КЛЕТКА А5, 48л. ДРУГ ЧЕЛОВЕКА (Т48-8341) цветная спираль, твин-лак mix</t>
  </si>
  <si>
    <t>Т48-8341</t>
  </si>
  <si>
    <t>4670159283416</t>
  </si>
  <si>
    <t>ПП-00227125</t>
  </si>
  <si>
    <t>Тетрадь КЛЕТКА А5, 48л. МОЙ ЛЮБИМЫЙ ГОРОД (48-6495) цветная спираль, твин-лак</t>
  </si>
  <si>
    <t>48-6495</t>
  </si>
  <si>
    <t>4670159163107</t>
  </si>
  <si>
    <t>ПП-00249075</t>
  </si>
  <si>
    <t>Тетрадь КЛЕТКА А5, 48л. СТИЛЬНОЕ ЧЁРНОЕ АВТО - 3 (48-5586) цветная спираль, твин-лак</t>
  </si>
  <si>
    <t>48-5586</t>
  </si>
  <si>
    <t>4670159255864</t>
  </si>
  <si>
    <t>Тетради на цветной спирали А5, 96л.</t>
  </si>
  <si>
    <t>Тетради на цветной спирали А5, 96л. цвет. мелов. обложка</t>
  </si>
  <si>
    <t>ПП-00241948</t>
  </si>
  <si>
    <t>Тетрадь КЛЕТКА А5, 96л. ДЕВУШКИ И ПРИРОДА (96-2344) цвет. спираль, цвет.мелов.обложка</t>
  </si>
  <si>
    <t>96-2344</t>
  </si>
  <si>
    <t>4670159223443</t>
  </si>
  <si>
    <t>ПП-00227132</t>
  </si>
  <si>
    <t>Тетрадь КЛЕТКА А5, 96л. ЖЁЛТО-БЕЛЫЕ ГРАФФИТИ (96-6321) цвет. спираль, цвет.мелов.обложка</t>
  </si>
  <si>
    <t>96-6321</t>
  </si>
  <si>
    <t>4670159163213</t>
  </si>
  <si>
    <t>ПП-00259632</t>
  </si>
  <si>
    <t>Тетрадь КЛЕТКА А5, 96л. КРУПНЫЕ ПЛАНЫ ПРИРОДЫ (Т96-8345) цвет. спираль, цвет.мелов.обложка mix</t>
  </si>
  <si>
    <t>Т96-8345</t>
  </si>
  <si>
    <t>4670159283454</t>
  </si>
  <si>
    <t>ПП-00259631</t>
  </si>
  <si>
    <t>Тетрадь КЛЕТКА А5, 96л. МИНИМАЛИЗМ В ТЁМНЫХ ТОНАХ - 1 (Т96-8344) цвет. спираль, цв.мел.обложка mix</t>
  </si>
  <si>
    <t>Т96-8344</t>
  </si>
  <si>
    <t>4670159283447</t>
  </si>
  <si>
    <t>ПП-00241949</t>
  </si>
  <si>
    <t>Тетрадь КЛЕТКА А5, 96л. ПИКСЕЛЬНОЕ МИЛИТАРИ - 1 (96-2345) цвет. спираль, цвет.мелов.обложка</t>
  </si>
  <si>
    <t>96-2345</t>
  </si>
  <si>
    <t>4670159223450</t>
  </si>
  <si>
    <t>ПП-00227130</t>
  </si>
  <si>
    <t>Тетрадь КЛЕТКА А5, 96л. ПУТЕШЕСТВУЙ ПО МИРУ (96-6319) цвет. спираль, цвет.мелов.обложка</t>
  </si>
  <si>
    <t>96-6319</t>
  </si>
  <si>
    <t>4670159163190</t>
  </si>
  <si>
    <t>ПП-00259626</t>
  </si>
  <si>
    <t>Тетрадь КЛЕТКА А5, 96л. ЧЁРНЫЙ АВТОМОБИЛЬ (Т96-8342) цвет. спираль, цвет.мелов.обложка mix</t>
  </si>
  <si>
    <t>Т96-8342</t>
  </si>
  <si>
    <t>4670159283423</t>
  </si>
  <si>
    <t>Тетради на цветной спирали А5, 96л., софт-тач</t>
  </si>
  <si>
    <t>ПП-00259633</t>
  </si>
  <si>
    <t>Тетрадь КЛЕТКА А5, 96л. КРУПНЫЕ ПЛАНЫ ПРИРОДЫ Т96-8346) цв.спир,цв.мелов.обл, софт-тач mix</t>
  </si>
  <si>
    <t>Т96-8346</t>
  </si>
  <si>
    <t>4670159283461</t>
  </si>
  <si>
    <t>ПП-00274512</t>
  </si>
  <si>
    <t>Тетрадь КЛЕТКА А5, 96л. Микс  цв.спир,цв.мелов.обл, софт-тач mix (!)</t>
  </si>
  <si>
    <t>ПП-00226881</t>
  </si>
  <si>
    <t>ТМ"Collezione" Тетрадь КЛЕТКА А5, 96л. ЗВЕРЬ НА ОХОТЕ (96-6284) цв.спир,цв.мелов.обл, софт-тач</t>
  </si>
  <si>
    <t>96-6284</t>
  </si>
  <si>
    <t>4670159162841</t>
  </si>
  <si>
    <t>ПП-00226883</t>
  </si>
  <si>
    <t>ТМ"Collezione" Тетрадь КЛЕТКА А5, 96л. РИСУНОК МОТОЦИКЛИСТА (96-6286) цв.спир,цв.мелов.обл, софт-тач</t>
  </si>
  <si>
    <t>96-6286</t>
  </si>
  <si>
    <t>4670159162865</t>
  </si>
  <si>
    <t>Тетради на цветной спирали А5, 96л., твин-лак, холодная фольга</t>
  </si>
  <si>
    <t>ПП-00232410</t>
  </si>
  <si>
    <t>Тетрадь КЛЕТКА А5, 96л. АВТОМОБИЛЬНАЯ ТЕМАТИКА-1 (96-8369) цв.сп,цв.м.обл СПАЙКА2</t>
  </si>
  <si>
    <t>96-8369</t>
  </si>
  <si>
    <t>ПП-00232411</t>
  </si>
  <si>
    <t>Тетрадь КЛЕТКА А5, 96л. ВИД НА ГОРОД - 2 (96-8371) цв.сп,цв.мел.обл,твин СПАЙКА2</t>
  </si>
  <si>
    <t>96-8371</t>
  </si>
  <si>
    <t>ПП-00232137</t>
  </si>
  <si>
    <t>ТМ"Collezione" Тетрадь КЛЕТКА А5, 96л. ВИД НА ГОРОД - 2 (96-8371) цв.сп,цв.мел.обл,твин-лак,хол.ф</t>
  </si>
  <si>
    <t>4670159183716</t>
  </si>
  <si>
    <t>ПП-00232138</t>
  </si>
  <si>
    <t>ТМ"Collezione" Тетрадь КЛЕТКА А5, 96л. ФРАЗЫ И ПРИРОДА (96-8372) цв.сп,цв.мел.обл,твин-лак,хол.ф</t>
  </si>
  <si>
    <t>96-8372</t>
  </si>
  <si>
    <t>4670159183723</t>
  </si>
  <si>
    <t>Тетради на цветной спирали А5, 96л.,твин-лак</t>
  </si>
  <si>
    <t>ПП-00204345</t>
  </si>
  <si>
    <t>Тетрадь КЛЕТКА А5, 96л. АБСТРАКТНОЕ ИСКУССТВО-1 (Т96-3603) цветная спираль, твин-лак СПАЙКА 4</t>
  </si>
  <si>
    <t>Т96-3603</t>
  </si>
  <si>
    <t>4620129736039</t>
  </si>
  <si>
    <t>04. Тетради на гребне А4 и А5</t>
  </si>
  <si>
    <t>Тетради на гребне А4</t>
  </si>
  <si>
    <t xml:space="preserve"> Тетради на гребне А4 60л.</t>
  </si>
  <si>
    <t>01 TМ"Profit"Тетради на гребне А4 60л. обложка цветная мелованная</t>
  </si>
  <si>
    <t>ПП-00262697</t>
  </si>
  <si>
    <t>TМ Profit Тетради КЛЕТКА А4 60л.АБСТРАКТНЫЙ ДИЗАЙН - 6 (60-8995) гребень, цвет.мелов.обложка</t>
  </si>
  <si>
    <t>60-8995</t>
  </si>
  <si>
    <t>4670159289951</t>
  </si>
  <si>
    <t>02 Тетради на гребне А4 60л. СТАНДАРТ</t>
  </si>
  <si>
    <t>ПП-00232111</t>
  </si>
  <si>
    <t>Тетрадь КЛЕТКА А4 60л. ГОЛУБОЙ МРАМОР - 1 (60-8352) гребень, цвет.мелов.обложка</t>
  </si>
  <si>
    <t>60-8352</t>
  </si>
  <si>
    <t>4670159183525</t>
  </si>
  <si>
    <t xml:space="preserve"> Тетради на гребне А4 80л.</t>
  </si>
  <si>
    <t xml:space="preserve">01 TМ"Profit"Тетради на гребне А4 80л. обложка цветная мелованая </t>
  </si>
  <si>
    <t>ПП-00241908</t>
  </si>
  <si>
    <t>TМ"Profit"Тетрадь КЛЕТКА А4 80л. ПРИРОДНОЕ УМИРОТВОРЕНИЕ (80-2325) гребень, цвет.мелов.обложка</t>
  </si>
  <si>
    <t>80-2325</t>
  </si>
  <si>
    <t>4670159223252</t>
  </si>
  <si>
    <t xml:space="preserve"> Тетради на гребне А4 96л.</t>
  </si>
  <si>
    <t>02 Тетради на гребне А4 96л. СТАНДАРТ</t>
  </si>
  <si>
    <t>ПП-00262237</t>
  </si>
  <si>
    <t>Тетрадь КЛЕТКА А4 96л. КРАСИВЫЙ ГОРОД - 5 (96-8968) (гребень, цвет.мелов.обл.)</t>
  </si>
  <si>
    <t>96-8968</t>
  </si>
  <si>
    <t>4670159289685</t>
  </si>
  <si>
    <t>03 Тетради на гребне А4 96л. СТАНДАРТ, твин-лак</t>
  </si>
  <si>
    <t>ПП-00249074</t>
  </si>
  <si>
    <t>Тетрадь КЛЕТКА А4 96л. АРХИТЕКТУРА И СВЕТ - 1 (96-5585) гребень, твин-лак</t>
  </si>
  <si>
    <t>96-5585</t>
  </si>
  <si>
    <t>4670159255857</t>
  </si>
  <si>
    <t>ПП-00259581</t>
  </si>
  <si>
    <t>Тетрадь КЛЕТКА А4 96л. МИНИМАЛИЗМ В НАДПИСЯХ (Т96-8336) гребень, твин-лак</t>
  </si>
  <si>
    <t>Т96-8336</t>
  </si>
  <si>
    <t>4670159283362</t>
  </si>
  <si>
    <t>04 Тетради на гребне А4 96л. СТАНДАРТ, софт-тач</t>
  </si>
  <si>
    <t>ПП-00248645</t>
  </si>
  <si>
    <t>Тетрадь КЛЕТКА А4 96л. МИНИМАЛИЗМ И ФРАЗЫ - 2 (96-5355) 2 диз., гребень, софт-тач</t>
  </si>
  <si>
    <t>96-5355</t>
  </si>
  <si>
    <t>4670159253556</t>
  </si>
  <si>
    <t>ПП-00260881</t>
  </si>
  <si>
    <t>Тетрадь КЛЕТКА А4, 96л. КРАСИВАЯ АРХИТЕКТУРА - 9 (96-8590) гребень, софт-тач</t>
  </si>
  <si>
    <t>96-8590</t>
  </si>
  <si>
    <t xml:space="preserve">4670159285878 </t>
  </si>
  <si>
    <t>ПП-00248652</t>
  </si>
  <si>
    <t>Тетрадь КЛЕТКА А4, 96л. МИНИМАЛИЗМ И ФРАЗЫ - 3 (96-5359) 2 диз., гребень, софт-тач</t>
  </si>
  <si>
    <t>96-5359</t>
  </si>
  <si>
    <t>4670159253594</t>
  </si>
  <si>
    <t>ПП-00260884</t>
  </si>
  <si>
    <t>Тетрадь КЛЕТКА А4, 96л. МОРСКАЯ ПЕНА - 4 (96-8591) гребень, софт-тач</t>
  </si>
  <si>
    <t>96-8591</t>
  </si>
  <si>
    <t xml:space="preserve">4670159285885 </t>
  </si>
  <si>
    <t>ПП-00260886</t>
  </si>
  <si>
    <t>Тетрадь КЛЕТКА А4, 96л. СМАЙЛИК НА ЧЁРНОМ ФОНЕ - 1 (96-8593) гребень, софт-тач</t>
  </si>
  <si>
    <t>96-8593</t>
  </si>
  <si>
    <t xml:space="preserve">4670159285908 </t>
  </si>
  <si>
    <t>05 Тетради на гребне А4 96л. СТАНДАРТ, 4+4 тиснение холст</t>
  </si>
  <si>
    <t>ПП-00238661</t>
  </si>
  <si>
    <t>Тетрадь А4 КЛЕТКА  96л. Цветы/голубой(96-1792)гребень,4+4,обл.250г/м,бл.80г/м2 1+1(сер),лен,круг1ПЭТ</t>
  </si>
  <si>
    <t>96-1792</t>
  </si>
  <si>
    <t>4670159217923</t>
  </si>
  <si>
    <t>ПП-00238666</t>
  </si>
  <si>
    <t>Тетрадь А4 КЛЕТКА  96л.МИКС1 (96-1794/96-1795)греб,4+4,обл.250г/м,блок80г 1+1(серый),лен,круг 2ПЭТ</t>
  </si>
  <si>
    <t>96-1794/96-1795</t>
  </si>
  <si>
    <t>ПП-00238663</t>
  </si>
  <si>
    <t>Тетрадь А4 КЛЕТКА  96л.Цветы/розовый(96-1794)гребень,4+4,обл.250г/м,блок80г/м2 1+1(серый),лен,кр1ПЭТ</t>
  </si>
  <si>
    <t>96-1794</t>
  </si>
  <si>
    <t>4670159217947</t>
  </si>
  <si>
    <t>ПП-00238662</t>
  </si>
  <si>
    <t>Тетрадь А4 КЛЕТКА  96л.Цветы/сиреневый(96-1793)гребень,4+4,обл.250г/м,бл.80г/м2 1+1(серый),лен,к1ПЭТ</t>
  </si>
  <si>
    <t>96-1793</t>
  </si>
  <si>
    <t>4670159217930</t>
  </si>
  <si>
    <t>ПП-00236355</t>
  </si>
  <si>
    <t>Тетрадь А4 КЛЕТКА 96л.(96-0642/96-0643) на гребне, лен, кругл.углы СПАЙКА2</t>
  </si>
  <si>
    <t>96-0642/96-0643</t>
  </si>
  <si>
    <t>ПП-00232487</t>
  </si>
  <si>
    <t>Тетрадь КЛЕТКА А4 96л. МИКС (96-8357,96-8358) гребень, 4+4 тиснение холст СПАЙКА 2</t>
  </si>
  <si>
    <t>96-8357/96-8358</t>
  </si>
  <si>
    <t>4670159183570</t>
  </si>
  <si>
    <t>ПП-00259577</t>
  </si>
  <si>
    <t>Тетрадь КЛЕТКА А4 96л. МИНИМАЛИЗМ В ТЁМНЫХ ТОНАХ (Т96-8333) гребень, 4+4, тиснение холст</t>
  </si>
  <si>
    <t>Т96-8333</t>
  </si>
  <si>
    <t>4670159283331</t>
  </si>
  <si>
    <t>06 Тетради на гребне А4 96л. СТАНДАРТ, 4+0 тиснение лён</t>
  </si>
  <si>
    <t>ПП-00263703</t>
  </si>
  <si>
    <t>Тетрадь КЛЕТКА А4 96л. В СИНИХ ТОНАХ (Т96-9184) гребень, 4+0, тиснение лён</t>
  </si>
  <si>
    <t>Т96-9184</t>
  </si>
  <si>
    <t>4670159291848</t>
  </si>
  <si>
    <t>ПП-00263702</t>
  </si>
  <si>
    <t>Тетрадь КЛЕТКА А4 96л. ПАСТЕЛЬНАЯ АБСТРАКЦИЯ (Т96-9183) гребень, 4+0, тиснение лён</t>
  </si>
  <si>
    <t>Т96-9183</t>
  </si>
  <si>
    <t>4670159291831</t>
  </si>
  <si>
    <t>Тетради на гребне А5</t>
  </si>
  <si>
    <t>Тетради на гребне А5 48л.</t>
  </si>
  <si>
    <t>01 TМ"Profit"Тетради на гребне А5 48л. цвет. мелов. обл.</t>
  </si>
  <si>
    <t>ПП-00246744</t>
  </si>
  <si>
    <t>TМ"Profit" Тетрадь КЛЕТКА 48л. ГОРОДСКАЯ ГРАФИКА (Т48-4848) гребень, цвет. мелов. обл.</t>
  </si>
  <si>
    <t>Т48-4848</t>
  </si>
  <si>
    <t>4670159248484</t>
  </si>
  <si>
    <t>ПП-00260890</t>
  </si>
  <si>
    <t>TМ"Profit" Тетрадь КЛЕТКА 48л. МИЛЫЕ КОТЫ - 1 (48-8615) гребень, цвет. мелов. обл.</t>
  </si>
  <si>
    <t>48-8615</t>
  </si>
  <si>
    <t xml:space="preserve">4670159285946 </t>
  </si>
  <si>
    <t>ПП-00181290</t>
  </si>
  <si>
    <t>TМ"Profit" Тетрадь КЛЕТКА 48л. МОРДОЧКИ ЛИС (48-3586) гребень, цвет. мелов. обл.</t>
  </si>
  <si>
    <t>48-3586</t>
  </si>
  <si>
    <t>4620129725866</t>
  </si>
  <si>
    <t>ПП-00260889</t>
  </si>
  <si>
    <t>TМ"Profit" Тетрадь КЛЕТКА 48л. НЕОБЫЧНАЯ АРХИТЕКТУРА (48-8614) гребень, цвет. мелов. обл.</t>
  </si>
  <si>
    <t>48-8614</t>
  </si>
  <si>
    <t xml:space="preserve">4670159285939 </t>
  </si>
  <si>
    <t>ПП-00246743</t>
  </si>
  <si>
    <t>TМ"Profit" Тетрадь КЛЕТКА 48л. ПОРТРЕТ ДЕВУШКИ - 1 (Т48-4847) гребень, цвет. мелов. обл.</t>
  </si>
  <si>
    <t>Т48-4847</t>
  </si>
  <si>
    <t>4670159248477</t>
  </si>
  <si>
    <t>ПП-00260887</t>
  </si>
  <si>
    <t>TМ"Profit" Тетрадь КЛЕТКА 48л. РАЗНЫЕ ФУТБОЛЬНЫЕ МЯЧИ - 10 (48-8612) гребень, цвет. мелов. обл.</t>
  </si>
  <si>
    <t>48-8612</t>
  </si>
  <si>
    <t xml:space="preserve">4670159285915 </t>
  </si>
  <si>
    <t>ПП-00260888</t>
  </si>
  <si>
    <t>TМ"Profit" Тетрадь КЛЕТКА 48л. ТУМАННЫЕ ПЕЙЗАЖИ - 3 (48-8613) гребень, цвет. мелов. обл.</t>
  </si>
  <si>
    <t>48-8613</t>
  </si>
  <si>
    <t xml:space="preserve">4670159285922 </t>
  </si>
  <si>
    <t>02 Тетради А5 48 л. на гребне (160х203) СТАНДАРТ без обработки (цветная обложка)</t>
  </si>
  <si>
    <t>ПП-00267746</t>
  </si>
  <si>
    <t>Тетрадь КЛЕТКА 48л. ДИЗАЙН В ЧЁРНОМ ЦВЕТЕ - 9 (Т48-0140) гребень, цвет.мелов.обл.</t>
  </si>
  <si>
    <t>Т48-0140</t>
  </si>
  <si>
    <t>4670159301349</t>
  </si>
  <si>
    <t>ПП-00246779</t>
  </si>
  <si>
    <t>Тетрадь КЛЕТКА 48л. ДИКИЕ КОШАЧЬИ - 1 (Т48-4879) гребень, цвет.мелов.обл.</t>
  </si>
  <si>
    <t>Т48-4879</t>
  </si>
  <si>
    <t>4670159248798</t>
  </si>
  <si>
    <t>ПП-00246780</t>
  </si>
  <si>
    <t>Тетрадь КЛЕТКА 48л. КОТИКИ С УШКАМИ (Т48-4880) гребень, цвет.мелов.обл.</t>
  </si>
  <si>
    <t>Т48-4880</t>
  </si>
  <si>
    <t>4670159248804</t>
  </si>
  <si>
    <t>ПП-00260878</t>
  </si>
  <si>
    <t>Тетрадь КЛЕТКА 48л. КРАСИВЫЕ КОШАЧЬИ (48-8617) гребень, цвет.мелов.обл.</t>
  </si>
  <si>
    <t>48-8617</t>
  </si>
  <si>
    <t xml:space="preserve">4670159285960 </t>
  </si>
  <si>
    <t>ПП-00260880</t>
  </si>
  <si>
    <t>Тетрадь КЛЕТКА 48л. МИЛЫЕ КОТЫ - 2 (48-8619) гребень, цвет.мелов.обл.</t>
  </si>
  <si>
    <t>48-8619</t>
  </si>
  <si>
    <t xml:space="preserve">4670159285984 </t>
  </si>
  <si>
    <t>03 Тетради А5 48л. на гребне, обл. - мелов.картон, с двойной обложкой</t>
  </si>
  <si>
    <t>ПП-00260872</t>
  </si>
  <si>
    <t>Тетрадь на гребне КЛЕТКА А5 48л. ЗАВОРАЖИВАЮЩИЕ ПЕЙЗАЖИ - 3 (48-8620) мелов.картон, двойная обл.</t>
  </si>
  <si>
    <t>48-8620</t>
  </si>
  <si>
    <t xml:space="preserve">4670159285991 </t>
  </si>
  <si>
    <t>ПП-00260875</t>
  </si>
  <si>
    <t>Тетрадь на гребне КЛЕТКА А5 48л. МИНИМАЛИСТИЧНЫЙ ДИЗАЙН - 4 (48-8621) мелов.картон, двойная обл.</t>
  </si>
  <si>
    <t>48-8621</t>
  </si>
  <si>
    <t xml:space="preserve">4670159286004 </t>
  </si>
  <si>
    <t>ПП-00232402</t>
  </si>
  <si>
    <t>Тетрадь на гребне КЛЕТКА А5 48л. ЦИТАТЫ О ГОРОДЕ (48-8567) цвет.мелов.картон, двойная обложка</t>
  </si>
  <si>
    <t>48-8567</t>
  </si>
  <si>
    <t>4670159185673</t>
  </si>
  <si>
    <t>04 Тетради А5 48л. на гребне, софт-тач, клетка серая</t>
  </si>
  <si>
    <t>ПП-00267779</t>
  </si>
  <si>
    <t>Тетрадь на гребне КЛЕТКА А5 48л. ОДНОТОННЫЙ ДИЗАЙН - 11 (Т48-0143) софт-тач</t>
  </si>
  <si>
    <t>Т48-0143</t>
  </si>
  <si>
    <t>4670159301424</t>
  </si>
  <si>
    <t>ПП-00267778</t>
  </si>
  <si>
    <t>Тетрадь на гребне КЛЕТКА А5 48л. ОТТЕНКИ ЧЁРНОГО - 3 (Т48-0142) софт-тач</t>
  </si>
  <si>
    <t>Т48-0142</t>
  </si>
  <si>
    <t>4670159301417</t>
  </si>
  <si>
    <t>ПП-00248656</t>
  </si>
  <si>
    <t>Тетрадь на гребне КЛЕТКА А5 48л. ЦВЕТ И МИНИМАЛИЗМ - 1 (Т48-5362) софт-тач</t>
  </si>
  <si>
    <t>Т48-5362</t>
  </si>
  <si>
    <t>4670159253624</t>
  </si>
  <si>
    <t>ПП-00248658</t>
  </si>
  <si>
    <t>Тетрадь на гребне КЛЕТКА А5 48л. ЦВЕТ И МИНИМАЛИЗМ - 2 (Т48-5363) софт-тач</t>
  </si>
  <si>
    <t>Т48-5363</t>
  </si>
  <si>
    <t>4670159253631</t>
  </si>
  <si>
    <t>05 Тетради А5 48л. на гребне, обл. - матовая ламинация</t>
  </si>
  <si>
    <t>ПП-00249070</t>
  </si>
  <si>
    <t>Тетрадь на гребне КЛЕТКА А5 48л. В ЧЁРНО-БЕЛОМ СТИЛЕ (48-5581) обл. - матовая ламинация</t>
  </si>
  <si>
    <t>48-5581</t>
  </si>
  <si>
    <t>4670159255819</t>
  </si>
  <si>
    <t>ПП-00249069</t>
  </si>
  <si>
    <t>Тетрадь на гребне КЛЕТКА А5 48л. МИНИМАЛИСТИЧНЫЙ ДИЗАЙН (48-5580) обл. - матовая ламинация</t>
  </si>
  <si>
    <t>48-5580</t>
  </si>
  <si>
    <t>4670159255802</t>
  </si>
  <si>
    <t>Тетради на гребне А5 80л.</t>
  </si>
  <si>
    <t>01 TМ"Profit"Тетради на гребне А5 80л. ЭКОНОМ цвет.мелов.обложка</t>
  </si>
  <si>
    <t>ПП-00262180</t>
  </si>
  <si>
    <t>TМ"Profit"Тетрадь КЛЕТКА 80л. АВТОМОБИЛИ И ПРИРОДА (80-8923) на гребне, цвет.мелов.обложка</t>
  </si>
  <si>
    <t>80-8923</t>
  </si>
  <si>
    <t>4670159289234</t>
  </si>
  <si>
    <t>ПП-00232154</t>
  </si>
  <si>
    <t>TМ"Profit"Тетрадь КЛЕТКА 80л. БРУТАЛЬНЫЕ АВТОМОБИЛИ (80-8404) на гребне, цвет.мелов.обложка</t>
  </si>
  <si>
    <t>80-8404</t>
  </si>
  <si>
    <t>4670159184041</t>
  </si>
  <si>
    <t>ПП-00262182</t>
  </si>
  <si>
    <t>TМ"Profit"Тетрадь КЛЕТКА 80л. ВИДЫ ПРИРОДЫ - 9 (80-8925) на гребне, цвет.мелов.обложка</t>
  </si>
  <si>
    <t>80-8925</t>
  </si>
  <si>
    <t>4670159289258</t>
  </si>
  <si>
    <t>ПП-00181293</t>
  </si>
  <si>
    <t>TМ"Profit"Тетрадь КЛЕТКА 80л. ГОРЫ НА ЗАКАТЕ (80-5588) на гребне, цвет.мелов.обложка</t>
  </si>
  <si>
    <t>80-5588</t>
  </si>
  <si>
    <t>4620129725880</t>
  </si>
  <si>
    <t>ПП-00262181</t>
  </si>
  <si>
    <t>TМ"Profit"Тетрадь КЛЕТКА 80л. КРАСИВЫЕ ГОРОДСКИЕ ВИДЫ (80-8924) на гребне, цвет.мелов.обложка</t>
  </si>
  <si>
    <t>80-8924</t>
  </si>
  <si>
    <t>4670159289241</t>
  </si>
  <si>
    <t>ПП-00124779</t>
  </si>
  <si>
    <t>TМ"Profit"Тетрадь КЛЕТКА 80л. МАРСИАНСКИЕ МАШИНЫ (80-5888) на гребне, цвет.мелов.обложка</t>
  </si>
  <si>
    <t>80-5888</t>
  </si>
  <si>
    <t>4630079158881</t>
  </si>
  <si>
    <t>ПП-00262183</t>
  </si>
  <si>
    <t>TМ"Profit"Тетрадь КЛЕТКА 80л. УЮТНЫЕ КОТИКИ - 1 (80-8926) на гребне, цвет.мелов.обложка</t>
  </si>
  <si>
    <t>80-8926</t>
  </si>
  <si>
    <t>4670159289265</t>
  </si>
  <si>
    <t>ПП-00119165</t>
  </si>
  <si>
    <t>TМ"Profit"Тетрадь КЛЕТКА 80л. ЦВЕТЫ-6 (80-5092) на гребне, цвет.мелов.обложка</t>
  </si>
  <si>
    <t>80-5092</t>
  </si>
  <si>
    <t>4630079150922</t>
  </si>
  <si>
    <t>ПП-00262234</t>
  </si>
  <si>
    <t>Тетрадь КЛЕТКА А5 80л. ЗЕЛЁНАЯ ПРИРОДА (80-8965) гребень, цвет.мелов.обложка</t>
  </si>
  <si>
    <t>80-8965</t>
  </si>
  <si>
    <t>4670159289654</t>
  </si>
  <si>
    <t>03 Тетради А5 80 л. на гребне (170х203) СТАНДАРТ (обложка- мелов. картон, с двойной обложкой)</t>
  </si>
  <si>
    <t>ПП-00260419</t>
  </si>
  <si>
    <t>Тетрадь КЛЕТКА А5 80л. МИНИМАЛИСТИЧНЫЙ ДИЗАЙН -3 (80-8423) гребень, цвет.мелов.обложка, двойная обл</t>
  </si>
  <si>
    <t>80-8423</t>
  </si>
  <si>
    <t>4670159284208</t>
  </si>
  <si>
    <t>ПП-00260420</t>
  </si>
  <si>
    <t>Тетрадь КЛЕТКА А5 80л. ЧАРУЮЩИЕ ПЕЙЗАЖИ - 2 (80-8424) гребень, цвет.мелов.обложка, двойная обложка</t>
  </si>
  <si>
    <t>80-8424</t>
  </si>
  <si>
    <t>4670159284215</t>
  </si>
  <si>
    <t>ПП-00246783</t>
  </si>
  <si>
    <t>Тетрадь КЛЕТКА А5 80л. ЯРКОЕ ЗВЁЗДНОЕ НЕБО (Т80-4883) гребень, цвет.мелов.обложка, двойная обложка</t>
  </si>
  <si>
    <t>Т80-4883</t>
  </si>
  <si>
    <t>4670159248835</t>
  </si>
  <si>
    <t>Тетради на гребне А5 96л.</t>
  </si>
  <si>
    <t>01 TМ"Profit"Тетради на гребне А5 96л. цвет.мелов.обложка</t>
  </si>
  <si>
    <t>ПП-00260415</t>
  </si>
  <si>
    <t>TМ"Profit"Тетрадь КЛЕТКА 96л. КРАСИВАЯ АРХИТЕКТУРА - 8 (96-8450) на гребне, цвет.мелов.обложка</t>
  </si>
  <si>
    <t>96-8450</t>
  </si>
  <si>
    <t>4670159284222</t>
  </si>
  <si>
    <t>ПП-00260418</t>
  </si>
  <si>
    <t>TМ"Profit"Тетрадь КЛЕТКА 96л. КРАСИВЫЕ АВТОМОБИЛИ - 6 (96-8453) на гребне, цвет.мелов.обложка</t>
  </si>
  <si>
    <t>96-8453</t>
  </si>
  <si>
    <t>4670159284253</t>
  </si>
  <si>
    <t>ПП-00260416</t>
  </si>
  <si>
    <t>TМ"Profit"Тетрадь КЛЕТКА 96л. КРАСИВЫЕ ГОРЫ - 1 (96-8451) на гребне, цвет.мелов.обложка</t>
  </si>
  <si>
    <t>96-8451</t>
  </si>
  <si>
    <t>4670159284239</t>
  </si>
  <si>
    <t>ПП-00260417</t>
  </si>
  <si>
    <t>TМ"Profit"Тетрадь КЛЕТКА 96л. КРАСИВЫЕ КОТЫ (96-8452) на гребне, цвет.мелов.обложка</t>
  </si>
  <si>
    <t>96-8452</t>
  </si>
  <si>
    <t>4670159284246</t>
  </si>
  <si>
    <t>ПП-00150022</t>
  </si>
  <si>
    <t>TМ"Profit"Тетрадь КЛЕТКА 96л. КРОССОВЕРЫ И ГРАФФИТИ (96-4540) на гребне, цвет.мелов.обложка</t>
  </si>
  <si>
    <t>96-4540</t>
  </si>
  <si>
    <t>4680088445403</t>
  </si>
  <si>
    <t>02 Тетради А5 96 л. на гребне (170х203) СТАНДАРТ без обработки (цветная обложка)</t>
  </si>
  <si>
    <t>ПП-00232178</t>
  </si>
  <si>
    <t>Тетрадь КЛЕТКА 96л. АБСТРАКТНЫЕ ПЕТЛИ (96-8423) цвет.мелов.обл., гребень</t>
  </si>
  <si>
    <t>96-8423</t>
  </si>
  <si>
    <t>4670159184232</t>
  </si>
  <si>
    <t>ПП-00267748</t>
  </si>
  <si>
    <t>Тетрадь КЛЕТКА 96л. ДИЗАЙН В СИНИХ ТОНАХ - 1 (96-0184) цвет.мелов.обл., гребень</t>
  </si>
  <si>
    <t>96-0184</t>
  </si>
  <si>
    <t>4670159301363</t>
  </si>
  <si>
    <t>ПП-00267749</t>
  </si>
  <si>
    <t>Тетрадь КЛЕТКА 96л. ДИЗАЙН В ЧЁРНОМ ЦВЕТЕ - 10 (96-0185) цвет.мелов.обл., гребень</t>
  </si>
  <si>
    <t>96-0185</t>
  </si>
  <si>
    <t>4670159301370</t>
  </si>
  <si>
    <t>ПП-00262700</t>
  </si>
  <si>
    <t>Тетрадь КЛЕТКА 96л. ДИКИЕ КОШАЧЬИ - 3 (96-9013) (170х203) СТАНДАРТ, гребень, без обр. (цв. обл.)</t>
  </si>
  <si>
    <t>96-9013</t>
  </si>
  <si>
    <t>4670159290131</t>
  </si>
  <si>
    <t>ПП-00262704</t>
  </si>
  <si>
    <t>Тетрадь КЛЕТКА 96л. КРАСИВЫЕ ДИЗАЙНЫ (96-9014) (170х203) СТАНДАРТ, гребень, без обр. (цв. обл.)</t>
  </si>
  <si>
    <t>96-9014</t>
  </si>
  <si>
    <t>4670159290148</t>
  </si>
  <si>
    <t>ПП-00232179</t>
  </si>
  <si>
    <t>Тетрадь КЛЕТКА 96л. НЕСКУЧНОЕ ПУТЕШЕСТВИЕ (96-8424) цвет.мелов.обл., гребень</t>
  </si>
  <si>
    <t>96-8424</t>
  </si>
  <si>
    <t>4670159184249</t>
  </si>
  <si>
    <t>ПП-00262711</t>
  </si>
  <si>
    <t>Тетрадь КЛЕТКА 96л. ОДНОТОННЫЕ ДИЗАЙНЫ (96-9015) (170х203) СТАНДАРТ, гребень, без обр. (цв. обл.)</t>
  </si>
  <si>
    <t>96-9015</t>
  </si>
  <si>
    <t>4670159290155</t>
  </si>
  <si>
    <t>ПП-00246784</t>
  </si>
  <si>
    <t>Тетрадь КЛЕТКА 96л. ПРЕМИАЛЬНЫЕ МАШИНЫ (Т96-4884) цвет.мелов.обл., гребень</t>
  </si>
  <si>
    <t>Т96-4884</t>
  </si>
  <si>
    <t>4670159248842</t>
  </si>
  <si>
    <t>ПП-00262714</t>
  </si>
  <si>
    <t>Тетрадь КЛЕТКА 96л. ПРИРОДА В НЕЖНЫХ ТОНАХ (96-9016) (170х203) СТАНДАРТ, гребень, без обр. (цв. обл.</t>
  </si>
  <si>
    <t>96-9016</t>
  </si>
  <si>
    <t>4670159290162</t>
  </si>
  <si>
    <t>ПП-00246786</t>
  </si>
  <si>
    <t>Тетрадь КЛЕТКА 96л. УЛИЦЫ МЕГАПОЛИСА (Т96-4886) цвет.мелов.обл., гребень</t>
  </si>
  <si>
    <t>Т96-4886</t>
  </si>
  <si>
    <t>4670159248866</t>
  </si>
  <si>
    <t>03 Тетради А5 96л. на гребне А5 (170х203) (обл. - мелов.картон, с двойной обложкой)</t>
  </si>
  <si>
    <t>ПП-00232187</t>
  </si>
  <si>
    <t>Тетрадь на гребне КЛЕТКА А5 96л. ДЕВУШКИ И ПИТОМЦЫ - 1 (96-8429) цв.мел.картон, двойная обложка</t>
  </si>
  <si>
    <t>96-8429</t>
  </si>
  <si>
    <t>4670159184294</t>
  </si>
  <si>
    <t>ПП-00232501</t>
  </si>
  <si>
    <t>Тетрадь на гребне КЛЕТКА А5 96л. ДЕВУШКИ И ПИТОМЦЫ - 1 (96-8429) цв.мел.картон, двойная СПАЙКА2</t>
  </si>
  <si>
    <t>ПП-00232189</t>
  </si>
  <si>
    <t>Тетрадь на гребне КЛЕТКА А5 96л. НАРИСОВАННАЯ ПРИРОДА - 1 (96-8431) цв.мел.картон, двойная обл</t>
  </si>
  <si>
    <t>96-8431</t>
  </si>
  <si>
    <t>4670159184317</t>
  </si>
  <si>
    <t>ПП-00232188</t>
  </si>
  <si>
    <t>Тетрадь на гребне КЛЕТКА А5 96л. ОЧАРОВЫВАЮЩАЯ АРХИТЕКТУРА - 2 (96-8430) цв.мел.картон, двойная обл</t>
  </si>
  <si>
    <t>96-8430</t>
  </si>
  <si>
    <t>4670159184300</t>
  </si>
  <si>
    <t>ПП-00232186</t>
  </si>
  <si>
    <t>Тетрадь на гребне КЛЕТКА А5 96л. РАЗНЫЕ АВТОМОБИЛИ (96-8428) цв.мел.картон, двойная обложка</t>
  </si>
  <si>
    <t>96-8428</t>
  </si>
  <si>
    <t>4670159184287</t>
  </si>
  <si>
    <t>04 Тетради А5 96л. на гребне А5, софт-тач, клетка серая</t>
  </si>
  <si>
    <t>ПП-00248665</t>
  </si>
  <si>
    <t>Тетрадь на гребне КЛЕТКА А5 96л. ОДНОТОННЫЙ ЧЁРНЫЙ - 1 (96-5371) софт-тач</t>
  </si>
  <si>
    <t>96-5371</t>
  </si>
  <si>
    <t>4670159253716</t>
  </si>
  <si>
    <t>ПП-00248664</t>
  </si>
  <si>
    <t>Тетрадь на гребне КЛЕТКА А5 96л. ОДНОТОННЫЙ ЧЁРНЫЙ (96-5366) софт-тач</t>
  </si>
  <si>
    <t>96-5366</t>
  </si>
  <si>
    <t>4670159253662</t>
  </si>
  <si>
    <t>ПП-00267781</t>
  </si>
  <si>
    <t>Тетрадь на гребне КЛЕТКА А5 96л. ОТТЕНКИ СИНЕГО - 3 (Т96-0139) софт-тач</t>
  </si>
  <si>
    <t>Т96-0139</t>
  </si>
  <si>
    <t>4670159301394</t>
  </si>
  <si>
    <t>ПП-00267783</t>
  </si>
  <si>
    <t>Тетрадь на гребне КЛЕТКА А5 96л. ОТТЕНКИ ЧЁРНОГО - 2 (Т96-0140) софт-тач</t>
  </si>
  <si>
    <t>Т96-0140</t>
  </si>
  <si>
    <t>4670159301400</t>
  </si>
  <si>
    <t>05. Тетради на кольцах, папки на кольцах и сменные блоки</t>
  </si>
  <si>
    <t>01 Тетради на кольцах А4 7БЦ, блок 1+1 120л.+120л., 4+4, лён, инд. в пэт</t>
  </si>
  <si>
    <t>ПП-00252876</t>
  </si>
  <si>
    <t>Тетрадь на кольцах, А4, 120л.+120л. ЗЕЛЁНЫЕ РАСТЕНИЯ (120-6473) 4+4, лён, инд.в пэт</t>
  </si>
  <si>
    <t>120-6473</t>
  </si>
  <si>
    <t>4670159264736</t>
  </si>
  <si>
    <t>ПП-00252874</t>
  </si>
  <si>
    <t>Тетрадь на кольцах, А4, 120л.+120л. МОНОХРОМНЫЙ ДИЗАЙН (120-6471) 4+4, лён, инд.в пэт</t>
  </si>
  <si>
    <t>120-6471</t>
  </si>
  <si>
    <t>4670159264712</t>
  </si>
  <si>
    <t>ПП-00252877</t>
  </si>
  <si>
    <t>Тетрадь на кольцах, А4, 120л.+120л. МОРСКОЙ ДИЗАЙН - 1 (120-6474) 4+4, лён, инд.в пэт</t>
  </si>
  <si>
    <t>120-6474</t>
  </si>
  <si>
    <t>4670159264743</t>
  </si>
  <si>
    <t>02 Тетради на кольцах А4, 120л. со сменным блоком, индивидуальная упаковка</t>
  </si>
  <si>
    <t>ПП-00238833</t>
  </si>
  <si>
    <t>Тетрадь КЛЕТКА, А4, 120л. ОТДЫХ В ГОРАХ - 1 (120-1842) (на кольцах)</t>
  </si>
  <si>
    <t>120-1842</t>
  </si>
  <si>
    <t>4670159218425</t>
  </si>
  <si>
    <t>ПП-00238537</t>
  </si>
  <si>
    <t>Тетрадь КЛЕТКА, А4, 120л. РАЗНОЕ НЕБО (120-1553) (на кольцах)</t>
  </si>
  <si>
    <t>120-1553</t>
  </si>
  <si>
    <t>4670159215530</t>
  </si>
  <si>
    <t>03 Тетради на кольцах А5+ (165х215) со сменным блоком, индивидуальная упаковка</t>
  </si>
  <si>
    <t xml:space="preserve"> Тетради на кольцах А5+, 80л., инд. в пэт.</t>
  </si>
  <si>
    <t>ПП-00219374</t>
  </si>
  <si>
    <t>Тетрадь КЛЕТКА  80л. ГОРОДСКОЙ ДРИФТ (Т80-2344) (на кольцах)</t>
  </si>
  <si>
    <t>Т80-2344</t>
  </si>
  <si>
    <t>4670159123446</t>
  </si>
  <si>
    <t>ПП-00262244</t>
  </si>
  <si>
    <t>Тетрадь КЛЕТКА  80л. КРАСИВАЯ ПРИРОДА - 1 (80-8955) (на кольцах)</t>
  </si>
  <si>
    <t>80-8955</t>
  </si>
  <si>
    <t>4670159289555</t>
  </si>
  <si>
    <t>ПП-00159697</t>
  </si>
  <si>
    <t>Тетрадь КЛЕТКА  80л. КРЫШИ ДОМОВ (80-2294) (на кольцах)</t>
  </si>
  <si>
    <t>80-2294</t>
  </si>
  <si>
    <t>4610144812948</t>
  </si>
  <si>
    <t>ПП-00262246</t>
  </si>
  <si>
    <t>Тетрадь КЛЕТКА  80л. ЛЕОПАРД В ЧЁРНО-БЕЛОМ (80-8958) (на кольцах)</t>
  </si>
  <si>
    <t>80-8958</t>
  </si>
  <si>
    <t>4670159289586</t>
  </si>
  <si>
    <t>ПП-00263663</t>
  </si>
  <si>
    <t>Тетрадь КЛЕТКА  80л. ПАСТЕЛЬ. ЦВЕТЫ (Т80-9174) (на кольцах)</t>
  </si>
  <si>
    <t>Т80-9174</t>
  </si>
  <si>
    <t>4670159291749</t>
  </si>
  <si>
    <t>ПП-00262248</t>
  </si>
  <si>
    <t>Тетрадь КЛЕТКА  80л. ПРИРОДА И МУЗЫКА (80-8959) (на кольцах)</t>
  </si>
  <si>
    <t>80-8959</t>
  </si>
  <si>
    <t>4670159289593</t>
  </si>
  <si>
    <t xml:space="preserve"> Тетради на кольцах А5+, 80л., лен, инд. в пэт.</t>
  </si>
  <si>
    <t>ПП-00181249</t>
  </si>
  <si>
    <t>Тетрадь КЛЕТКА  80л. НЕЖНЫЕ ЦВЕТЫ-10 (80-2547), на кольцах, глянцевая ламинац, лен</t>
  </si>
  <si>
    <t>80-2547</t>
  </si>
  <si>
    <t>4620129725477</t>
  </si>
  <si>
    <t>ПП-00238538</t>
  </si>
  <si>
    <t>Тетрадь КЛЕТКА  80л. СИНИЙ АВТОМОБИЛЬ - 8 (80-1554), на кольцах, глянцевая ламинац, лен</t>
  </si>
  <si>
    <t>80-1554</t>
  </si>
  <si>
    <t>4670159215547</t>
  </si>
  <si>
    <t>ПП-00238539</t>
  </si>
  <si>
    <t>Тетрадь КЛЕТКА  80л. ЦВЕТЫ И ДЕВУШКА (80-1555), на кольцах</t>
  </si>
  <si>
    <t>80-1555</t>
  </si>
  <si>
    <t>4670159215554</t>
  </si>
  <si>
    <t>ПП-00238540</t>
  </si>
  <si>
    <t>Тетрадь КЛЕТКА  80л. ЧЁРНЫЕ НАДПИСИ (80-1556), на кольцах, глянцевая ламинац, лен</t>
  </si>
  <si>
    <t>80-1556</t>
  </si>
  <si>
    <t>4670159215561</t>
  </si>
  <si>
    <t xml:space="preserve"> Тетради на кольцах А5+, 80л., матовая ламин. выб. лак, инд. в пэт.</t>
  </si>
  <si>
    <t>ПП-00247461</t>
  </si>
  <si>
    <t>Тетрадь КЛЕТКА  80л. K-POP (80-5002) (на кольцах)</t>
  </si>
  <si>
    <t>80-5002</t>
  </si>
  <si>
    <t>4670159250029</t>
  </si>
  <si>
    <t>ПП-00219371</t>
  </si>
  <si>
    <t>Тетрадь КЛЕТКА  80л. АНИМЕ СТАЙЛ (Т80-2341) (на кольцах)</t>
  </si>
  <si>
    <t>Т80-2341</t>
  </si>
  <si>
    <t>4670159123415</t>
  </si>
  <si>
    <t>ПП-00219372</t>
  </si>
  <si>
    <t>Тетрадь КЛЕТКА  80л. ГРАФФИТИ (Т80-2342) (на кольцах)</t>
  </si>
  <si>
    <t>Т80-2342</t>
  </si>
  <si>
    <t>4670159123422</t>
  </si>
  <si>
    <t>ПП-00262738</t>
  </si>
  <si>
    <t>Тетрадь КЛЕТКА  80л. ДИЗАЙН В МАКРО (80-9023) матовая ламин. выб. лак, инд. в пэт (на кольцах)</t>
  </si>
  <si>
    <t>80-9023</t>
  </si>
  <si>
    <t>4670159290230</t>
  </si>
  <si>
    <t>ПП-00262741</t>
  </si>
  <si>
    <t>Тетрадь КЛЕТКА  80л. НЕЖНЫЕ ЦВЕТЫ - 19 (80-9025) матовая ламин. выб. лак, инд. в пэт (на кольцах)</t>
  </si>
  <si>
    <t>80-9025</t>
  </si>
  <si>
    <t>4670159290254</t>
  </si>
  <si>
    <t>Тетради на кольцах А5+, 100л. инд. в пэт.</t>
  </si>
  <si>
    <t>ПП-00238543</t>
  </si>
  <si>
    <t>Тетрадь КЛЕТКА 100л. КРАСИВАЯ АРХИТЕКТУРА - 6 (100-1559) (на кольцах)</t>
  </si>
  <si>
    <t>100-1559</t>
  </si>
  <si>
    <t>4670159215592</t>
  </si>
  <si>
    <t>ПП-00181250</t>
  </si>
  <si>
    <t>Тетрадь КЛЕТКА 100л. НАДПИСИ НА ЦВЕТНОМ (100-2548) (на кольцах)</t>
  </si>
  <si>
    <t>100-2548</t>
  </si>
  <si>
    <t>4620129725484</t>
  </si>
  <si>
    <t>ПП-00159692</t>
  </si>
  <si>
    <t>Тетрадь КЛЕТКА 100л. ОЖИВЛЕННАЯ ПЛОЩАДЬ (100-1296) (на кольцах)</t>
  </si>
  <si>
    <t>100-1296</t>
  </si>
  <si>
    <t>4610144812962</t>
  </si>
  <si>
    <t>ПП-00238835</t>
  </si>
  <si>
    <t>Тетрадь КЛЕТКА 100л. СИЛА ОКЕАНА (100-1843) (на кольцах)</t>
  </si>
  <si>
    <t>100-1843</t>
  </si>
  <si>
    <t>4670159218432</t>
  </si>
  <si>
    <t>ПП-00181251</t>
  </si>
  <si>
    <t>Тетрадь КЛЕТКА 100л. ТВОРЕНИЕ ПРИРОДЫ (100-2549) (на кольцах)</t>
  </si>
  <si>
    <t>100-2549</t>
  </si>
  <si>
    <t>4620129725491</t>
  </si>
  <si>
    <t>ПП-00238542</t>
  </si>
  <si>
    <t>Тетрадь КЛЕТКА 100л. ЦВЕТНЫЕ БУКВЫ (100-1558) (на кольцах)</t>
  </si>
  <si>
    <t>100-1558</t>
  </si>
  <si>
    <t>4670159215585</t>
  </si>
  <si>
    <t>ПП-00238836</t>
  </si>
  <si>
    <t>Тетрадь КЛЕТКА 100л. ЦВЕТОЧНЫЕ МОТИВЫ (100-1844) (на кольцах)</t>
  </si>
  <si>
    <t>100-1844</t>
  </si>
  <si>
    <t>4670159218449</t>
  </si>
  <si>
    <t>Тетради на кольцах А5+, 120л., с перфорацией, интегральная обл. 4+4 матовая лам, холст, инд. в пэт.</t>
  </si>
  <si>
    <t>ПП-00245070</t>
  </si>
  <si>
    <t>Тетрадь КЛЕТКА А5+, 120л. В СЕРОМ ЦВЕТЕ (120-4325) с перфорацией, интегр. обл.4+4 мат. лам.,холст</t>
  </si>
  <si>
    <t>120-4325</t>
  </si>
  <si>
    <t>4670159243250</t>
  </si>
  <si>
    <t>ПП-00190490</t>
  </si>
  <si>
    <t>Тетрадь КЛЕТКА А5+, 120л. ДЕРЗКИЕ НАДПИСИ (120-6964) с перфорацией, интегр. обл.4+4 мат. лам.,холст</t>
  </si>
  <si>
    <t>120-6964</t>
  </si>
  <si>
    <t>4620129769648</t>
  </si>
  <si>
    <t>ПП-00245073</t>
  </si>
  <si>
    <t>Тетрадь КЛЕТКА А5+, 120л. МИНИМАЛИЗМ В ПАСТЕЛЬНЫХ ТОНАХ (120-4328) с перф, инт.обл.4+4 мат.л.,холст</t>
  </si>
  <si>
    <t>120-4328</t>
  </si>
  <si>
    <t>4670159243281</t>
  </si>
  <si>
    <t>ПП-00245072</t>
  </si>
  <si>
    <t>Тетрадь КЛЕТКА А5+, 120л. МОРСКАЯ ПЕНА - 3 (120-4327) с перфорацией, интегр. обл.4+4 мат. лам.,холст</t>
  </si>
  <si>
    <t>120-4327</t>
  </si>
  <si>
    <t>4670159243274</t>
  </si>
  <si>
    <t>Тетради на кольцах А5+, 120л., с перфорацией, интегральная обл. 4+4 софт-тач холст, инд. в пэт</t>
  </si>
  <si>
    <t>ПП-00268028</t>
  </si>
  <si>
    <t>Тетрадь КЛЕТКА А5+, 120л. БЕЛО-СИНИЕ ЦВЕТЫ (120-0158) (на кольцах) с перф,инт.обл.4+4 софт-тач,холст</t>
  </si>
  <si>
    <t>120-0158</t>
  </si>
  <si>
    <t>4670159301585</t>
  </si>
  <si>
    <t>ПП-00268027</t>
  </si>
  <si>
    <t>Тетрадь КЛЕТКА А5+, 120л. ОДНОТОННЫЙ КОРИЧНЕВЫЙ (120-0157) (на кольц)с перф,инт.об.4+4софт-тач,холст</t>
  </si>
  <si>
    <t>120-0157</t>
  </si>
  <si>
    <t>4670159301578</t>
  </si>
  <si>
    <t>ПП-00268029</t>
  </si>
  <si>
    <t>Тетрадь КЛЕТКА А5+, 120л. ОДНОТОННЫЙ СИНИЙ - 3 (120-0159) (на кольц)с перф,инт.обл.4+4софт-тач,холст</t>
  </si>
  <si>
    <t>120-0159</t>
  </si>
  <si>
    <t>4670159301592</t>
  </si>
  <si>
    <t>ПП-00268030</t>
  </si>
  <si>
    <t>Тетрадь КЛЕТКА А5+, 120л. ОДНОТОННЫЙ ЧЁРНЫЙ - 9 (120-0160) (на кольц)с перф,инт.обл4+4софт-тач,холст</t>
  </si>
  <si>
    <t>120-0160</t>
  </si>
  <si>
    <t>4670159301608</t>
  </si>
  <si>
    <t>Тетради на кольцах А5+, 120л., с перфорацией, обложка пластик, цв. мелов. обл. + резинка, инд. в пэт</t>
  </si>
  <si>
    <t>ПП-00238544</t>
  </si>
  <si>
    <t>Тетрадь КЛЕТКА 120л. КРАСНЫЙ АВТОМОБИЛЬ-1 (120-1560) с перфорацией, обл. пластик,цв.мел. обл+резинка</t>
  </si>
  <si>
    <t>120-1560</t>
  </si>
  <si>
    <t>4670159215608</t>
  </si>
  <si>
    <t>ПП-00238547</t>
  </si>
  <si>
    <t>Тетрадь КЛЕТКА 120л. ОШИБКА (120-1562) с перфорацией, обл. пластик,цв.мел. обл+резинка</t>
  </si>
  <si>
    <t>120-1562</t>
  </si>
  <si>
    <t>4670159215622</t>
  </si>
  <si>
    <t>ПП-00190484</t>
  </si>
  <si>
    <t>Тетрадь КЛЕТКА 120л. ПОЛЕЗНЫЙ ЗАВТРАК (120-6961) с перфорацией, обл. пластик,цв.мел.обложка+резинка</t>
  </si>
  <si>
    <t>120-6961</t>
  </si>
  <si>
    <t>4620129769617</t>
  </si>
  <si>
    <t>ПП-00190482</t>
  </si>
  <si>
    <t>Тетрадь КЛЕТКА 120л. РЕТРО ВИНИЛ (120-6959) с перфорацией, обл. пластик, цв.мел. обложка+резинка</t>
  </si>
  <si>
    <t>120-6959</t>
  </si>
  <si>
    <t>4620129769594</t>
  </si>
  <si>
    <t>Тетради на кольцах А5+, 120л., софт-тач, инд. в пэт.</t>
  </si>
  <si>
    <t>ПП-00268022</t>
  </si>
  <si>
    <t>Тетрадь КЛЕТКА 120л. ОДНОТОННЫЙ БЕЖЕВЫЙ (120-0153) (на кольцах) софт-тач</t>
  </si>
  <si>
    <t>120-0153</t>
  </si>
  <si>
    <t>4670159301530</t>
  </si>
  <si>
    <t>ПП-00268023</t>
  </si>
  <si>
    <t>Тетрадь КЛЕТКА 120л. ОДНОТОННЫЙ РОЗОВЫЙ (120-0154) (на кольцах) софт-тач</t>
  </si>
  <si>
    <t>120-0154</t>
  </si>
  <si>
    <t>4670159301547</t>
  </si>
  <si>
    <t>ПП-00268024</t>
  </si>
  <si>
    <t>Тетрадь КЛЕТКА 120л. ОДНОТОННЫЙ СИНИЙ - 2 (120-0155) (на кольцах) софт-тач</t>
  </si>
  <si>
    <t>120-0155</t>
  </si>
  <si>
    <t>4670159301554</t>
  </si>
  <si>
    <t>ПП-00268025</t>
  </si>
  <si>
    <t>Тетрадь КЛЕТКА 120л. ОДНОТОННЫЙ ЧЁРНЫЙ - 8 (120-0156) (на кольцах) софт-тач</t>
  </si>
  <si>
    <t>120-0156</t>
  </si>
  <si>
    <t>4670159301561</t>
  </si>
  <si>
    <t>Тетради на кольцах А5+, 120л., твин-лак, холодная фольга, инд. в пэт.</t>
  </si>
  <si>
    <t>ПП-00238566</t>
  </si>
  <si>
    <t>Тетрадь КЛЕТКА 120л. НАДПИСЬ НА ЧЁРНОМ - 1 (120-1567) (на кольцах) твин-лак, холодная фольга</t>
  </si>
  <si>
    <t>120-1567</t>
  </si>
  <si>
    <t>4670159215677</t>
  </si>
  <si>
    <t>Тетради на кольцах А5+, 160л. инд. в пэт.</t>
  </si>
  <si>
    <t>ПП-00238568</t>
  </si>
  <si>
    <t>Тетрадь КЛЕТКА 160л. БЕЛЫЙ АВТОМОБИЛЬ - 4 (160-1568) (на кольцах)</t>
  </si>
  <si>
    <t>160-1568</t>
  </si>
  <si>
    <t>4670159215684</t>
  </si>
  <si>
    <t>ПП-00238845</t>
  </si>
  <si>
    <t>Тетрадь КЛЕТКА 160л. МРАМОР В СИНИХ ОТТЕНКАХ (160-1847) (на кольцах)</t>
  </si>
  <si>
    <t>160-1847</t>
  </si>
  <si>
    <t>4670159218470</t>
  </si>
  <si>
    <t>ПП-00263669</t>
  </si>
  <si>
    <t>Тетрадь КЛЕТКА 160л. НЕЖНАЯ АБСТРАКЦИЯ - 2 (Т160-9180) (на кольцах) матовая ламинация</t>
  </si>
  <si>
    <t>Т160-9180</t>
  </si>
  <si>
    <t>4670159291800</t>
  </si>
  <si>
    <t>ПП-00262713</t>
  </si>
  <si>
    <t>Папка на кольцах для тетради А5 КРАСИВОЕ ПОБЕРЕЖЬЕ (ПК-9002) ламинированный картон, 4 кольца</t>
  </si>
  <si>
    <t>ПК-9002</t>
  </si>
  <si>
    <t>4670159290025</t>
  </si>
  <si>
    <t>ПП-00262715</t>
  </si>
  <si>
    <t>Папка на кольцах для тетради А5 МИНИМАЛИЗМ В ЧЁРНОМ - 4 (ПК-9003) ламинированный картон, 4 кольца</t>
  </si>
  <si>
    <t>ПК-9003</t>
  </si>
  <si>
    <t>4670159290032</t>
  </si>
  <si>
    <t>06. Тетради общие А4, на скрепке</t>
  </si>
  <si>
    <t xml:space="preserve"> Тетради А4 (203х273) 48л. скрепка</t>
  </si>
  <si>
    <t>Тетради 48л. скрепка А4 (203х273) СТАНДАРТ</t>
  </si>
  <si>
    <t>Тетради 48 л. СТАНДАРТ (без обработки)</t>
  </si>
  <si>
    <t>ПП-00262221</t>
  </si>
  <si>
    <t>Тетрадь КЛЕТКА 48л. А4 ЛУЧШИЙ ДЕНЬ - 2 (48-8944) (цвет. мелов. обл.)</t>
  </si>
  <si>
    <t>48-8944</t>
  </si>
  <si>
    <t>4670159289449</t>
  </si>
  <si>
    <t xml:space="preserve"> Тетради А4 (203х273) 80л. скрепка</t>
  </si>
  <si>
    <t>ПП-00219174</t>
  </si>
  <si>
    <t>TМ"Remix"Тетрадь КЛЕТКА 80л. А4 АБСТРАКТНАЯ КОНЦЕПЦИЯ (Т80-2252) (цвет.мелов.обл, второй блок)</t>
  </si>
  <si>
    <t>Т80-2252</t>
  </si>
  <si>
    <t>4670159122524</t>
  </si>
  <si>
    <t>Тетради 80л. скрепка (203х273) А4 ЭКОНОМ-ВАРИАНТ</t>
  </si>
  <si>
    <t>ПП-00219189</t>
  </si>
  <si>
    <t>TМ"Profit"Тетрадь КЛЕТКА 80л. А4 ВЕЧЕРНИЙ ПЕРЕКРЁСТОК (Т80-2258) (цвет.мелов.обл)</t>
  </si>
  <si>
    <t>Т80-2258</t>
  </si>
  <si>
    <t>4670159122586</t>
  </si>
  <si>
    <t>ПП-00219333</t>
  </si>
  <si>
    <t>ПП-00262226</t>
  </si>
  <si>
    <t>TМ"Profit"Тетрадь КЛЕТКА 80л. А4 МИНИМАЛИЗМ В ЧЁРНОМ - 2 (80-8902) (цвет.мелов.обл)</t>
  </si>
  <si>
    <t>80-8902</t>
  </si>
  <si>
    <t>4670159289418</t>
  </si>
  <si>
    <t>ПП-00262224</t>
  </si>
  <si>
    <t>TМ"Profit"Тетрадь КЛЕТКА 80л. А4 ПРИРОДА В МАКРО - 2 (80-8901) (цвет.мелов.обл)</t>
  </si>
  <si>
    <t>80-8901</t>
  </si>
  <si>
    <t>4670159289401</t>
  </si>
  <si>
    <t>ПП-00246763</t>
  </si>
  <si>
    <t>TМ"Profit"Тетрадь КЛЕТКА 80л. А4 ТЁМНЫЕ ГОРЫ (Т80-4867) (цвет.мелов.обл)</t>
  </si>
  <si>
    <t>Т80-4867</t>
  </si>
  <si>
    <t>4670159248675</t>
  </si>
  <si>
    <t>Тетради 80л. скрепка А4 (203х273) СТАНДАРТ</t>
  </si>
  <si>
    <t>Тетради 80 л. СТАНДАРТ (без обработки)</t>
  </si>
  <si>
    <t>ПП-00219179</t>
  </si>
  <si>
    <t>Тетрадь КЛЕТКА 80л. А4 ПЯТНИСТЫЙ НОСИК (Т80-2256) (цвет.мелов.обл)</t>
  </si>
  <si>
    <t>Т80-2256</t>
  </si>
  <si>
    <t>4670159122562</t>
  </si>
  <si>
    <t>ПП-00219363</t>
  </si>
  <si>
    <t>ПП-00219180</t>
  </si>
  <si>
    <t>Тетрадь КЛЕТКА 80л. А4 РОЗОВЫЕ ОБЛАКА (Т80-2257) (цвет.мелов.обл)</t>
  </si>
  <si>
    <t>Т80-2257</t>
  </si>
  <si>
    <t>4670159122579</t>
  </si>
  <si>
    <t xml:space="preserve"> Тетради А4 (203х273) 96л. скрепка</t>
  </si>
  <si>
    <t>TМ"Remix"Тетради 96л. скрепка (203х273) А4 СУПЕР ЭКОНОМ</t>
  </si>
  <si>
    <t>ПП-00262216</t>
  </si>
  <si>
    <t xml:space="preserve"> TМ"Remix"Тетрадь КЛЕТКА 96л. А4, КРАСИВЫЙ ХИЩНИК (96-8963) цвет.мелов.обл, вт блок</t>
  </si>
  <si>
    <t>96-8963</t>
  </si>
  <si>
    <t>4670159289630</t>
  </si>
  <si>
    <t>Тетради 96л. скрепка (203х273) А4 ЭКОНОМ-ВАРИАНТ</t>
  </si>
  <si>
    <t>ПП-00262729</t>
  </si>
  <si>
    <t>TМ"Profit"Тетрадь КЛЕТКА 96л. А4 МИНИМАЛИЗМ В ЧЁРНОМ - 5 (96-9004) цвет.мелов.обл</t>
  </si>
  <si>
    <t>96-9004</t>
  </si>
  <si>
    <t>4670159290049</t>
  </si>
  <si>
    <t>ПП-00262731</t>
  </si>
  <si>
    <t>TМ"Profit"Тетрадь КЛЕТКА 96л. А4 ПРИРОДА В МАКРО - 3 (96-9006) цвет.мелов.обл</t>
  </si>
  <si>
    <t>96-9006</t>
  </si>
  <si>
    <t>4670159290063</t>
  </si>
  <si>
    <t>ПП-00219212</t>
  </si>
  <si>
    <t>TМ"Profit"Тетрадь КЛЕТКА 96л. А4 ЧЁРНЫЙ КОТИК - 1 (Т96-2269) цвет.мелов.обл</t>
  </si>
  <si>
    <t>Т96-2269</t>
  </si>
  <si>
    <t>4670159122692</t>
  </si>
  <si>
    <t>Тетради 96л. скрепка А4 (203х273) СТАНДАРТ</t>
  </si>
  <si>
    <t>Тетради 96 л. СТАНДАРТ (без обработки)</t>
  </si>
  <si>
    <t>ПП-00262685</t>
  </si>
  <si>
    <t>Тетрадь КЛЕТКА 96л. ДИКАЯ КОШКА В ГОРОДЕ (96-9010) (203х273) СТАНДАРТ, скрепка, (без обработки)</t>
  </si>
  <si>
    <t>96-9010</t>
  </si>
  <si>
    <t>4670159290100</t>
  </si>
  <si>
    <t>Тетради 96 л. СТАНДАРТ plastic cover</t>
  </si>
  <si>
    <t>Тетради А4 96л. СТАНДАРТ прозрач.пласт.обл. мелованный вкладыш</t>
  </si>
  <si>
    <t>ПП-00237807</t>
  </si>
  <si>
    <t>Тетрадь КЛЕТКА 96л. А4 проз.пласт.обл. plastic cover КЛАССИКА NEW ГОЛУБАЯ (96-1435) 1 дизайн</t>
  </si>
  <si>
    <t>96-1435</t>
  </si>
  <si>
    <t>4670159214359</t>
  </si>
  <si>
    <t>ПП-00237808</t>
  </si>
  <si>
    <t>Тетрадь КЛЕТКА 96л. А4 проз.пласт.обл. plastic cover КЛАССИКА NEW САЛАТОВАЯ (96-1436) 1 дизайн</t>
  </si>
  <si>
    <t>96-1436</t>
  </si>
  <si>
    <t>4670159214366</t>
  </si>
  <si>
    <t>ПП-00237809</t>
  </si>
  <si>
    <t>Тетрадь КЛЕТКА 96л. А4 проз.пласт.обл. plastic cover КЛАССИКА NEW СИРЕНЕВАЯ (96-1437) 1 дизайн</t>
  </si>
  <si>
    <t>96-1437</t>
  </si>
  <si>
    <t>4670159214373</t>
  </si>
  <si>
    <t>Тетради А4 96л. СТАНДАРТ цветн.пласт.обл., офсетный вкладыш</t>
  </si>
  <si>
    <t>ПП-00237804</t>
  </si>
  <si>
    <t>Тетрадь КЛЕТКА 96л. А4 цвет.пласт.обл. plastic cover НЕОН ORANGE (96-1372) 1 дизайн</t>
  </si>
  <si>
    <t>96-1372</t>
  </si>
  <si>
    <t>4670159213727</t>
  </si>
  <si>
    <t>ПП-00237802</t>
  </si>
  <si>
    <t>Тетрадь КЛЕТКА 96л. А4 цвет.пласт.обл. plastic cover ПАСТЕЛЬ BLUE (96-1310) 1 дизайн</t>
  </si>
  <si>
    <t>96-1310</t>
  </si>
  <si>
    <t>4670159213109</t>
  </si>
  <si>
    <t>ПП-00237803</t>
  </si>
  <si>
    <t>Тетрадь КЛЕТКА 96л. А4 цвет.пласт.обл. plastic cover ПАСТЕЛЬ GREEN (96-1311) 1 дизайн</t>
  </si>
  <si>
    <t>96-1311</t>
  </si>
  <si>
    <t>4670159213116</t>
  </si>
  <si>
    <t>ПП-00237800</t>
  </si>
  <si>
    <t>Тетрадь КЛЕТКА 96л. А4 цвет.пласт.обл. plastic cover ПАСТЕЛЬ VIOLET (96-1309) 1 дизайн</t>
  </si>
  <si>
    <t>96-1309</t>
  </si>
  <si>
    <t>4670159213093</t>
  </si>
  <si>
    <t>Тетради 96 л. СТАНДАРТ, 4+4 тиснение холст</t>
  </si>
  <si>
    <t>ПП-00219201</t>
  </si>
  <si>
    <t>Тетрадь КЛЕТКА 96л. А4 ЗАВОРАЖИВАЮЩЕЕ МОРЕ (Т96-2263) 4+4, тиснение холст</t>
  </si>
  <si>
    <t>Т96-2263</t>
  </si>
  <si>
    <t>4670159122630</t>
  </si>
  <si>
    <t>ПП-00246766</t>
  </si>
  <si>
    <t>Тетрадь КЛЕТКА 96л. А4 МИНИМАЛИСТИЧНЫЕ РИСУНКИ И ФРАЗЫ (Т96-4870) 4+4, тиснение холст, 3 диз. в пэт</t>
  </si>
  <si>
    <t>Т96-4870</t>
  </si>
  <si>
    <t>4670159248705</t>
  </si>
  <si>
    <t>ПП-00264209</t>
  </si>
  <si>
    <t>Тетрадь КЛЕТКА 96л. А4 ОДНОТОННАЯ КЛАССИКА - 2 (Т96-9239) 4+4, тиснение холст, 3 диз. в пэт</t>
  </si>
  <si>
    <t>Т96-9239</t>
  </si>
  <si>
    <t>4670159292395</t>
  </si>
  <si>
    <t>ПП-00246765</t>
  </si>
  <si>
    <t>Тетрадь КЛЕТКА 96л. А4 СОЧНЫЕ ФРУКТЫ И ЯГОДЫ (Т96-4869) 4+4, тиснение холст, 3 диз. в пэт</t>
  </si>
  <si>
    <t>Т96-4869</t>
  </si>
  <si>
    <t>4670159248699</t>
  </si>
  <si>
    <t>Тетради 96 л. СТАНДАРТ, матовая ламинация</t>
  </si>
  <si>
    <t>ПП-00267740</t>
  </si>
  <si>
    <t>Тетрадь КЛЕТКА 96л. А4 ОДНОТОННЫЙ ДИЗАЙН - 8 (96-0180) матовая лам., 3 диз. в сп.</t>
  </si>
  <si>
    <t>96-0180</t>
  </si>
  <si>
    <t>4670159301301</t>
  </si>
  <si>
    <t>ПП-00267743</t>
  </si>
  <si>
    <t>Тетрадь КЛЕТКА 96л. А4 ОДНОТОННЫЙ ДИЗАЙН - 9 (96-0181) матовая лам., 3 диз. в сп.</t>
  </si>
  <si>
    <t>96-0181</t>
  </si>
  <si>
    <t>4670159301318</t>
  </si>
  <si>
    <t>07. Тетради школьные и общие А5, на скрепке ЦВЕТНАЯ ОБЛОЖКА</t>
  </si>
  <si>
    <t>ТЕТРАДИ МЕЛКОЛИСТНЫЕ А5</t>
  </si>
  <si>
    <t>01 Тетради школьные ВЕЛИКОЛЕПНО! ПЯТЕРКА! скрепка А5 (170х203) в коробке - 250 шт., офсет</t>
  </si>
  <si>
    <t>Тетради школьные 12л. скрепка А5 (170х203) в коробке - 250 шт., офсет</t>
  </si>
  <si>
    <t>ПП-00039069</t>
  </si>
  <si>
    <t>Тетрадь ЛИНИЯ 12л. ВЕЛИКОЛЕПНО! ПЯТЕРКА! (ЗЕЛЕНАЯ) (12-8720) офсет</t>
  </si>
  <si>
    <t>12-8720</t>
  </si>
  <si>
    <t>4665297787209</t>
  </si>
  <si>
    <t>Тетради школьные 18л. скрепка А5 (170х203) в коробке - 150 шт., офсет</t>
  </si>
  <si>
    <t>ПП-00042154</t>
  </si>
  <si>
    <t>Тетрадь КЛЕТКА 18л. ВЕЛИКОЛЕПНО! ПЯТЕРКА! (ЗЕЛЕНАЯ) (18-0512) офсет</t>
  </si>
  <si>
    <t>18-0512</t>
  </si>
  <si>
    <t>4665297805125</t>
  </si>
  <si>
    <t>02 Тетради школьные 12л. скрепка А5 (170х203) в спайке - 25шт., ассорти из 5-ти дизайнов</t>
  </si>
  <si>
    <t xml:space="preserve">  TM "Legend" Тетради А5 12л. обложка- мелованная, 4 дизайна в коробке</t>
  </si>
  <si>
    <t xml:space="preserve">  TM "Legend" Тетради А5 12л. клетка</t>
  </si>
  <si>
    <t>ПП-00244701</t>
  </si>
  <si>
    <t>TM "Legend" Тетрадь КЛЕТКА 12 л. ГЕОМЕТРИЯ В ЧЁРНО-БЕЛОМ (12-4156) цвет.мелов.обл., 4 дизайна в кор</t>
  </si>
  <si>
    <t>12-4156</t>
  </si>
  <si>
    <t>4670159241560</t>
  </si>
  <si>
    <t>ПП-00062473</t>
  </si>
  <si>
    <t>TM "Legend" Тетрадь КЛЕТКА 12 л. КЛАССИКА И КРЕАТИВ-2 (12-3666) цвет.мелов.обл., 4 дизайна в короб</t>
  </si>
  <si>
    <t>12-3666</t>
  </si>
  <si>
    <t>4665302636669</t>
  </si>
  <si>
    <t>ПП-00206464</t>
  </si>
  <si>
    <t>TM "Legend" Тетрадь КЛЕТКА 12 л. МИЛЫЕ ПИТОМЦЫ - 1 (12-5368) цвет.мелов.обл., 4 дизайна в короб</t>
  </si>
  <si>
    <t>12-5368</t>
  </si>
  <si>
    <t>4670159053682</t>
  </si>
  <si>
    <t>ПП-00062472</t>
  </si>
  <si>
    <t>TM "Legend" Тетрадь КЛЕТКА 12 л. ШКОЛЬНАЯ КЛАССИКА-4 (12-3665) цвет.мелов.обл., 4 дизайна в короб</t>
  </si>
  <si>
    <t>12-3665</t>
  </si>
  <si>
    <t>4665302636652</t>
  </si>
  <si>
    <t>ПП-00148921</t>
  </si>
  <si>
    <t>TM"Legend" Тетрадь КЛЕТКА 12 л. КОШАЧЬИ РАДОСТИ (12-4332) цвет.мелов.обл.,4 диз. в короб</t>
  </si>
  <si>
    <t>12-4332</t>
  </si>
  <si>
    <t>4680088433325</t>
  </si>
  <si>
    <t>ПП-00148919</t>
  </si>
  <si>
    <t>TM"Legend" Тетрадь КЛЕТКА 12 л. МАГИЧЕСКИЕ ЕДИНОРОГИ (12-4331) цвет.мелов.обл.,4 диз. в короб</t>
  </si>
  <si>
    <t>12-4331</t>
  </si>
  <si>
    <t>4680088433318</t>
  </si>
  <si>
    <t>ПП-00148908</t>
  </si>
  <si>
    <t>TM"Legend" Тетрадь КЛЕТКА 12 л. СТРЕМИТЕЛЬНЫЕ АВТОМОБИЛИ - 1 (12-4330) цвет.мелов.обл.,4 диз. в коро</t>
  </si>
  <si>
    <t>12-4330</t>
  </si>
  <si>
    <t>4680088433301</t>
  </si>
  <si>
    <t>ПП-00148922</t>
  </si>
  <si>
    <t>TM"Legend" Тетрадь КЛЕТКА 12 л. СТРЕМИТЕЛЬНЫЕ АВТОМОБИЛИ-2 (12-4333) цвет.мелов.обл.,4 диз. в короб</t>
  </si>
  <si>
    <t>12-4333</t>
  </si>
  <si>
    <t>4680088433332</t>
  </si>
  <si>
    <t xml:space="preserve"> TM "Legend" Тетради А5 12л. линия</t>
  </si>
  <si>
    <t>ПП-00206472</t>
  </si>
  <si>
    <t>TM "Legend" Тетрадь ЛИНИЯ 12 л. ЗУБАСТЫЙ МОНСТР (12-5375) цв.мелов.обл., 4 дизайна в короб</t>
  </si>
  <si>
    <t>12-5375</t>
  </si>
  <si>
    <t>4670159053750</t>
  </si>
  <si>
    <t>ПП-00244700</t>
  </si>
  <si>
    <t>TM "Legend" Тетрадь ЛИНИЯ 12 л. РАЗНЫЕ АВТОМОБИЛИ - 2 (12-4155) цвет.мелов.обл., 4 дизайна в короб</t>
  </si>
  <si>
    <t>12-4155</t>
  </si>
  <si>
    <t>4670159241553</t>
  </si>
  <si>
    <t>ПП-00101930</t>
  </si>
  <si>
    <t>TM "Legend" Тетрадь ЛИНИЯ 12 л. СОБИРАЕМСЯ В ШКОЛУ (12-4653) цвет.мелов.обл., 4 дизайна в короб</t>
  </si>
  <si>
    <t>ПП-00206471</t>
  </si>
  <si>
    <t>TM "Legend" Тетрадь ЛИНИЯ 12 л. УЛЫБКА КОТА (12-5374) цв.мелов.обл., 4 дизайна в короб</t>
  </si>
  <si>
    <t>12-5374</t>
  </si>
  <si>
    <t>4670159053743</t>
  </si>
  <si>
    <t>TM "Legend" Тетради А5 12л. доп. линовки</t>
  </si>
  <si>
    <t>ПП-00206469</t>
  </si>
  <si>
    <t>TM "Legend" Тетрадь КОСАЯ ЛИНИЯ 12 л. ДЕТСКИЙ ЛАБИРИНТ (12-5372) цв.мелов.обл., 4 дизайна в короб</t>
  </si>
  <si>
    <t>12-5372</t>
  </si>
  <si>
    <t>4670159053729</t>
  </si>
  <si>
    <t>ПП-00206467</t>
  </si>
  <si>
    <t>TM "Legend" Тетрадь КОСАЯ ЛИНИЯ 12 л. ЗУБАСТЫЙ АВТОМОБИЛЬ (12-5370) цв.мелов.обл., 4 дизайна в короб</t>
  </si>
  <si>
    <t>12-5370</t>
  </si>
  <si>
    <t>4670159053705</t>
  </si>
  <si>
    <t>ПП-00206468</t>
  </si>
  <si>
    <t>TM "Legend" Тетрадь КОСАЯ ЛИНИЯ 12 л. КОТИК И СЕРДЕЧКО (12-5371) цв.мелов.обл., 4 дизайна в короб</t>
  </si>
  <si>
    <t>12-5371</t>
  </si>
  <si>
    <t>4670159053712</t>
  </si>
  <si>
    <t>ПП-00244703</t>
  </si>
  <si>
    <t>TM "Legend" Тетрадь КОСАЯ ЛИНИЯ 12 л. ОЗОРНОЙ ЧЁРНЫЙ КОТ (12-4158) цвет.мелов.обл., 4 диз в кор</t>
  </si>
  <si>
    <t>12-4158</t>
  </si>
  <si>
    <t>4670159241584</t>
  </si>
  <si>
    <t>ПП-00244702</t>
  </si>
  <si>
    <t>TM "Legend" Тетрадь КОСАЯ ЛИНИЯ 12 л. РАЗНЫЕ АВТОМОБИЛИ - 3 (12-4154) цвет.мелов.обл., 4 диз в кор</t>
  </si>
  <si>
    <t>12-4154</t>
  </si>
  <si>
    <t>4670159241577</t>
  </si>
  <si>
    <t>ПП-00206470</t>
  </si>
  <si>
    <t>TM "Legend" Тетрадь КОСАЯ ЛИНИЯ 12 л. ШКОЛЬНЫЕ БУДНИ (12-5373) цв.мелов.обл., 4 дизайна в короб</t>
  </si>
  <si>
    <t>12-5373</t>
  </si>
  <si>
    <t>4670159053736</t>
  </si>
  <si>
    <t xml:space="preserve"> TМ"Profit"Тетради А5 12л. ЭКОНОМ-ВАРИАНТ обложка- цвет. мелов., 5 дизайнов в спайке</t>
  </si>
  <si>
    <t xml:space="preserve">  TМ"Profit" Тетради А5 12л. ЭКОНОМ-ВАРИАНТ клетка</t>
  </si>
  <si>
    <t>ПП-00148979</t>
  </si>
  <si>
    <t xml:space="preserve">  TM"Profit" Тетрадь КЛЕТКА 12л. ВЕРНУТЬСЯ В ШКОЛУ (12-4362) цвет. мелов.обл. ,5 диз в сп-ке 1+0</t>
  </si>
  <si>
    <t>12-4362</t>
  </si>
  <si>
    <t>4680088433738</t>
  </si>
  <si>
    <t>ПП-00181843</t>
  </si>
  <si>
    <t xml:space="preserve"> TM"Profit" Тетрадь КЛЕТКА 12л. АКТИВНЫЕ МОНСТРИКИ (12-2742) цвет. мелов.обл. ,5 диз в сп-ке</t>
  </si>
  <si>
    <t>12-2742</t>
  </si>
  <si>
    <t>4620129727426</t>
  </si>
  <si>
    <t>ПП-00232979</t>
  </si>
  <si>
    <t xml:space="preserve"> TM"Profit" Тетрадь КЛЕТКА 12л. ВНЕДОРОЖНИК В ДИКОЙ ПРИРОДЕ (12-8820) цвет. мелов.обл.,5 диз в сп-ке</t>
  </si>
  <si>
    <t>12-8820</t>
  </si>
  <si>
    <t>4670159188155</t>
  </si>
  <si>
    <t>ПП-00271500</t>
  </si>
  <si>
    <t xml:space="preserve"> TM"Profit" Тетрадь КЛЕТКА 12л. ГЕОМЕТРИЧЕСКИЙ УЗОР - 4 (12-0916) цвет. мелов.обл.,5 диз в сп-ке</t>
  </si>
  <si>
    <t>12-0916</t>
  </si>
  <si>
    <t>4670159309161</t>
  </si>
  <si>
    <t>ПП-00148986</t>
  </si>
  <si>
    <t xml:space="preserve"> TM"Profit" Тетрадь КЛЕТКА 12л. ДУША УЛИЦ (12-4369) цвет. мелов.обл. ,5 диз в сп-ке</t>
  </si>
  <si>
    <t>12-4369</t>
  </si>
  <si>
    <t>4680088433806</t>
  </si>
  <si>
    <t>ПП-00148991</t>
  </si>
  <si>
    <t xml:space="preserve"> TM"Profit" Тетрадь КЛЕТКА 12л. ЗАБАВНЫЙ КОТИК-1 (12-4374) цвет. мелов.обл. ,5 диз в сп-ке</t>
  </si>
  <si>
    <t>12-4374</t>
  </si>
  <si>
    <t>4680088433851</t>
  </si>
  <si>
    <t>ПП-00244973</t>
  </si>
  <si>
    <t xml:space="preserve"> TM"Profit" Тетрадь КЛЕТКА 12л. КОШАЧЬИ ПАРОЧКИ (12-4281) цвет. мелов.обл.,5 диз в сп-ке</t>
  </si>
  <si>
    <t>12-4281</t>
  </si>
  <si>
    <t>4670159242819</t>
  </si>
  <si>
    <t>ПП-00232983</t>
  </si>
  <si>
    <t xml:space="preserve"> TM"Profit" Тетрадь КЛЕТКА 12л. КРАСИВЫЕ ЕДИНОРОЖКИ (12-8822) цвет. мелов.обл.,5 диз в сп-ке</t>
  </si>
  <si>
    <t>12-8822</t>
  </si>
  <si>
    <t>4670159188179</t>
  </si>
  <si>
    <t>ПП-00148980</t>
  </si>
  <si>
    <t xml:space="preserve"> TM"Profit" Тетрадь КЛЕТКА 12л. КРУТОЙ КОСМОНАВТ-1 (12-4363) цвет. мелов.обл. ,5 диз в сп-ке</t>
  </si>
  <si>
    <t>12-4363</t>
  </si>
  <si>
    <t>4680088433745</t>
  </si>
  <si>
    <t>ПП-00271507</t>
  </si>
  <si>
    <t xml:space="preserve"> TM"Profit" Тетрадь КЛЕТКА 12л. МИКС ДИЗАЙНОВ - 4 (12-0921) цвет. мелов.обл.,5 диз в сп-ке</t>
  </si>
  <si>
    <t>12-0921</t>
  </si>
  <si>
    <t>4670159309215</t>
  </si>
  <si>
    <t>ПП-00181837</t>
  </si>
  <si>
    <t xml:space="preserve"> TM"Profit" Тетрадь КЛЕТКА 12л. МИКС ДЛЯ ДЕВОЧЕК (12-2736) цвет. мелов.обл. ,5 диз в сп-ке</t>
  </si>
  <si>
    <t>12-2736</t>
  </si>
  <si>
    <t>4620129727365</t>
  </si>
  <si>
    <t>ПП-00244974</t>
  </si>
  <si>
    <t xml:space="preserve"> TM"Profit" Тетрадь КЛЕТКА 12л. МИКС-4282 (12-4282) цвет. мелов.обл.,5 диз в сп</t>
  </si>
  <si>
    <t>12-4282</t>
  </si>
  <si>
    <t>4670159242826</t>
  </si>
  <si>
    <t>ПП-00232990</t>
  </si>
  <si>
    <t xml:space="preserve"> TM"Profit" Тетрадь КЛЕТКА 12л. МИЛИТАРИ ПАТТЕРН (12-8826) цвет. мелов.обл.,5 диз в сп-ке</t>
  </si>
  <si>
    <t>12-8826</t>
  </si>
  <si>
    <t>4670159188216</t>
  </si>
  <si>
    <t>ПП-00232987</t>
  </si>
  <si>
    <t xml:space="preserve"> TM"Profit" Тетрадь КЛЕТКА 12л. МИЛЫЕ ЗВЕРЬКИ (12-8824) цвет. мелов.обл.,5 диз в сп-ке</t>
  </si>
  <si>
    <t>12-8824</t>
  </si>
  <si>
    <t>4670159188193</t>
  </si>
  <si>
    <t>ПП-00271513</t>
  </si>
  <si>
    <t xml:space="preserve"> TM"Profit" Тетрадь КЛЕТКА 12л. МИЛЫЕ СОБАЧКИ - 1 (12-0923) цвет. мелов.обл.,5 диз в сп-ке</t>
  </si>
  <si>
    <t>12-0923</t>
  </si>
  <si>
    <t>4670159309239</t>
  </si>
  <si>
    <t>ПП-00244972</t>
  </si>
  <si>
    <t xml:space="preserve"> TM"Profit" Тетрадь КЛЕТКА 12л. МУЛЬТЯШНЫЕ ДОМАШНИЕ ЖИВОТНЫЕ (12-4280) цвет. мелов.обл.,5 диз в сп</t>
  </si>
  <si>
    <t>12-4280</t>
  </si>
  <si>
    <t>4670159242802</t>
  </si>
  <si>
    <t>ПП-00181839</t>
  </si>
  <si>
    <t xml:space="preserve"> TM"Profit" Тетрадь КЛЕТКА 12л. ПОТЕШНЫЕ КОТЯТА-1 (12-2738) цвет. мелов.обл. ,5 диз в сп-ке</t>
  </si>
  <si>
    <t>12-2738</t>
  </si>
  <si>
    <t>4620129727389</t>
  </si>
  <si>
    <t>ПП-00271497</t>
  </si>
  <si>
    <t xml:space="preserve"> TM"Profit" Тетрадь КЛЕТКА 12л. РАЗНЫЕ АВТОМОБИЛИ - 26 (12-0913) цвет. мелов.обл.,5 диз в сп-ке</t>
  </si>
  <si>
    <t>12-0913</t>
  </si>
  <si>
    <t>4670159309130</t>
  </si>
  <si>
    <t>ПП-00244969</t>
  </si>
  <si>
    <t xml:space="preserve"> TM"Profit" Тетрадь КЛЕТКА 12л. РАЗНЫЕ АВТОМОБИЛИ - 5 (12-4279) цвет. мелов.обл.,5 диз в сп-ке</t>
  </si>
  <si>
    <t>12-4279</t>
  </si>
  <si>
    <t>4670159242796</t>
  </si>
  <si>
    <t>ПП-00271498</t>
  </si>
  <si>
    <t xml:space="preserve"> TM"Profit" Тетрадь КЛЕТКА 12л. СПОРТИВНЫЕ АВТОМОБИЛИ - 10 (12-0914) цвет. мелов.обл.,5 диз в сп-ке</t>
  </si>
  <si>
    <t>12-0914</t>
  </si>
  <si>
    <t>4670159309147</t>
  </si>
  <si>
    <t>ПП-00232984</t>
  </si>
  <si>
    <t xml:space="preserve"> TM"Profit" Тетрадь КЛЕТКА 12л. СТИЛЬ УЛИЦЫ (12-8823) цвет. мелов.обл.,5 диз в сп-ке</t>
  </si>
  <si>
    <t>12-8823</t>
  </si>
  <si>
    <t>4670159188186</t>
  </si>
  <si>
    <t>ПП-00148981</t>
  </si>
  <si>
    <t xml:space="preserve"> TM"Profit" Тетрадь КЛЕТКА 12л. ТУРБОМАШИНКИ (12-4364) цвет. мелов.обл. ,5 диз в сп-ке</t>
  </si>
  <si>
    <t>12-4364</t>
  </si>
  <si>
    <t>4680088433752</t>
  </si>
  <si>
    <t>ПП-00271515</t>
  </si>
  <si>
    <t xml:space="preserve"> TM"Profit" Тетрадь КЛЕТКА 12л. ФУТБОЛЬНЫЕ МЯЧИ - 20 (12-0924) цвет. мелов.обл.,5 диз в сп-ке</t>
  </si>
  <si>
    <t>12-0924</t>
  </si>
  <si>
    <t>4670159309246</t>
  </si>
  <si>
    <t>ПП-00038680</t>
  </si>
  <si>
    <t xml:space="preserve"> TM"Profit" Тетрадь КЛЕТКА 12л. ШКОЛЬНАЯ КЛАССИКА-2(12-9104) цвет. мелов. обл., 5 диз. в коробке</t>
  </si>
  <si>
    <t>12-9104</t>
  </si>
  <si>
    <t>4665297791046</t>
  </si>
  <si>
    <t>ПП-00271503</t>
  </si>
  <si>
    <t xml:space="preserve"> TM"Profit" Тетрадь КЛЕТКА 12л. ШКОЛЬНАЯ ТЕМАТИКА - 4 (12-0919) цвет. мелов.обл.,5 диз в сп-ке</t>
  </si>
  <si>
    <t>12-0919</t>
  </si>
  <si>
    <t>4670159309192</t>
  </si>
  <si>
    <t xml:space="preserve"> TМ"Profit" Тетради А5 12л. ЭКОНОМ-ВАРИАНТ линия</t>
  </si>
  <si>
    <t>ПП-00149007</t>
  </si>
  <si>
    <t>TМ"Profit"Тетрадь ЛИНИЯ 12л. АТАКА АКУЛ (12-4383) обл.-цвет. мелов,5 дизайнов в спайке</t>
  </si>
  <si>
    <t>12-4383</t>
  </si>
  <si>
    <t>4680088433943</t>
  </si>
  <si>
    <t>ПП-00225041</t>
  </si>
  <si>
    <t>TМ"Profit"Тетрадь ЛИНИЯ 12л. ДЕВОЧКА И ЕДИНОРОГ - 1 (12-5572) обл.-цвет. мел,5 диз. в спайке</t>
  </si>
  <si>
    <t>12-5572</t>
  </si>
  <si>
    <t>4670159155720</t>
  </si>
  <si>
    <t>ПП-00149017</t>
  </si>
  <si>
    <t>TМ"Profit"Тетрадь ЛИНИЯ 12л. ДРУЗЬЯ-КОТЯТА-2 (12-4384) обл.-цвет. мелов,5 дизайнов в спайке</t>
  </si>
  <si>
    <t>12-4384</t>
  </si>
  <si>
    <t>4680088433950</t>
  </si>
  <si>
    <t>ПП-00149018</t>
  </si>
  <si>
    <t>TМ"Profit"Тетрадь ЛИНИЯ 12л. ЖИЗНЬ МОНСТРИКОВ (12-4385) обл.-цвет. мелов,5 дизайнов в спайке</t>
  </si>
  <si>
    <t>12-4385</t>
  </si>
  <si>
    <t>4680088433967</t>
  </si>
  <si>
    <t>ПП-00271519</t>
  </si>
  <si>
    <t>TМ"Profit"Тетрадь ЛИНИЯ 12л. МИКС ДИЗАЙНОВ - 5 (12-0925) обл.-цвет. мел,5 диз. в спайке</t>
  </si>
  <si>
    <t>12-0925</t>
  </si>
  <si>
    <t>4670159309253</t>
  </si>
  <si>
    <t>ПП-00244981</t>
  </si>
  <si>
    <t>TМ"Profit"Тетрадь ЛИНИЯ 12л. МУЛЬТЯШНЫЕ ЖИВОТНЫЕ (12-4287) обл.-цвет. мел,5 диз. в спайке</t>
  </si>
  <si>
    <t>12-4287</t>
  </si>
  <si>
    <t>4670159242871</t>
  </si>
  <si>
    <t>ПП-00225042</t>
  </si>
  <si>
    <t>TМ"Profit"Тетрадь ЛИНИЯ 12л. МУЛЬТЯШНЫЙ КОТИК (12-5573) обл.-цвет. мел,5 диз. в спайке</t>
  </si>
  <si>
    <t>12-5573</t>
  </si>
  <si>
    <t>4670159155737</t>
  </si>
  <si>
    <t>ПП-00225043</t>
  </si>
  <si>
    <t>TМ"Profit"Тетрадь ЛИНИЯ 12л. МУЛЬТЯШНЫЙ МОНСТРИК (12-5574) обл.-цвет. мел,5 диз. в спайке</t>
  </si>
  <si>
    <t>12-5574</t>
  </si>
  <si>
    <t>4670159155744</t>
  </si>
  <si>
    <t>ПП-00179377</t>
  </si>
  <si>
    <t>TМ"Profit"Тетрадь ЛИНИЯ 12л. МЯЧИ В КОСМОСЕ МИКС (12-1384) обл.-цвет. мел,5 диз. в спайке</t>
  </si>
  <si>
    <t>12-1384</t>
  </si>
  <si>
    <t>4620129713849</t>
  </si>
  <si>
    <t>ПП-00179367</t>
  </si>
  <si>
    <t>TМ"Profit"Тетрадь ЛИНИЯ 12л. ОЧАРОВАТЕЛЬНЫЕ ЗВЕРУШКИ-1 МИКС (12-1382) обл.-цвет. мел,5 диз. в спайке</t>
  </si>
  <si>
    <t>12-1382</t>
  </si>
  <si>
    <t>4620129713825</t>
  </si>
  <si>
    <t>ПП-00179372</t>
  </si>
  <si>
    <t>TМ"Profit"Тетрадь ЛИНИЯ 12л. РАЗНЫЕ МОРДАШКИ МИКС (12-1383) обл.-цвет. мел,5 диз. в спайке</t>
  </si>
  <si>
    <t>12-1383</t>
  </si>
  <si>
    <t>4620129713832</t>
  </si>
  <si>
    <t>ПП-00124126</t>
  </si>
  <si>
    <t>TМ"Profit"Тетрадь ЛИНИЯ 12л. УДИВИТЕЛЬНЫЕ КОТЯТА (12-5624) обл.-цвет. мелов,5 дизайнов в спайке</t>
  </si>
  <si>
    <t>12-5624</t>
  </si>
  <si>
    <t>4630079156245</t>
  </si>
  <si>
    <t>ПП-00038682</t>
  </si>
  <si>
    <t>TМ"Profit"Тетрадь ЛИНИЯ 12л. ШКОЛЬНАЯ КЛАССИКА-2 (12-9106) обл.-цвет. мелов,5 дизайнов в коробке</t>
  </si>
  <si>
    <t>12-9106</t>
  </si>
  <si>
    <t>4665297791060</t>
  </si>
  <si>
    <t>TМ"Profit" Тетради А5 12л. ЭКОНОМ-ВАРИАНТ доп. линовки</t>
  </si>
  <si>
    <t>ПП-00090058</t>
  </si>
  <si>
    <t>TМ"Profit" Тетрадь КРУПНАЯ КЛЕТКА 12л. ШКОЛЬНАЯ КЛАССИКА (12-9122) цвет. мелов. обл,5 диз. в коробке</t>
  </si>
  <si>
    <t>ПП-00183926</t>
  </si>
  <si>
    <t>TМ"Profit"Тетрадь ДОПОЛНИТЕЛЬНАЯ КОСАЯ ЛИНИЯ 12л. АКТИВНЫЕ СКЕЛЕТОНЫ (Т12-3593) цвет. мел, 5 д в сп</t>
  </si>
  <si>
    <t>Т12-3593</t>
  </si>
  <si>
    <t>4620129735933</t>
  </si>
  <si>
    <t>ПП-00183921</t>
  </si>
  <si>
    <t>TМ"Profit"Тетрадь ДОПОЛНИТЕЛЬНАЯ КОСАЯ ЛИНИЯ 12л. ВЕСЕЛЫЕ АКУЛЫ (Т12-3588) цвет. мел, 5 д в сп</t>
  </si>
  <si>
    <t>Т12-3588</t>
  </si>
  <si>
    <t>4620129735889</t>
  </si>
  <si>
    <t>ПП-00183924</t>
  </si>
  <si>
    <t>TМ"Profit"Тетрадь ДОПОЛНИТЕЛЬНАЯ КОСАЯ ЛИНИЯ 12л. КОТИКИ В НАРЯДАХ (Т12-3591) цвет. мел, 5 д в сп</t>
  </si>
  <si>
    <t>Т12-3591</t>
  </si>
  <si>
    <t>4620129735919</t>
  </si>
  <si>
    <t>ПП-00183923</t>
  </si>
  <si>
    <t>TМ"Profit"Тетрадь ДОПОЛНИТЕЛЬНАЯ КОСАЯ ЛИНИЯ 12л. ЛЕСНЫЕ ЗВЕРУШКИ-1 (Т12-3590) цвет. мел, 5 д в сп</t>
  </si>
  <si>
    <t>Т12-3590</t>
  </si>
  <si>
    <t>4620129735902</t>
  </si>
  <si>
    <t>ПП-00225047</t>
  </si>
  <si>
    <t>TМ"Profit"Тетрадь ДОПОЛНИТЕЛЬНАЯ КОСАЯ ЛИНИЯ 12л. МИКС МИЛИТАРИ (12-5567) цвет. мел, 5 д в сп</t>
  </si>
  <si>
    <t>12-5567</t>
  </si>
  <si>
    <t>4670159155676</t>
  </si>
  <si>
    <t>ПП-00183925</t>
  </si>
  <si>
    <t>TМ"Profit"Тетрадь ДОПОЛНИТЕЛЬНАЯ КОСАЯ ЛИНИЯ 12л. ТАЧКИ ДЛЯ ПОБЕД (Т12-3592) цвет. мел, 5 д в сп</t>
  </si>
  <si>
    <t>Т12-3592</t>
  </si>
  <si>
    <t>4620129735926</t>
  </si>
  <si>
    <t>ПП-00045994</t>
  </si>
  <si>
    <t>TМ"Profit"Тетрадь ДОПОЛНИТЕЛЬНАЯ КОСАЯ ЛИНИЯ 12л. ШКОЛЬНАЯ КЛАССИКА (12-9270) цвет.мел, 5 диз в кор.</t>
  </si>
  <si>
    <t>12-9270</t>
  </si>
  <si>
    <t>4665299592702</t>
  </si>
  <si>
    <t>ПП-00183922</t>
  </si>
  <si>
    <t>TМ"Profit"Тетрадь ДОПОЛНИТЕЛЬНАЯ КОСАЯ ЛИНИЯ 12л. ЯРКИЕ ДЕВЧОНКИ-1 (Т12-3589) цвет. мел, 5 д в сп</t>
  </si>
  <si>
    <t>Т12-3589</t>
  </si>
  <si>
    <t>4620129735896</t>
  </si>
  <si>
    <t>ПП-00225053</t>
  </si>
  <si>
    <t>TМ"Profit"Тетрадь КОСАЯ ЛИНИЯ 12л. АРТ С МЯЧОМ (12-5570) обл. - цвет. мелов, 5 диз. в сп</t>
  </si>
  <si>
    <t>12-5570</t>
  </si>
  <si>
    <t>4670159155706</t>
  </si>
  <si>
    <t>ПП-00148998</t>
  </si>
  <si>
    <t>TМ"Profit"Тетрадь КОСАЯ ЛИНИЯ 12л. КОСМИЧЕСКОЕ ПУТЕШЕСТВИЕ (12-4379)обл. - цвет. мелов, 5 диз. в сп</t>
  </si>
  <si>
    <t>4680088433905</t>
  </si>
  <si>
    <t>ПП-00183928</t>
  </si>
  <si>
    <t>TМ"Profit"Тетрадь КОСАЯ ЛИНИЯ 12л. МИКС (Т12-3595) обл. - цвет. мелов, 5 диз. в спайке</t>
  </si>
  <si>
    <t>Т12-3595</t>
  </si>
  <si>
    <t>4620129735957</t>
  </si>
  <si>
    <t>ПП-00244957</t>
  </si>
  <si>
    <t>TМ"Profit"Тетрадь КОСАЯ ЛИНИЯ 12л. МУЛЬТЯШНЫЕ ЖИВОТНЫЕ В ГОРОДЕ (12-4275) цвет. мел, 5 диз в сп</t>
  </si>
  <si>
    <t>12-4275</t>
  </si>
  <si>
    <t>4670159242758</t>
  </si>
  <si>
    <t>ПП-00244961</t>
  </si>
  <si>
    <t>TМ"Profit"Тетрадь КОСАЯ ЛИНИЯ 12л. ПОРТРЕТНЫЕ ФОТО КОТОВ- 1 (12-4277) цвет. мел, 5 диз в сп</t>
  </si>
  <si>
    <t>12-4277</t>
  </si>
  <si>
    <t>4670159242772</t>
  </si>
  <si>
    <t>ПП-00149003</t>
  </si>
  <si>
    <t>TМ"Profit"Тетрадь КОСАЯ ЛИНИЯ 12л. ТУРБО-МАШИНКИ-1 (12-4381)обл. - цвет. мелов, 5 диз. в сп</t>
  </si>
  <si>
    <t>12-4381</t>
  </si>
  <si>
    <t>4680088433929</t>
  </si>
  <si>
    <t>ПП-00183929</t>
  </si>
  <si>
    <t>TМ"Profit"Тетрадь КОСАЯ ЛИНИЯ 12л. ФРАНЦУЗСКИЕ БУЛЬДОГИ-1 (Т12-3596) обл. - цвет. мелов, 5 диз. в сп</t>
  </si>
  <si>
    <t>Т12-3596</t>
  </si>
  <si>
    <t>4620129735964</t>
  </si>
  <si>
    <t>ПП-00024457</t>
  </si>
  <si>
    <t>TМ"Profit"Тетрадь КОСАЯ ЛИНИЯ 12л. ШКОЛЬНАЯ КЛАССИКА (12-3921) обл.-цвет. мелов,5 дизайнов в коробке</t>
  </si>
  <si>
    <t>12-3921</t>
  </si>
  <si>
    <t>9785378139217</t>
  </si>
  <si>
    <t>ПП-00038689</t>
  </si>
  <si>
    <t>TМ"Profit"Тетрадь УЗКАЯ ЛИНИЯ 12л. ШКОЛЬНАЯ КЛАССИКА (12-9125) обл.-цвет. мелов,5 диз. в коробке</t>
  </si>
  <si>
    <t>12-9125</t>
  </si>
  <si>
    <t>4665297791251</t>
  </si>
  <si>
    <t>ПП-00038692</t>
  </si>
  <si>
    <t>TМ"Profit"Тетрадь ЧАСТАЯ КОСАЯ ЛИНИЯ 12л. ШКОЛЬНАЯ КЛАССИКА(12-9128) обл.-цвет. меловц,5диз в кор</t>
  </si>
  <si>
    <t>12-9128</t>
  </si>
  <si>
    <t>4665297791282</t>
  </si>
  <si>
    <t>ПП-00148996</t>
  </si>
  <si>
    <t>TМ"Profit"Тетрадь ЧАСТАЯ КОСАЯ С ДОП. ГОРИЗ ЛИНИЕЙ ШКОЛЬНАЯ КЛАССИКА (12-4378) обл.-цв.мел,5диз.кор</t>
  </si>
  <si>
    <t>12-4378</t>
  </si>
  <si>
    <t>4680088433899</t>
  </si>
  <si>
    <t xml:space="preserve"> Тетради А5 12л. СТАНДАРТ мелов.обл., без покрытия, 5 дизайнов в спайке</t>
  </si>
  <si>
    <t xml:space="preserve">  Тетради А5 12л. СТАНДАРТ клетка</t>
  </si>
  <si>
    <t>ПП-00241927</t>
  </si>
  <si>
    <t xml:space="preserve"> Тетрадь КЛЕТКА 12л. АВТО И ЛУНА (12-2308) цвет. мел.обл. ,5 диз в сп-ке</t>
  </si>
  <si>
    <t>12-2308</t>
  </si>
  <si>
    <t>4670159223085</t>
  </si>
  <si>
    <t>ПП-00270622</t>
  </si>
  <si>
    <t xml:space="preserve"> Тетрадь КЛЕТКА 12л. АВТОМОБИЛИ В ГОРОДЕ (12-0808) цвет. мел.обл. ,5 диз в сп-ке</t>
  </si>
  <si>
    <t>12-0808</t>
  </si>
  <si>
    <t>4670159308089</t>
  </si>
  <si>
    <t>ПП-00222458</t>
  </si>
  <si>
    <t xml:space="preserve"> Тетрадь КЛЕТКА 12л. ДЕВУШКИ С УШКАМИ (Т12-3921) цвет. мел.обл. ,5 диз в сп-ке</t>
  </si>
  <si>
    <t>Т12-3921</t>
  </si>
  <si>
    <t>4670159139218</t>
  </si>
  <si>
    <t>ПП-00246113</t>
  </si>
  <si>
    <t xml:space="preserve"> Тетрадь КЛЕТКА 12л. ДРАКОШИ (12-4674) цвет. мел.обл. ,5 диз в сп-ке</t>
  </si>
  <si>
    <t>12-4674</t>
  </si>
  <si>
    <t>4670159246787</t>
  </si>
  <si>
    <t>ПП-00222459</t>
  </si>
  <si>
    <t xml:space="preserve"> Тетрадь КЛЕТКА 12л. ЕДИНОРОГИ И ВОЛШЕБСТВО (Т12-3922) цвет. мел.обл. ,5 диз в сп-ке</t>
  </si>
  <si>
    <t>Т12-3922</t>
  </si>
  <si>
    <t>4670159139225</t>
  </si>
  <si>
    <t>ПП-00236524</t>
  </si>
  <si>
    <t xml:space="preserve"> Тетрадь КЛЕТКА 12л. ЖАБКА (12-0686) цвет.мелов.обл., 5 дизайнов в спайке</t>
  </si>
  <si>
    <t>12-0686</t>
  </si>
  <si>
    <t>4670159206866</t>
  </si>
  <si>
    <t>ПП-00016815</t>
  </si>
  <si>
    <t xml:space="preserve"> Тетрадь КЛЕТКА 12л. КЛАССИКА (12131-12135) (цвет.мелов.обл., 5 дизайнов в коробке)</t>
  </si>
  <si>
    <t>12131-12135</t>
  </si>
  <si>
    <t>9785378026869</t>
  </si>
  <si>
    <t>ПП-00040334</t>
  </si>
  <si>
    <t xml:space="preserve"> Тетрадь КЛЕТКА 12л. КЛАССИКА (ГОЛУБАЯ) (12-9210) цвет.мелов.обл., 1 дизайн</t>
  </si>
  <si>
    <t>ПП-00040333</t>
  </si>
  <si>
    <t xml:space="preserve"> Тетрадь КЛЕТКА 12л. КЛАССИКА (ЖЕЛТАЯ) (12-9209) цвет.мелов.обл., 1 дизайн</t>
  </si>
  <si>
    <t>12-9209</t>
  </si>
  <si>
    <t>4665297792098</t>
  </si>
  <si>
    <t>ПП-00040332</t>
  </si>
  <si>
    <t xml:space="preserve"> Тетрадь КЛЕТКА 12л. КЛАССИКА (ЗЕЛЕНАЯ) (12-9208) цвет.мелов.обл., 1 дизайн</t>
  </si>
  <si>
    <t>12-9208</t>
  </si>
  <si>
    <t>4665297792081</t>
  </si>
  <si>
    <t>ПП-00242426</t>
  </si>
  <si>
    <t xml:space="preserve"> Тетрадь КЛЕТКА 12л. КЛАССИКА (СИРЕНЕВАЯ) (12-2540) цвет.мелов.обл., 1 дизайн</t>
  </si>
  <si>
    <t>12-2540</t>
  </si>
  <si>
    <t>4670159225409</t>
  </si>
  <si>
    <t>ПП-00040331</t>
  </si>
  <si>
    <t xml:space="preserve"> Тетрадь КЛЕТКА 12л. КЛАССИКА (ТЕМНО-ЗЕЛЕНАЯ) (12-9207) цвет.мелов.обл., 1 дизайн</t>
  </si>
  <si>
    <t>12-9207</t>
  </si>
  <si>
    <t>4665297792074</t>
  </si>
  <si>
    <t>ПП-00242427</t>
  </si>
  <si>
    <t xml:space="preserve"> Тетрадь КЛЕТКА 12л. КЛАССИКА (ЧЁРНАЯ) (12-2545) цвет.мелов.обл., 1 дизайн</t>
  </si>
  <si>
    <t>12-2545</t>
  </si>
  <si>
    <t>4670159225454</t>
  </si>
  <si>
    <t>ПП-00212673</t>
  </si>
  <si>
    <t xml:space="preserve"> Тетрадь КЛЕТКА 12л. КЛАССИКА NEW (12-9275) цвет.мелов.обл., 5 диз. в пэт</t>
  </si>
  <si>
    <t>12-9275</t>
  </si>
  <si>
    <t>4670159092056</t>
  </si>
  <si>
    <t>ПП-00212690</t>
  </si>
  <si>
    <t xml:space="preserve"> Тетрадь КЛЕТКА 12л. КЛАССИКА NEW ГОЛУБАЯ (12-8322) цвет.мелов.обл., 1 дизайн</t>
  </si>
  <si>
    <t>12-8322</t>
  </si>
  <si>
    <t>4670159092223</t>
  </si>
  <si>
    <t>ПП-00212688</t>
  </si>
  <si>
    <t xml:space="preserve"> Тетрадь КЛЕТКА 12л. КЛАССИКА NEW ЖЕЛТАЯ (12-8320) цвет.мелов.обл., 1 дизайн</t>
  </si>
  <si>
    <t>12-8320</t>
  </si>
  <si>
    <t>4670159092209</t>
  </si>
  <si>
    <t>ПП-00212691</t>
  </si>
  <si>
    <t xml:space="preserve"> Тетрадь КЛЕТКА 12л. КЛАССИКА NEW ЗЕЛЕНАЯ (12-8323) цвет.мелов.обл., 1 дизайн</t>
  </si>
  <si>
    <t>12-8323</t>
  </si>
  <si>
    <t>4670159092230</t>
  </si>
  <si>
    <t>ПП-00212692</t>
  </si>
  <si>
    <t xml:space="preserve"> Тетрадь КЛЕТКА 12л. КЛАССИКА NEW САЛАТОВАЯ (12-8324) цвет.мелов.обл., 1 дизайн</t>
  </si>
  <si>
    <t>12-8324</t>
  </si>
  <si>
    <t>4670159092247</t>
  </si>
  <si>
    <t>ПП-00212689</t>
  </si>
  <si>
    <t xml:space="preserve"> Тетрадь КЛЕТКА 12л. КЛАССИКА NEW СИРЕНЕВАЯ (12-8321) цвет.мелов.обл., 1 дизайн</t>
  </si>
  <si>
    <t>12-8321</t>
  </si>
  <si>
    <t>4670159092216</t>
  </si>
  <si>
    <t>ПП-00270664</t>
  </si>
  <si>
    <t xml:space="preserve"> Тетрадь КЛЕТКА 12л. КЛАССИКА БЕЗ СЛОВ - 1 (12-0827) цвет. мел.обл., 1 дизаин</t>
  </si>
  <si>
    <t>12-0827</t>
  </si>
  <si>
    <t>4670159308270</t>
  </si>
  <si>
    <t>ПП-00270665</t>
  </si>
  <si>
    <t xml:space="preserve"> Тетрадь КЛЕТКА 12л. КЛАССИКА БЕЗ СЛОВ - 2 (12-0828) цвет. мел.обл., 1 дизаин</t>
  </si>
  <si>
    <t>12-0828</t>
  </si>
  <si>
    <t>4670159308287</t>
  </si>
  <si>
    <t>ПП-00270668</t>
  </si>
  <si>
    <t xml:space="preserve"> Тетрадь КЛЕТКА 12л. КЛАССИКА БЕЗ СЛОВ - 5 (12-0831) цвет. мел.обл., 1 дизаин</t>
  </si>
  <si>
    <t>12-0831</t>
  </si>
  <si>
    <t>4670159308317</t>
  </si>
  <si>
    <t>ПП-00270663</t>
  </si>
  <si>
    <t xml:space="preserve"> Тетрадь КЛЕТКА 12л. КЛАССИКА БЕЗ СЛОВ (12-0826) цвет. мел.обл. ,5 диз в сп-ке</t>
  </si>
  <si>
    <t>12-0826</t>
  </si>
  <si>
    <t>4670159308263</t>
  </si>
  <si>
    <t>ПП-00058156</t>
  </si>
  <si>
    <t xml:space="preserve"> Тетрадь КЛЕТКА 12л. КЛАССИКА БЕЗ СЛОВ-1 (12-3107) цвет.мелов.обл., 1 дизаин в спайке</t>
  </si>
  <si>
    <t>12-3107</t>
  </si>
  <si>
    <t>4665299631074</t>
  </si>
  <si>
    <t>ПП-00058352</t>
  </si>
  <si>
    <t xml:space="preserve"> Тетрадь КЛЕТКА 12л. КЛАССИКА РОЗОВАЯ (12-3136) цвет.мелов.обл., 1 дизайн в спайке</t>
  </si>
  <si>
    <t>4665299631364</t>
  </si>
  <si>
    <t>ПП-00270641</t>
  </si>
  <si>
    <t xml:space="preserve"> Тетрадь КЛЕТКА 12л. КРАСИВЫЕ КОТЫ - 5 (12-0814) цвет. мел.обл. ,5 диз в сп-ке</t>
  </si>
  <si>
    <t>12-0814</t>
  </si>
  <si>
    <t>4670159308140</t>
  </si>
  <si>
    <t>ПП-00222474</t>
  </si>
  <si>
    <t xml:space="preserve"> Тетрадь КЛЕТКА 12л. КРАСИВЫЕ СОБАЧКИ (Т12-3929) цвет. мел.обл. ,5 диз в сп-ке</t>
  </si>
  <si>
    <t>Т12-3929</t>
  </si>
  <si>
    <t>4670159139294</t>
  </si>
  <si>
    <t>ПП-00270647</t>
  </si>
  <si>
    <t xml:space="preserve"> Тетрадь КЛЕТКА 12л. ЛИНЕЙНЫЙ ДИЗАЙН - 3 (12-0819) цвет. мел.обл. ,5 диз в сп-ке</t>
  </si>
  <si>
    <t>12-0819</t>
  </si>
  <si>
    <t>4670159308195</t>
  </si>
  <si>
    <t>ПП-00246111</t>
  </si>
  <si>
    <t xml:space="preserve"> Тетрадь КЛЕТКА 12л. ЛУЧШИЕ ДРУЗЬЯ (12-4670) цвет. мел.обл. ,5 диз в сп-ке</t>
  </si>
  <si>
    <t>12-4670</t>
  </si>
  <si>
    <t>4670159246701</t>
  </si>
  <si>
    <t>ПП-00228495</t>
  </si>
  <si>
    <t xml:space="preserve"> Тетрадь КЛЕТКА 12л. ЛЯГУШКИ В СТИЛЕ АНИМЕ (12-7131) цвет.мелов.обл., 5 дизайнов в спайке</t>
  </si>
  <si>
    <t>12-7131</t>
  </si>
  <si>
    <t>4670159171317</t>
  </si>
  <si>
    <t>ПП-00246110</t>
  </si>
  <si>
    <t xml:space="preserve"> Тетрадь КЛЕТКА 12л. МАЛЕНЬКИЙ КОРГИ (12-4668) цвет. мел.обл. ,5 диз в сп-ке</t>
  </si>
  <si>
    <t>12-4668</t>
  </si>
  <si>
    <t>4670159246688</t>
  </si>
  <si>
    <t>ПП-00270669</t>
  </si>
  <si>
    <t xml:space="preserve"> Тетрадь КЛЕТКА 12л. МИКС ДИЗАЙНОВ - 1 (12-0832) цвет. мел.обл. ,5 диз в сп-ке</t>
  </si>
  <si>
    <t>12-0832</t>
  </si>
  <si>
    <t>4670159308324</t>
  </si>
  <si>
    <t>ПП-00270653</t>
  </si>
  <si>
    <t xml:space="preserve"> Тетрадь КЛЕТКА 12л. МИЛЫЕ ЗВЕРУШКИ - 3 (12-0822) цвет. мел.обл. ,5 диз в сп-ке</t>
  </si>
  <si>
    <t>12-0822</t>
  </si>
  <si>
    <t>4670159308225</t>
  </si>
  <si>
    <t>ПП-00270643</t>
  </si>
  <si>
    <t xml:space="preserve"> Тетрадь КЛЕТКА 12л. МИЛЫЕ КОТИКИ - 13 (12-0816) цвет. мел.обл. ,5 диз в сп-ке</t>
  </si>
  <si>
    <t>12-0816</t>
  </si>
  <si>
    <t>4670159308164</t>
  </si>
  <si>
    <t>ПП-00222463</t>
  </si>
  <si>
    <t xml:space="preserve"> Тетрадь КЛЕТКА 12л. МИЛЫЕ КОШЕЧКИ - 1 (Т12-3924) цвет. мел.обл. ,5 диз в сп-ке</t>
  </si>
  <si>
    <t>Т12-3924</t>
  </si>
  <si>
    <t>4670159139249</t>
  </si>
  <si>
    <t>ПП-00222466</t>
  </si>
  <si>
    <t xml:space="preserve"> Тетрадь КЛЕТКА 12л. МИЛЫЕ МОНСТРЫ (Т12-3925) цвет. мел.обл. ,5 диз в сп-ке</t>
  </si>
  <si>
    <t>Т12-3925</t>
  </si>
  <si>
    <t>4670159139256</t>
  </si>
  <si>
    <t>ПП-00270649</t>
  </si>
  <si>
    <t xml:space="preserve"> Тетрадь КЛЕТКА 12л. МИЛЫЕ ПУШИСТИКИ - 4 (12-0834) цвет. мел.обл. ,5 диз в сп-ке</t>
  </si>
  <si>
    <t>12-0834</t>
  </si>
  <si>
    <t>4670159308201</t>
  </si>
  <si>
    <t>ПП-00270651</t>
  </si>
  <si>
    <t xml:space="preserve"> Тетрадь КЛЕТКА 12л. МИНИМАЛИСТИЧНЫЕ УЗОРЫ (12-0821) цвет. мел.обл. ,5 диз в сп-ке</t>
  </si>
  <si>
    <t>12-0821</t>
  </si>
  <si>
    <t>4670159308218</t>
  </si>
  <si>
    <t>ПП-00196955</t>
  </si>
  <si>
    <t xml:space="preserve"> Тетрадь КЛЕТКА 12л. НАДУВНЫЕ КРУГИ МИКС (12-1388) цвет. мел.обл. ,5 диз в сп-ке СПАЙКА 10</t>
  </si>
  <si>
    <t>12-1388</t>
  </si>
  <si>
    <t>ПП-00201102</t>
  </si>
  <si>
    <t>4670159023548</t>
  </si>
  <si>
    <t>ПП-00207735</t>
  </si>
  <si>
    <t xml:space="preserve"> Тетрадь КЛЕТКА 12л. НАРИСОВАННЫЕ ЗВЕРЯТА (Т12-2354) цвет. мел.обл. ,5 диз в сп-ке СПАЙКА 10</t>
  </si>
  <si>
    <t>ПП-00249788</t>
  </si>
  <si>
    <t xml:space="preserve"> Тетрадь КЛЕТКА 12л. ОДНОТОННЫЙ ДИЗАЙН - 2 (Т12-5956) цвет. мел.обл. ,5 диз в сп-ке</t>
  </si>
  <si>
    <t>Т12-5956</t>
  </si>
  <si>
    <t>4670159259565</t>
  </si>
  <si>
    <t>ПП-00216656</t>
  </si>
  <si>
    <t xml:space="preserve"> Тетрадь КЛЕТКА 12л. ОЧАРОВАТЕЛЬНАЯ КАПИБАРА (12-1176) цвет.мелов.обл., 5 дизайнов в спайке</t>
  </si>
  <si>
    <t>12-1176</t>
  </si>
  <si>
    <t>4670159111764</t>
  </si>
  <si>
    <t>ПП-00241929</t>
  </si>
  <si>
    <t xml:space="preserve"> Тетрадь КЛЕТКА 12л. ПИКСЕЛЬНОЕ МИЛИТАРИ (12-2310) цвет. мел.обл. ,5 диз в сп-ке</t>
  </si>
  <si>
    <t>12-2310</t>
  </si>
  <si>
    <t>4670159223108</t>
  </si>
  <si>
    <t>ПП-00179460</t>
  </si>
  <si>
    <t xml:space="preserve"> Тетрадь КЛЕТКА 12л. ПРИШЕЛЬЦЫ СРЕДИТ НАС-1 (12-1554) цвет.мелов.обл., 5 дизайнов в спайке</t>
  </si>
  <si>
    <t>12-1554</t>
  </si>
  <si>
    <t>4620129715546</t>
  </si>
  <si>
    <t>ПП-00196952</t>
  </si>
  <si>
    <t xml:space="preserve"> Тетрадь КЛЕТКА 12л. ПРИШЕЛЬЦЫ СРЕДИТ НАС-1 (12-1554) цвет.мелов.обл., 5 дизайнов в спайке СПАЙКА 10</t>
  </si>
  <si>
    <t>ПП-00246108</t>
  </si>
  <si>
    <t xml:space="preserve"> Тетрадь КЛЕТКА 12л. ПУШИСТИК (12-4666) цвет. мел.обл. ,5 диз в сп-ке</t>
  </si>
  <si>
    <t>12-4666</t>
  </si>
  <si>
    <t>4670159246664</t>
  </si>
  <si>
    <t>ПП-00270628</t>
  </si>
  <si>
    <t xml:space="preserve"> Тетрадь КЛЕТКА 12л. РАЗНЫЕ АВТОМОБИЛИ - 20 (12-0810) цвет. мел.обл. ,5 диз в сп-ке</t>
  </si>
  <si>
    <t>12-0810</t>
  </si>
  <si>
    <t>4670159308102</t>
  </si>
  <si>
    <t>ПП-00196950</t>
  </si>
  <si>
    <t xml:space="preserve"> Тетрадь КЛЕТКА 12л. СЛАДКАЯ СТРАНА МИКС (12-1390) цвет. мел.обл. ,5 диз в сп-ке СПАЙКА 10</t>
  </si>
  <si>
    <t>12-1390</t>
  </si>
  <si>
    <t>ПП-00270624</t>
  </si>
  <si>
    <t xml:space="preserve"> Тетрадь КЛЕТКА 12л. СПОРТИВНЫЕ АВТОМОБИЛИ - 9 (12-0809) цвет. мел.обл. ,5 диз в сп-ке</t>
  </si>
  <si>
    <t>12-0809</t>
  </si>
  <si>
    <t>4670159308096</t>
  </si>
  <si>
    <t>ПП-00241923</t>
  </si>
  <si>
    <t xml:space="preserve"> Тетрадь КЛЕТКА 12л. УЮТНЫЕ ЗВЕРЯТА (12-2304) цвет. мел.обл. ,5 диз в сп-ке</t>
  </si>
  <si>
    <t>12-2304</t>
  </si>
  <si>
    <t>4670159223047</t>
  </si>
  <si>
    <t>ПП-00270646</t>
  </si>
  <si>
    <t xml:space="preserve"> Тетрадь КЛЕТКА 12л. УЮТНЫЕ КОТИКИ - 4 (12-0818) цвет. мел.обл. ,5 диз в сп-ке</t>
  </si>
  <si>
    <t>12-0818</t>
  </si>
  <si>
    <t>4670159308188</t>
  </si>
  <si>
    <t>ПП-00241925</t>
  </si>
  <si>
    <t xml:space="preserve"> Тетрадь КЛЕТКА 12л. ФОТОГРАФИИ СОБАЧЕК (12-2306) цвет. мел.обл. ,5 диз в сп-ке</t>
  </si>
  <si>
    <t>12-2306</t>
  </si>
  <si>
    <t>4670159223061</t>
  </si>
  <si>
    <t>ПП-00241922</t>
  </si>
  <si>
    <t xml:space="preserve"> Тетрадь КЛЕТКА 12л. ШИКАРНАЯ МАШИНА (12-2303) цвет. мел.обл. ,5 диз в сп-ке</t>
  </si>
  <si>
    <t>12-2303</t>
  </si>
  <si>
    <t>4670159223030</t>
  </si>
  <si>
    <t>ПП-00270631</t>
  </si>
  <si>
    <t xml:space="preserve"> Тетрадь КЛЕТКА 12л. ЯРКИЕ ГРАДИЕНТЫ (12-0811) цвет. мел.обл. ,5 диз в сп-ке</t>
  </si>
  <si>
    <t>12-0811</t>
  </si>
  <si>
    <t>4670159308119</t>
  </si>
  <si>
    <t xml:space="preserve"> Тетради А5 12л. СТАНДАРТ линия</t>
  </si>
  <si>
    <t>ПП-00222229</t>
  </si>
  <si>
    <t>Тетрадь ЛИНИЯ 12л. PINK&amp;BLACK (Т12-3754) цвет.мелов.обл.,5 дизайнов в спайке</t>
  </si>
  <si>
    <t>Т12-3754</t>
  </si>
  <si>
    <t>4670159137542</t>
  </si>
  <si>
    <t>ПП-00016838</t>
  </si>
  <si>
    <t>Тетрадь ЛИНИЯ 12л. КЛАССИКА (12141-12145 ) цвет.мелов.обл.,5 дизайнов в кор.</t>
  </si>
  <si>
    <t>12141-12145</t>
  </si>
  <si>
    <t>9785378026876</t>
  </si>
  <si>
    <t>ПП-00040307</t>
  </si>
  <si>
    <t>Тетрадь ЛИНИЯ 12л. КЛАССИКА (ГОЛУБАЯ) (12-9184) (цвет.мелов.обл.,1 дизайн в спайке)</t>
  </si>
  <si>
    <t>12-9184</t>
  </si>
  <si>
    <t>4665297791848</t>
  </si>
  <si>
    <t>ПП-00040306</t>
  </si>
  <si>
    <t>Тетрадь ЛИНИЯ 12л. КЛАССИКА (ЖЕЛТАЯ) (12-9183) (цвет.мелов.обл.,1 дизайн в спайке)</t>
  </si>
  <si>
    <t>12-9183</t>
  </si>
  <si>
    <t>4665297791831</t>
  </si>
  <si>
    <t>ПП-00040308</t>
  </si>
  <si>
    <t>Тетрадь ЛИНИЯ 12л. КЛАССИКА (ЗЕЛЕНАЯ) (12-9185) (цвет.мелов.обл.,1 дизайн в спайке)</t>
  </si>
  <si>
    <t>12-9185</t>
  </si>
  <si>
    <t>4665297791855</t>
  </si>
  <si>
    <t>ПП-00242428</t>
  </si>
  <si>
    <t>Тетрадь ЛИНИЯ 12л. КЛАССИКА (СИРЕНЕВАЯ) (12-2541) цвет.мелов.обл.,1 дизаин в спайке</t>
  </si>
  <si>
    <t>12-2541</t>
  </si>
  <si>
    <t>4670159225416</t>
  </si>
  <si>
    <t>ПП-00040309</t>
  </si>
  <si>
    <t>Тетрадь ЛИНИЯ 12л. КЛАССИКА (ТЕМНО-ЗЕЛЕНАЯ) (12-9186) (цвет.мелов.обл.,1 дизайн в спайке)</t>
  </si>
  <si>
    <t>12-9186</t>
  </si>
  <si>
    <t>4665297791862</t>
  </si>
  <si>
    <t>ПП-00242430</t>
  </si>
  <si>
    <t>Тетрадь ЛИНИЯ 12л. КЛАССИКА (ЧЁРНАЯ) (12-2546) цвет.мелов.обл.,1 дизаин в спайке</t>
  </si>
  <si>
    <t>12-2546</t>
  </si>
  <si>
    <t>4670159225461</t>
  </si>
  <si>
    <t>ПП-00212674</t>
  </si>
  <si>
    <t>Тетрадь ЛИНИЯ 12л. КЛАССИКА NEW (12-9276) цвет.мелов.обл.,1 дизаин в спайке, 5 диз. в коробке</t>
  </si>
  <si>
    <t>12-9276</t>
  </si>
  <si>
    <t>4670159092063</t>
  </si>
  <si>
    <t>ПП-00212695</t>
  </si>
  <si>
    <t>Тетрадь ЛИНИЯ 12л. КЛАССИКА NEW ГОЛУБАЯ (12-8327) (цвет.мелов.обл.,1 дизайн в спайке)</t>
  </si>
  <si>
    <t>12-8327</t>
  </si>
  <si>
    <t>4670159092278</t>
  </si>
  <si>
    <t>ПП-00212693</t>
  </si>
  <si>
    <t>Тетрадь ЛИНИЯ 12л. КЛАССИКА NEW ЖЕЛТАЯ (12-8325) (цвет.мелов.обл.,1 дизайн в спайке)</t>
  </si>
  <si>
    <t>12-8325</t>
  </si>
  <si>
    <t>4670159092254</t>
  </si>
  <si>
    <t>ПП-00212696</t>
  </si>
  <si>
    <t>Тетрадь ЛИНИЯ 12л. КЛАССИКА NEW ЗЕЛЕНАЯ (12-8328) (цвет.мелов.обл.,1 дизайн в спайке)</t>
  </si>
  <si>
    <t>12-8328</t>
  </si>
  <si>
    <t>4670159092285</t>
  </si>
  <si>
    <t>ПП-00212697</t>
  </si>
  <si>
    <t>Тетрадь ЛИНИЯ 12л. КЛАССИКА NEW САЛАТОВАЯ (12-8329) (цвет.мелов.обл.,1 дизайн в спайке)</t>
  </si>
  <si>
    <t>12-8329</t>
  </si>
  <si>
    <t>4670159092292</t>
  </si>
  <si>
    <t>ПП-00212694</t>
  </si>
  <si>
    <t>Тетрадь ЛИНИЯ 12л. КЛАССИКА NEW СИРЕНЕВАЯ (12-8326) (цвет.мелов.обл.,1 дизайн в спайке)</t>
  </si>
  <si>
    <t>12-8326</t>
  </si>
  <si>
    <t>4670159092261</t>
  </si>
  <si>
    <t>ПП-00078914</t>
  </si>
  <si>
    <t>Тетрадь ЛИНИЯ 12л. КЛАССИКА БЕЗ СЛОВ-3 (12-3120) цвет.мелов.обл.,1 дизаин в спайке</t>
  </si>
  <si>
    <t>ПП-00034639</t>
  </si>
  <si>
    <t>Тетрадь ЛИНИЯ 12л. КЛАССИКА-2 (12-3637) цвет.мелов.обл.,5 дизайнов в коробке</t>
  </si>
  <si>
    <t>12-3637</t>
  </si>
  <si>
    <t>4665295436376</t>
  </si>
  <si>
    <t>ПП-00245574</t>
  </si>
  <si>
    <t>Тетрадь ЛИНИЯ 12л. КОРОНА (12-4423) цвет.мелов.обл.,5 дизайнов в спайке</t>
  </si>
  <si>
    <t>12-4423</t>
  </si>
  <si>
    <t>4670159244233</t>
  </si>
  <si>
    <t>ПП-00245575</t>
  </si>
  <si>
    <t>Тетрадь ЛИНИЯ 12л. КРАСНАЯ МАШИНА (12-4424) цвет.мелов.обл.,5 дизайнов в спайке</t>
  </si>
  <si>
    <t>12-4424</t>
  </si>
  <si>
    <t>4670159244240</t>
  </si>
  <si>
    <t>ПП-00246775</t>
  </si>
  <si>
    <t>Тетрадь ЛИНИЯ 12л. МАШИНЫ В ИГРОВОМ СТИЛЕ (Т12-4875) цвет.мелов.обл.,5 дизайнов в спайке</t>
  </si>
  <si>
    <t>Т12-4875</t>
  </si>
  <si>
    <t>4670159248750</t>
  </si>
  <si>
    <t>ПП-00179961</t>
  </si>
  <si>
    <t>Тетрадь ЛИНИЯ 12л. МИЛЫЕ МОНСТРИКИ-1 (12-1604) цвет.мелов.обл.,5 дизайнов в спайке</t>
  </si>
  <si>
    <t>12-1604</t>
  </si>
  <si>
    <t>4620129716048</t>
  </si>
  <si>
    <t>ПП-00246777</t>
  </si>
  <si>
    <t>Тетрадь ЛИНИЯ 12л. МОРДОЧКИ КОТИКОВ (Т12-4877) цвет.мелов.обл.,5 дизайнов в спайке</t>
  </si>
  <si>
    <t>Т12-4877</t>
  </si>
  <si>
    <t>4670159248774</t>
  </si>
  <si>
    <t>ПП-00249791</t>
  </si>
  <si>
    <t>Тетрадь ЛИНИЯ 12л. ОДНОТОННЫЙ ДИЗАЙН - 3 (Т12-5958) цвет.мелов.обл.,5 дизайнов в спайке</t>
  </si>
  <si>
    <t>Т12-5958</t>
  </si>
  <si>
    <t>4670159259589</t>
  </si>
  <si>
    <t>ПП-00201109</t>
  </si>
  <si>
    <t>Тетрадь ЛИНИЯ 12л. СОВРЕМЕННЫЕ ДИЗАЙНЫ - 1 (Т12-2361) цвет.мелов.обл.,5 дизайнов в спайке</t>
  </si>
  <si>
    <t>Т12-2361</t>
  </si>
  <si>
    <t>4670159023616</t>
  </si>
  <si>
    <t>ПП-00249792</t>
  </si>
  <si>
    <t>Тетрадь ЛИНИЯ 12л. ТЕКСТУРЫ-1 (Т12-5959) цвет.мелов.обл.,5 дизайнов в спайке</t>
  </si>
  <si>
    <t>Т12-5959</t>
  </si>
  <si>
    <t>4670159259596</t>
  </si>
  <si>
    <t>ПП-00075357</t>
  </si>
  <si>
    <t>Тетрадь ЛИНИЯ 12л. УЧУСЬ НА "ОТЛИЧНО"-2 (12-9496) цвет.мелов.обл.,5 дизайнов в коробке</t>
  </si>
  <si>
    <t>4665303494961</t>
  </si>
  <si>
    <t>Тетради А5 12л. СТАНДАРТ доп. линовки</t>
  </si>
  <si>
    <t>ПП-00022810</t>
  </si>
  <si>
    <t xml:space="preserve"> Тетрадь КРУПНАЯ КЛЕТКА 12л. КЛАССИКА (12-0589) (цвет.мелов.обл.,4 дизайна в спайке)</t>
  </si>
  <si>
    <t>12-0589</t>
  </si>
  <si>
    <t>9785378105892</t>
  </si>
  <si>
    <t>ПП-00212676</t>
  </si>
  <si>
    <t xml:space="preserve"> Тетрадь КРУПНАЯ КЛЕТКА 12л. КЛАССИКА NEW (12-9278) цвет.мелов.обл.,1 дизайн в спайке, 5 диз. в кор.</t>
  </si>
  <si>
    <t>12-9278</t>
  </si>
  <si>
    <t>4670159092087</t>
  </si>
  <si>
    <t>ПП-00212703</t>
  </si>
  <si>
    <t xml:space="preserve"> Тетрадь КРУПНАЯ КЛЕТКА 12л. КЛАССИКА NEW ЖЕЛТАЯ (12-8335) цвет.мелов.обл.,1 дизайн в спайке</t>
  </si>
  <si>
    <t>12-8335</t>
  </si>
  <si>
    <t>4670159092353</t>
  </si>
  <si>
    <t>ПП-00212706</t>
  </si>
  <si>
    <t xml:space="preserve"> Тетрадь КРУПНАЯ КЛЕТКА 12л. КЛАССИКА NEW ЗЕЛЕНАЯ (12-8338) цвет.мелов.обл.,1 дизайн в спайке</t>
  </si>
  <si>
    <t>12-8338</t>
  </si>
  <si>
    <t>4670159092384</t>
  </si>
  <si>
    <t>ПП-00212704</t>
  </si>
  <si>
    <t xml:space="preserve"> Тетрадь КРУПНАЯ КЛЕТКА 12л. КЛАССИКА NEW СИРЕНЕВАЯ (12-8336) цвет.мелов.обл.,1 дизайн в спайке</t>
  </si>
  <si>
    <t>12-8336</t>
  </si>
  <si>
    <t>4670159092360</t>
  </si>
  <si>
    <t>ПП-00230695</t>
  </si>
  <si>
    <t xml:space="preserve"> Тетрадь КРУПНАЯ КЛЕТКА 12л. КЛАССИКА БЕЗ СЛОВ (12-7950) цвет.мелов.обл.,1 дизайн в спайке</t>
  </si>
  <si>
    <t>12-7950</t>
  </si>
  <si>
    <t>4670159179566</t>
  </si>
  <si>
    <t>ПП-00033655</t>
  </si>
  <si>
    <t xml:space="preserve"> Тетрадь КРУПНАЯ КЛЕТКА 12л. КЛАССИКА-2 (12-3746) цвет.мелов.обл.,5 дизайнов в коробке</t>
  </si>
  <si>
    <t>12-3746</t>
  </si>
  <si>
    <t>4665295437465</t>
  </si>
  <si>
    <t>ПП-00195070</t>
  </si>
  <si>
    <t>Тетрадь ДОП.КОСАЯ ЛИНИЯ 12л. ВЕСЁЛЫЕ ЕДИНОРОГИ (12-8942) цвет.мелов.обл.,5 диз. в спайке</t>
  </si>
  <si>
    <t>12-8942</t>
  </si>
  <si>
    <t>4620129789417</t>
  </si>
  <si>
    <t>ПП-00212677</t>
  </si>
  <si>
    <t>Тетрадь ДОП.КОСАЯ ЛИНИЯ 12л. КЛАССИКА NEW (12-9279) цвет.мелов.обл.,5 диз. в коробке</t>
  </si>
  <si>
    <t>12-9279</t>
  </si>
  <si>
    <t>4670159092094</t>
  </si>
  <si>
    <t>ПП-00212713</t>
  </si>
  <si>
    <t>Тетрадь ДОП.КОСАЯ ЛИНИЯ 12л. КЛАССИКА NEW ГОЛУБАЯ (12-8342) цвет.мелов.обл.,1 диз в сп</t>
  </si>
  <si>
    <t>12-8342</t>
  </si>
  <si>
    <t>4670159092421</t>
  </si>
  <si>
    <t>ПП-00212708</t>
  </si>
  <si>
    <t>Тетрадь ДОП.КОСАЯ ЛИНИЯ 12л. КЛАССИКА NEW ЖЕЛТАЯ (12-8340) цвет.мелов.обл.,1 диз в сп</t>
  </si>
  <si>
    <t>12-8340</t>
  </si>
  <si>
    <t>4670159092407</t>
  </si>
  <si>
    <t>ПП-00212716</t>
  </si>
  <si>
    <t>Тетрадь ДОП.КОСАЯ ЛИНИЯ 12л. КЛАССИКА NEW ЗЕЛЕНАЯ (12-8343) цвет.мелов.обл.,1 диз в сп</t>
  </si>
  <si>
    <t>12-8343</t>
  </si>
  <si>
    <t>4670159092438</t>
  </si>
  <si>
    <t>ПП-00212719</t>
  </si>
  <si>
    <t>Тетрадь ДОП.КОСАЯ ЛИНИЯ 12л. КЛАССИКА NEW САЛАТОВАЯ (12-8344) цвет.мелов.обл.,1 диз в сп</t>
  </si>
  <si>
    <t>12-8344</t>
  </si>
  <si>
    <t>4670159092445</t>
  </si>
  <si>
    <t>ПП-00212710</t>
  </si>
  <si>
    <t>Тетрадь ДОП.КОСАЯ ЛИНИЯ 12л. КЛАССИКА NEW СИРЕНЕВАЯ (12-8341) цвет.мелов.обл.,1 диз в сп</t>
  </si>
  <si>
    <t>12-8341</t>
  </si>
  <si>
    <t>4670159092414</t>
  </si>
  <si>
    <t>ПП-00042029</t>
  </si>
  <si>
    <t>Тетрадь ДОП.КОСАЯ ЛИНИЯ 12л. КЛАССИКА-2 (12-0301) цвет.мелов.обл.,5 диз. в спайке</t>
  </si>
  <si>
    <t>12-0301</t>
  </si>
  <si>
    <t>4665297803015</t>
  </si>
  <si>
    <t>ПП-00180025</t>
  </si>
  <si>
    <t>Тетрадь ДОП.КОСАЯ ЛИНИЯ 12л. СКОРОСТНЫЕ СПОРТКАРЫ (12-1640) цвет.мелов.обл.,5 диз. в спайке</t>
  </si>
  <si>
    <t>12-1640</t>
  </si>
  <si>
    <t>4620129716406</t>
  </si>
  <si>
    <t>ПП-00225778</t>
  </si>
  <si>
    <t>Тетрадь ДОП.КОСАЯ ЛИНИЯ 12л. СПОРТ И МЯЧ (12-5781) цвет.мелов.обл.,5 диз. в спайке</t>
  </si>
  <si>
    <t>12-5781</t>
  </si>
  <si>
    <t>4670159157816</t>
  </si>
  <si>
    <t>ПП-00075309</t>
  </si>
  <si>
    <t>Тетрадь ДОП.КОСАЯ ЛИНИЯ 12л. УЧУСЬ НА "ОТЛИЧНО"-2 (12-9461) цвет.мелов.обл.,5 диз в сп</t>
  </si>
  <si>
    <t>12-9461</t>
  </si>
  <si>
    <t>4665303494619</t>
  </si>
  <si>
    <t>ПП-00230697</t>
  </si>
  <si>
    <t>Тетрадь ДОПОЛНИТЕЛЬНАЯ КОСАЯ ЛИНИЯ 12л. КЛАССИКА БЕЗ СЛОВ (12-7951) цвет.мелов.обл.,1 диз в спайке</t>
  </si>
  <si>
    <t>12-7951</t>
  </si>
  <si>
    <t>4670159179573</t>
  </si>
  <si>
    <t>ПП-00018239</t>
  </si>
  <si>
    <t>Тетрадь КОСАЯ ЛИНИЯ 12л. КЛАССИКА (12271-12275) (цвет.мелов.обл.,5 дизайнов в коробке)</t>
  </si>
  <si>
    <t>12271-12275</t>
  </si>
  <si>
    <t>9785378043705</t>
  </si>
  <si>
    <t>ПП-00040293</t>
  </si>
  <si>
    <t>Тетрадь КОСАЯ ЛИНИЯ 12л. КЛАССИКА (ГОЛУБАЯ) (12-9172) цвет.мелов.обл.,1 дизайн в спайке</t>
  </si>
  <si>
    <t>12-9172</t>
  </si>
  <si>
    <t>4665297791725</t>
  </si>
  <si>
    <t>ПП-00086158</t>
  </si>
  <si>
    <t>Тетрадь КОСАЯ ЛИНИЯ 12л. КЛАССИКА (ЖЕЛТАЯ) (12-9170) цвет.мелов.обл.,1 дизайн в спайке</t>
  </si>
  <si>
    <t>12-9170</t>
  </si>
  <si>
    <t>4665297791701</t>
  </si>
  <si>
    <t>ПП-00040292</t>
  </si>
  <si>
    <t>Тетрадь КОСАЯ ЛИНИЯ 12л. КЛАССИКА (ЗЕЛЕНАЯ) (12-9171) цвет.мелов.обл.,1 дизайн в спайке</t>
  </si>
  <si>
    <t>12-9171</t>
  </si>
  <si>
    <t>4665297791718</t>
  </si>
  <si>
    <t>ПП-00242431</t>
  </si>
  <si>
    <t>Тетрадь КОСАЯ ЛИНИЯ 12л. КЛАССИКА (СИРЕНЕВАЯ) (12-2542) цвет.мелов.обл.,1 дизаин в спайке</t>
  </si>
  <si>
    <t>12-2542</t>
  </si>
  <si>
    <t>4670159225423</t>
  </si>
  <si>
    <t>ПП-00212675</t>
  </si>
  <si>
    <t>Тетрадь КОСАЯ ЛИНИЯ 12л. КЛАССИКА NEW (12-9277) цвет.мелов.обл.,1 дизаин в спайке, 5 диз. в коробке</t>
  </si>
  <si>
    <t>12-9277</t>
  </si>
  <si>
    <t>4670159092070</t>
  </si>
  <si>
    <t>ПП-00212700</t>
  </si>
  <si>
    <t>Тетрадь КОСАЯ ЛИНИЯ 12л. КЛАССИКА NEW ГОЛУБАЯ (12-8332) цвет.мелов.обл.,1 дизаин в спайке</t>
  </si>
  <si>
    <t>12-8332</t>
  </si>
  <si>
    <t>4670159092322</t>
  </si>
  <si>
    <t>ПП-00212698</t>
  </si>
  <si>
    <t>Тетрадь КОСАЯ ЛИНИЯ 12л. КЛАССИКА NEW ЖЕЛТАЯ (12-8330) цвет.мелов.обл.,1 дизаин в спайке</t>
  </si>
  <si>
    <t>12-8330</t>
  </si>
  <si>
    <t>4670159092308</t>
  </si>
  <si>
    <t>ПП-00212701</t>
  </si>
  <si>
    <t>Тетрадь КОСАЯ ЛИНИЯ 12л. КЛАССИКА NEW ЗЕЛЕНАЯ (12-8333) цвет.мелов.обл.,1 дизаин в спайке</t>
  </si>
  <si>
    <t>12-8333</t>
  </si>
  <si>
    <t>4670159092339</t>
  </si>
  <si>
    <t>ПП-00212702</t>
  </si>
  <si>
    <t>Тетрадь КОСАЯ ЛИНИЯ 12л. КЛАССИКА NEW САЛАТОВАЯ (12-8334) цвет.мелов.обл.,1 дизаин в спайке</t>
  </si>
  <si>
    <t>12-8334</t>
  </si>
  <si>
    <t>4670159092346</t>
  </si>
  <si>
    <t>ПП-00212699</t>
  </si>
  <si>
    <t>Тетрадь КОСАЯ ЛИНИЯ 12л. КЛАССИКА NEW СИРЕНЕВАЯ (12-8331) цвет.мелов.обл.,1 дизаин в спайке</t>
  </si>
  <si>
    <t>12-8331</t>
  </si>
  <si>
    <t>4670159092315</t>
  </si>
  <si>
    <t>ПП-00058157</t>
  </si>
  <si>
    <t>Тетрадь КОСАЯ ЛИНИЯ 12л. КЛАССИКА БЕЗ СЛОВ-2 (12-3108) цвет.мелов.обл.,1 дизаин в спайке</t>
  </si>
  <si>
    <t>12-3108</t>
  </si>
  <si>
    <t>4665299631081</t>
  </si>
  <si>
    <t>ПП-00036570</t>
  </si>
  <si>
    <t>Тетрадь КОСАЯ ЛИНИЯ 12л. КЛАССИКА-2 (12-3650) цвет.мелов.обл.,5 дизайнов в коробке</t>
  </si>
  <si>
    <t>12-3650</t>
  </si>
  <si>
    <t>4665295436505</t>
  </si>
  <si>
    <t>ПП-00225793</t>
  </si>
  <si>
    <t>Тетрадь КОСАЯ ЛИНИЯ 12л. МИКС-5785 (12-5785) цвет.мелов.обл.,5 диз. в спайке</t>
  </si>
  <si>
    <t>12-5785</t>
  </si>
  <si>
    <t>4670159157854</t>
  </si>
  <si>
    <t>ПП-00246092</t>
  </si>
  <si>
    <t>Тетрадь КОСАЯ ЛИНИЯ 12л. РАЗНЫЕ АВТОМОБИЛИ - 12 (12-4465) цвет.мелов.обл.,5 дизаинов в спайке</t>
  </si>
  <si>
    <t>12-4465</t>
  </si>
  <si>
    <t>4670159244608</t>
  </si>
  <si>
    <t>ПП-00075340</t>
  </si>
  <si>
    <t>Тетрадь КОСАЯ ЛИНИЯ 12л. УЧУСЬ НА "ОТЛИЧНО"2 (12-9483) цвет.мелов.обл.,5 дизайнов в коробке</t>
  </si>
  <si>
    <t>12-9483</t>
  </si>
  <si>
    <t>4665303494831</t>
  </si>
  <si>
    <t>ПП-00195076</t>
  </si>
  <si>
    <t>Тетрадь КОСАЯ ЛИНИЯ 12л. ФРУКТОВЫЕ ЗАРИСОВКИ (12-8947) цвет.мелов.обл.,5 дизаинов в спайке</t>
  </si>
  <si>
    <t>12-8947</t>
  </si>
  <si>
    <t>4620129789462</t>
  </si>
  <si>
    <t>ПП-00225791</t>
  </si>
  <si>
    <t>Тетрадь КОСАЯ ЛИНИЯ 12л. ЦВЕТНЫЕ МОНСТРИКИ (12-5783) цвет.мелов.обл.,5 дизаинов в спайке</t>
  </si>
  <si>
    <t>12-5783</t>
  </si>
  <si>
    <t>4670159157830</t>
  </si>
  <si>
    <t>ПП-00195072</t>
  </si>
  <si>
    <t>Тетрадь КОСАЯ ЛИНИЯ 12л. ЯРКИЕ СПОРТКАРЫ (12-8939) цвет.мелов.обл.,5 дизаинов в спайке</t>
  </si>
  <si>
    <t>12-8939</t>
  </si>
  <si>
    <t>4620129789387</t>
  </si>
  <si>
    <t>ПП-00225792</t>
  </si>
  <si>
    <t>Тетрадь КРУПНАЯ КЛЕТКА 12л. МИКС-5801 (12-5801) цвет.мелов.обл.,5 дизайнов в спайке</t>
  </si>
  <si>
    <t>12-5801</t>
  </si>
  <si>
    <t>4670159158011</t>
  </si>
  <si>
    <t>ПП-00022815</t>
  </si>
  <si>
    <t>Тетрадь УЗКАЯ ЛИНИЯ 12л. КЛАССИКА (12-0590) цвет.мелов.обл.,5 дизайнов в спайке</t>
  </si>
  <si>
    <t>12-0590</t>
  </si>
  <si>
    <t>9785378105908</t>
  </si>
  <si>
    <t>ПП-00212679</t>
  </si>
  <si>
    <t>Тетрадь УЗКАЯ ЛИНИЯ 12л. КЛАССИКА NEW (12-9280) цвет.мелов.обл.,1 дизайн в спайке, 5 диз. в коробке</t>
  </si>
  <si>
    <t>12-9280</t>
  </si>
  <si>
    <t>4670159092100</t>
  </si>
  <si>
    <t>ПП-00212735</t>
  </si>
  <si>
    <t>Тетрадь УЗКАЯ ЛИНИЯ 12л. КЛАССИКА NEW ГОЛУБАЯ (12-8347) цвет.мелов.обл.,1 дизайн в спайке</t>
  </si>
  <si>
    <t>12-8347</t>
  </si>
  <si>
    <t>4670159092476</t>
  </si>
  <si>
    <t>ПП-00212729</t>
  </si>
  <si>
    <t>Тетрадь УЗКАЯ ЛИНИЯ 12л. КЛАССИКА NEW ЖЕЛТАЯ (12-8345) цвет.мелов.обл.,1 дизайн в спайке</t>
  </si>
  <si>
    <t>12-8345</t>
  </si>
  <si>
    <t>4670159092452</t>
  </si>
  <si>
    <t>ПП-00212740</t>
  </si>
  <si>
    <t>Тетрадь УЗКАЯ ЛИНИЯ 12л. КЛАССИКА NEW ЗЕЛЕНАЯ (12-8348) цвет.мелов.обл.,1 дизайн в спайке</t>
  </si>
  <si>
    <t>12-8348</t>
  </si>
  <si>
    <t>4670159092483</t>
  </si>
  <si>
    <t>ПП-00212732</t>
  </si>
  <si>
    <t>Тетрадь УЗКАЯ ЛИНИЯ 12л. КЛАССИКА NEW СИРЕНЕВАЯ (12-8346) цвет.мелов.обл.,1 дизайн в спайке</t>
  </si>
  <si>
    <t>12-8346</t>
  </si>
  <si>
    <t>4670159092469</t>
  </si>
  <si>
    <t>ПП-00230698</t>
  </si>
  <si>
    <t>Тетрадь УЗКАЯ ЛИНИЯ 12л. КЛАССИКА БЕЗ СЛОВ (12-7952) цвет.мелов.обл.,1 дизайн в спайке</t>
  </si>
  <si>
    <t>12-7952</t>
  </si>
  <si>
    <t>4670159179580</t>
  </si>
  <si>
    <t>ПП-00032902</t>
  </si>
  <si>
    <t>Тетрадь ЧАСТАЯ КОСАЯ ЛИНИЯ 12л. КЛАССИКА (12-3354) цвет.мелов.обл.,5 дизайнов в коробке</t>
  </si>
  <si>
    <t>12-3354</t>
  </si>
  <si>
    <t>4665295433542</t>
  </si>
  <si>
    <t>ПП-00242423</t>
  </si>
  <si>
    <t>Тетрадь ЧАСТАЯ КОСАЯ ЛИНИЯ 12л. КЛАССИКА (ЖЕЛТАЯ) (12-2538) цвет.мелов.обл.,1 дизайн в спайке</t>
  </si>
  <si>
    <t>12-2538</t>
  </si>
  <si>
    <t>4670159225386</t>
  </si>
  <si>
    <t>ПП-00242429</t>
  </si>
  <si>
    <t>Тетрадь ЧАСТАЯ КОСАЯ ЛИНИЯ 12л. КЛАССИКА (СИРЕНЕВАЯ) (12-2543) цвет.мелов.обл.,1 дизайн в сп</t>
  </si>
  <si>
    <t>12-2543</t>
  </si>
  <si>
    <t>4670159225430</t>
  </si>
  <si>
    <t>ПП-00212680</t>
  </si>
  <si>
    <t>Тетрадь ЧАСТАЯ КОСАЯ ЛИНИЯ 12л. КЛАССИКА NEW (12-9281) цвет.мелов.обл.,1 дизайн в спайке, 5диз в кор</t>
  </si>
  <si>
    <t>12-9281</t>
  </si>
  <si>
    <t>4670159092117</t>
  </si>
  <si>
    <t>ПП-00212751</t>
  </si>
  <si>
    <t>Тетрадь ЧАСТАЯ КОСАЯ ЛИНИЯ 12л. КЛАССИКА NEW ЗЕЛЕНАЯ (12-8353) цвет.мелов.обл.,1 дизайн в спайке</t>
  </si>
  <si>
    <t>12-8353</t>
  </si>
  <si>
    <t>4670159092537</t>
  </si>
  <si>
    <t>ПП-00212753</t>
  </si>
  <si>
    <t>Тетрадь ЧАСТАЯ КОСАЯ ЛИНИЯ 12л. КЛАССИКА NEW САЛАТОВАЯ (12-8354) цвет.мелов.обл.,1 дизайн в спайке</t>
  </si>
  <si>
    <t>12-8354</t>
  </si>
  <si>
    <t>4670159092544</t>
  </si>
  <si>
    <t>ПП-00230699</t>
  </si>
  <si>
    <t>Тетрадь ЧАСТАЯ КОСАЯ ЛИНИЯ 12л. КЛАССИКА БЕЗ СЛОВ (12-7953) цвет.мелов.обл.,1 дизайн в спайке</t>
  </si>
  <si>
    <t>12-7953</t>
  </si>
  <si>
    <t>4670159179597</t>
  </si>
  <si>
    <t>ПП-00225790</t>
  </si>
  <si>
    <t>Тетрадь ЧАСТАЯ КОСАЯ ЛИНИЯ 12л. МИКС-5788 (12-5788) цвет.мелов.обл.,5 дизайнов в спайке</t>
  </si>
  <si>
    <t>12-5788</t>
  </si>
  <si>
    <t>4670159157885</t>
  </si>
  <si>
    <t>ПП-00075294</t>
  </si>
  <si>
    <t>Тетрадь ЧАСТАЯ КОСАЯ ЛИНИЯ 12л. УЧУСЬ НА "ОТЛИЧНО"-2 (12-9455) цвет.мелов.обл.,5 дизайнов в коробке</t>
  </si>
  <si>
    <t>12-9455</t>
  </si>
  <si>
    <t>4665303494558</t>
  </si>
  <si>
    <t>ПП-00148974</t>
  </si>
  <si>
    <t xml:space="preserve">Тетрадь ЧАСТАЯ КОСАЯ С ДОП.ГОРИЗ ЛИНИЕЙ 12л. КЛАССИКА (12-4359)цвет.мелов.обл.,5 диз в кор </t>
  </si>
  <si>
    <t>12-4359</t>
  </si>
  <si>
    <t>4680088433677</t>
  </si>
  <si>
    <t>ПП-00212681</t>
  </si>
  <si>
    <t>Тетрадь ЧАСТАЯ КОСАЯ С ДОП.ГОРИЗ ЛИНИЕЙ 12л. КЛАССИКА NEW (12-9282)цв.мелов.обл.,1д в сп,5 диз в кор</t>
  </si>
  <si>
    <t>12-9282</t>
  </si>
  <si>
    <t>4670159092124</t>
  </si>
  <si>
    <t>ПП-00212765</t>
  </si>
  <si>
    <t>Тетрадь ЧАСТАЯ КОСАЯ С ДОП.ГОРИЗ ЛИНИЕЙ 12л. КЛАССИКА NEW ГОЛУБАЯ (12-8357)цв.мелов.обл.,1д в сп</t>
  </si>
  <si>
    <t>12-8357</t>
  </si>
  <si>
    <t>4670159092575</t>
  </si>
  <si>
    <t>ПП-00212758</t>
  </si>
  <si>
    <t>Тетрадь ЧАСТАЯ КОСАЯ С ДОП.ГОРИЗ ЛИНИЕЙ 12л. КЛАССИКА NEW ЖЕЛТАЯ (12-8355)цв.мелов.обл.,1д в сп</t>
  </si>
  <si>
    <t>12-8355</t>
  </si>
  <si>
    <t>4670159092551</t>
  </si>
  <si>
    <t>ПП-00212761</t>
  </si>
  <si>
    <t>Тетрадь ЧАСТАЯ КОСАЯ С ДОП.ГОРИЗ ЛИНИЕЙ 12л. КЛАССИКА NEW СИРЕНЕВАЯ (12-8356)цв.мелов.обл.,1д в сп</t>
  </si>
  <si>
    <t>12-8356</t>
  </si>
  <si>
    <t>4670159092568</t>
  </si>
  <si>
    <t>ПП-00230701</t>
  </si>
  <si>
    <t>Тетрадь ЧАСТАЯ КОСАЯ С ДОП.ГОРИЗ ЛИНИЕЙ 12л. КЛАССИКА БЕЗ СЛОВ (12-7954) цвет.мелов.обл.,1 диз в сп</t>
  </si>
  <si>
    <t>12-7954</t>
  </si>
  <si>
    <t>4670159179603</t>
  </si>
  <si>
    <t>Тетради А5 12л. СТАНДАРТ plastic cover</t>
  </si>
  <si>
    <t>Тетради А5 12л. СТАНДАРТ прозрач.пласт.обл. мелованный вкладыш</t>
  </si>
  <si>
    <t xml:space="preserve">  Тетради А5 12л. СТАНДАРТ plastic cover прозрач.обл. клетка</t>
  </si>
  <si>
    <t>ПП-00237573</t>
  </si>
  <si>
    <t>Тетрадь КЛЕТКА 12л. проз.пласт.обл. plastic cover КЛАССИКА NEW ЗЕЛЕНАЯ (12-1410) 1 дизайн</t>
  </si>
  <si>
    <t>12-1410</t>
  </si>
  <si>
    <t>4670159213789</t>
  </si>
  <si>
    <t>ПП-00237574</t>
  </si>
  <si>
    <t>Тетрадь КЛЕТКА 12л. проз.пласт.обл. plastic cover КЛАССИКА NEW САЛАТОВАЯ (12-1411) 1 дизайн</t>
  </si>
  <si>
    <t>12-1411</t>
  </si>
  <si>
    <t>4670159213796</t>
  </si>
  <si>
    <t xml:space="preserve"> Тетради А5 12л. СТАНДАРТ plastic cover прозрач.обл. линия</t>
  </si>
  <si>
    <t>ПП-00237578</t>
  </si>
  <si>
    <t>Тетрадь ЛИНИЯ 12л. проз.пласт.обл. plastic cover КЛАССИКА NEW ЖЕЛТАЯ (12-1415) 1 дизайн</t>
  </si>
  <si>
    <t>12-1415</t>
  </si>
  <si>
    <t>4670159213833</t>
  </si>
  <si>
    <t>Тетради А5 12л. СТАНДАРТ plastic cover прозрач.обл. доп. линовки</t>
  </si>
  <si>
    <t>ПП-00237587</t>
  </si>
  <si>
    <t>Тетрадь КОСАЯ ЛИНИЯ 12л. проз.пласт.обл. plastic cover КЛАССИКА NEW ЖЕЛТАЯ (12-1421) 1 дизайн</t>
  </si>
  <si>
    <t>12-1421</t>
  </si>
  <si>
    <t>4670159213895</t>
  </si>
  <si>
    <t>Тетради А5 12л. СТАНДАРТ цветн.пласт.обл., офсетный вкладыш</t>
  </si>
  <si>
    <t>Тетради А5 12л. СТАНДАРТ plastic cover цветн.обл. доп. линовки</t>
  </si>
  <si>
    <t>ПП-00237566</t>
  </si>
  <si>
    <t>Тетрадь КОСАЯ ЛИНИЯ 12л. цвет.пласт.обл. plastic cover НЕОН YELLOW (12-1357) 1 дизайн</t>
  </si>
  <si>
    <t>12-1357</t>
  </si>
  <si>
    <t>4670159213291</t>
  </si>
  <si>
    <t>Тетради А5 12л. СТАНДАРТ блок: 80 г/м2, обложка: мел. картон</t>
  </si>
  <si>
    <t xml:space="preserve">  Тетради А5 12л. СТАНДАРТ Fresh Line клетка</t>
  </si>
  <si>
    <t>ПП-00188630</t>
  </si>
  <si>
    <t xml:space="preserve"> Тетрадь КЛЕТКА 12л. Fresh Line ГОЛУБИКА (Т12-6000) 80г/м2, цвет.мелов.обл.</t>
  </si>
  <si>
    <t>Т12-6000</t>
  </si>
  <si>
    <t>4620129760003</t>
  </si>
  <si>
    <t>ПП-00188623</t>
  </si>
  <si>
    <t xml:space="preserve"> Тетрадь КЛЕТКА 12л. Fresh Line ЛИМОН (Т12-5998) 80г/м2, цвет.мелов.обл.</t>
  </si>
  <si>
    <t>Т12-5998</t>
  </si>
  <si>
    <t>4620129759984</t>
  </si>
  <si>
    <t>ПП-00188627</t>
  </si>
  <si>
    <t xml:space="preserve"> Тетрадь КЛЕТКА 12л. Fresh Line МАЛИНА (Т12-5999) 80г/м2, цвет.мелов.обл.</t>
  </si>
  <si>
    <t>Т12-5999</t>
  </si>
  <si>
    <t>4620129759991</t>
  </si>
  <si>
    <t>ПП-00188631</t>
  </si>
  <si>
    <t xml:space="preserve"> Тетрадь КЛЕТКА 12л. Fresh Line МЯТА (Т12-6001) 80г/м2, цвет.мелов.обл.</t>
  </si>
  <si>
    <t>Т12-6001</t>
  </si>
  <si>
    <t>4620129760010</t>
  </si>
  <si>
    <t>ПП-00188633</t>
  </si>
  <si>
    <t xml:space="preserve"> Тетрадь КЛЕТКА 12л. Fresh Line ЧЕРНИКА (Т12-6002) 80г/м2, цвет.мелов.обл.</t>
  </si>
  <si>
    <t>Т12-6002</t>
  </si>
  <si>
    <t>4620129760027</t>
  </si>
  <si>
    <t>ПП-00218726</t>
  </si>
  <si>
    <t>Тетрадь КЛЕТКА 12л. Fresh Line МИКС (Т12-2098) 80г/м2 цвет.мелов.обл., 5 диз. в спайке</t>
  </si>
  <si>
    <t>Т12-2098</t>
  </si>
  <si>
    <t>4670159120988</t>
  </si>
  <si>
    <t xml:space="preserve"> Тетради А5 12л. СТАНДАРТ Fresh Line линия</t>
  </si>
  <si>
    <t>ПП-00188642</t>
  </si>
  <si>
    <t xml:space="preserve"> Тетрадь ЛИНИЯ 12л. Fresh Line ГОЛУБИКА (Т12-6005) 80г/м2, цвет.мелов.обл.</t>
  </si>
  <si>
    <t>Т12-6005</t>
  </si>
  <si>
    <t>4620129760058</t>
  </si>
  <si>
    <t>ПП-00188639</t>
  </si>
  <si>
    <t xml:space="preserve"> Тетрадь ЛИНИЯ 12л. Fresh Line ЛИМОН (Т12-6003) 80г/м2, цвет.мелов.обл.</t>
  </si>
  <si>
    <t>Т12-6003</t>
  </si>
  <si>
    <t>4620129760034</t>
  </si>
  <si>
    <t>ПП-00188640</t>
  </si>
  <si>
    <t xml:space="preserve"> Тетрадь ЛИНИЯ 12л. Fresh Line МАЛИНА (Т12-6004) 80г/м2, цвет.мелов.обл.</t>
  </si>
  <si>
    <t>Т12-6004</t>
  </si>
  <si>
    <t>4620129760041</t>
  </si>
  <si>
    <t>ПП-00188644</t>
  </si>
  <si>
    <t xml:space="preserve"> Тетрадь ЛИНИЯ 12л. Fresh Line МЯТА (Т12-6006) 80г/м2, цвет.мелов.обл.</t>
  </si>
  <si>
    <t>Т12-6006</t>
  </si>
  <si>
    <t>4620129760065</t>
  </si>
  <si>
    <t>ПП-00188646</t>
  </si>
  <si>
    <t xml:space="preserve"> Тетрадь ЛИНИЯ 12л. Fresh Line ЧЕРНИКА (Т12-6007) 80г/м2, цвет.мелов.обл.</t>
  </si>
  <si>
    <t>Т12-6007</t>
  </si>
  <si>
    <t>4620129760072</t>
  </si>
  <si>
    <t>ПП-00218727</t>
  </si>
  <si>
    <t>Тетрадь ЛИНИЯ 12л. Fresh Line МИКС (Т12-2099) 80г/м2 цвет.мелов.обл., 5 диз. в спайке</t>
  </si>
  <si>
    <t>Т12-2099</t>
  </si>
  <si>
    <t>4670159120995</t>
  </si>
  <si>
    <t>Тетради А5 12л. СТАНДАРТ Fresh Line доп. линовки</t>
  </si>
  <si>
    <t>ПП-00188651</t>
  </si>
  <si>
    <t xml:space="preserve"> Тетрадь КОСАЯ ЛИНИЯ 12л. Fresh Line ГОЛУБИКА (Т12-6010) 80г/м2, цвет.мелов.обл.</t>
  </si>
  <si>
    <t>Т12-6010</t>
  </si>
  <si>
    <t>4620129760102</t>
  </si>
  <si>
    <t>ПП-00188649</t>
  </si>
  <si>
    <t xml:space="preserve"> Тетрадь КОСАЯ ЛИНИЯ 12л. Fresh Line ЛИМОН (Т12-6008) 80г/м2, цвет.мелов.обл.</t>
  </si>
  <si>
    <t>Т12-6008</t>
  </si>
  <si>
    <t>4620129760089</t>
  </si>
  <si>
    <t>ПП-00188650</t>
  </si>
  <si>
    <t xml:space="preserve"> Тетрадь КОСАЯ ЛИНИЯ 12л. Fresh Line МАЛИНА (Т12-6009) 80г/м2, цвет.мелов.обл.</t>
  </si>
  <si>
    <t>Т12-6009</t>
  </si>
  <si>
    <t>4620129760096</t>
  </si>
  <si>
    <t>ПП-00188652</t>
  </si>
  <si>
    <t xml:space="preserve"> Тетрадь КОСАЯ ЛИНИЯ 12л. Fresh Line МЯТА (Т12-6011) 80г/м2, цвет.мелов.обл.</t>
  </si>
  <si>
    <t>Т12-6011</t>
  </si>
  <si>
    <t>4620129760119</t>
  </si>
  <si>
    <t>ПП-00188653</t>
  </si>
  <si>
    <t xml:space="preserve"> Тетрадь КОСАЯ ЛИНИЯ 12л. Fresh Line ЧЕРНИКА (Т12-6012) 80г/м2, цвет.мелов.обл.</t>
  </si>
  <si>
    <t>Т12-6012</t>
  </si>
  <si>
    <t>4620129760126</t>
  </si>
  <si>
    <t>Тетради А5 12л. СТАНДАРТ мелов.обл., твин-лак, 5 дизайнов в спайке</t>
  </si>
  <si>
    <t>ПП-00241934</t>
  </si>
  <si>
    <t xml:space="preserve"> Тетрадь КОСАЯ ЛИНИЯ 12л. МИКС АВТО (12-2313) цвет. мел.обл., твин-лак, 5 диз. в спайке</t>
  </si>
  <si>
    <t>12-2313</t>
  </si>
  <si>
    <t>4670159223139</t>
  </si>
  <si>
    <t>ПП-00195479</t>
  </si>
  <si>
    <t xml:space="preserve"> Тетрадь КОСАЯ ЛИНИЯ 12л. МОЛОДЁЖНЫЙ СТИЛЬ (12-8984) цвет. мел.обл., твин-лак, 5 диз. в спайке</t>
  </si>
  <si>
    <t>12-8984</t>
  </si>
  <si>
    <t>4620129789844</t>
  </si>
  <si>
    <t>ПП-00195481</t>
  </si>
  <si>
    <t xml:space="preserve"> Тетрадь ЛИНИЯ 12л. БОЛЬШИЕ КОТИКИ (12-8985) цвет. мел.обл., твин-лак, 5 диз. в спайке</t>
  </si>
  <si>
    <t>12-8985</t>
  </si>
  <si>
    <t>4620129789851</t>
  </si>
  <si>
    <t>ПП-00225797</t>
  </si>
  <si>
    <t xml:space="preserve"> Тетрадь ЛИНИЯ 12л. КОШЕЧКИ С ЦВЕТАМИ (12-5791) цвет. мел.обл., твин-лак, 5 диз. в спайке</t>
  </si>
  <si>
    <t>12-5791</t>
  </si>
  <si>
    <t>4670159157915</t>
  </si>
  <si>
    <t>ПП-00195483</t>
  </si>
  <si>
    <t xml:space="preserve"> Тетрадь ЛИНИЯ 12л. УЖАСНЫЕ И СМЕШНЫЕ (12-8986) цвет. мел.обл., твин-лак, 5 диз. в спайке</t>
  </si>
  <si>
    <t>12-8986</t>
  </si>
  <si>
    <t>4620129789868</t>
  </si>
  <si>
    <t>Тетради А5 12л. СТАНДАРТ мелов.обл., холодная фольга, твин-лак, 5 дизайнов в спайке</t>
  </si>
  <si>
    <t>ПП-00184533</t>
  </si>
  <si>
    <t xml:space="preserve"> Тетрадь КЛЕТКА 12л. СКОРОСТНЫЕ ТАЧКИ-2 (Т12-3841) цвет.мел.обл.,хол.фольга,твин-лак,5 диз. в спайке</t>
  </si>
  <si>
    <t>Т12-3841</t>
  </si>
  <si>
    <t>4620129738415</t>
  </si>
  <si>
    <t>03 Тетради школьные 18л. скрепка А5 (170х203) в спайке - 25шт., ассорти из 5-ти дизайнов</t>
  </si>
  <si>
    <t xml:space="preserve"> TM "Legend" Тетради А5 18л. обложка- мелованная, 4 дизайна в коробке</t>
  </si>
  <si>
    <t xml:space="preserve"> TM "Legend" Тетради А5 18л. клетка</t>
  </si>
  <si>
    <t>ПП-00206475</t>
  </si>
  <si>
    <t>TM "Legend" Тетрадь КЛЕТКА 18 л. ГЕЙМПАД МОНСТРА (18-5377) цвет.мелов.обл., 4 дизайна в короб</t>
  </si>
  <si>
    <t>4670159053774</t>
  </si>
  <si>
    <t>ПП-00206476</t>
  </si>
  <si>
    <t>TM "Legend" Тетрадь КЛЕТКА 18 л. ГОЛУБЬ (18-5378) цвет.мелов.обл., 4 дизайна в короб</t>
  </si>
  <si>
    <t>18-5378</t>
  </si>
  <si>
    <t>4670159053781</t>
  </si>
  <si>
    <t>ПП-00206474</t>
  </si>
  <si>
    <t>TM "Legend" Тетрадь КЛЕТКА 18 л. СТИЛЬНЫЕ ПРИЧЁСКИ (18-5376) цвет.мелов.обл., 4 дизайна в короб</t>
  </si>
  <si>
    <t>4670159053767</t>
  </si>
  <si>
    <t>ПП-00206477</t>
  </si>
  <si>
    <t>TM "Legend" Тетрадь КЛЕТКА 18 л. ШКОЛЬНЫЕ ПРЕДМЕТЫ - 1 (18-5379) цвет.мелов.обл., 4 дизайна в короб</t>
  </si>
  <si>
    <t>18-5379</t>
  </si>
  <si>
    <t>4670159053798</t>
  </si>
  <si>
    <t>TM "Legend" Тетради А5 18л. линия</t>
  </si>
  <si>
    <t>ПП-00206478</t>
  </si>
  <si>
    <t>TM "Legend" Тетрадь ЛИНИЯ 18 л. КОТОБУДНИ (18-5380) цвет.мелов.обл., 4 дизайна в короб</t>
  </si>
  <si>
    <t>18-5380</t>
  </si>
  <si>
    <t>4670159053804</t>
  </si>
  <si>
    <t>ПП-00206479</t>
  </si>
  <si>
    <t>TM "Legend" Тетрадь ЛИНИЯ 18 л. СТАРТ ИГРЫ (18-5381) цвет.мелов.обл., 4 дизайна в короб</t>
  </si>
  <si>
    <t>18-5381</t>
  </si>
  <si>
    <t>4670159053811</t>
  </si>
  <si>
    <t>ПП-00206480</t>
  </si>
  <si>
    <t>TM "Legend" Тетрадь ЛИНИЯ 18 л. ТУРИЗМ (18-5382) цвет.мелов.обл., 4 дизайна в короб</t>
  </si>
  <si>
    <t>18-5382</t>
  </si>
  <si>
    <t>4670159053828</t>
  </si>
  <si>
    <t>ПП-00206481</t>
  </si>
  <si>
    <t>TM "Legend" Тетрадь ЛИНИЯ 18 л. ШКОЛЬНЫЕ БУДНИ - 1 (18-5383) цвет.мелов.обл., 4 дизайна в короб</t>
  </si>
  <si>
    <t>18-5383</t>
  </si>
  <si>
    <t>4670159053835</t>
  </si>
  <si>
    <t>TМ"Profit" Тетради А5 18л. ЭКОНОМ-ВАРИАНТ обложка- мелованный карт,ассорти из 5-ти дизайнов в спайке</t>
  </si>
  <si>
    <t xml:space="preserve"> TМ"Profit" Тетради А5 18л. ЭКОНОМ-ВАРИАНТ клетка</t>
  </si>
  <si>
    <t>ПП-00225068</t>
  </si>
  <si>
    <t>TМ"Profit"Тетрадь КЛЕТКА 18л. КОТИК И УЮТ (18-5578) обл.-мелов.картон, 5 дизайнов в спайке</t>
  </si>
  <si>
    <t>18-5578</t>
  </si>
  <si>
    <t>4670159155782</t>
  </si>
  <si>
    <t>ПП-00202398</t>
  </si>
  <si>
    <t>TМ"Profit"Тетрадь КЛЕТКА 18л. КРЕАТИВНЫЕ КОТЫ (18-3223) обл.-мелов.картон, 5 дизайнов в спайке</t>
  </si>
  <si>
    <t>18-3223</t>
  </si>
  <si>
    <t>4670159032236</t>
  </si>
  <si>
    <t>ПП-00271493</t>
  </si>
  <si>
    <t>TМ"Profit"Тетрадь КЛЕТКА 18л. ЛИНЕЙНЫЙ ДИЗАЙН - 4 (18-0909) обл.-мелов.картон, 5 дизайнов в спайке</t>
  </si>
  <si>
    <t>18-0909</t>
  </si>
  <si>
    <t>4670159309093</t>
  </si>
  <si>
    <t>ПП-00271486</t>
  </si>
  <si>
    <t>TМ"Profit"Тетрадь КЛЕТКА 18л. МИКС ДИЗАЙНОВ - 2 (18-0904) обл.-мелов.картон, 5 дизайнов в спайке</t>
  </si>
  <si>
    <t>18-0904</t>
  </si>
  <si>
    <t>4670159309048</t>
  </si>
  <si>
    <t>ПП-00271495</t>
  </si>
  <si>
    <t>TМ"Profit"Тетрадь КЛЕТКА 18л. МИКС ДИЗАЙНОВ - 3 (18-0911) обл.-мелов.картон, 5 дизайнов в спайке</t>
  </si>
  <si>
    <t>18-0911</t>
  </si>
  <si>
    <t>4670159309116</t>
  </si>
  <si>
    <t>ПП-00271489</t>
  </si>
  <si>
    <t>TМ"Profit"Тетрадь КЛЕТКА 18л. РАЗНЫЕ АВТОМОБИЛИ - 2 (18-0905) обл.-мелов.картон, 5 дизайнов в спайке</t>
  </si>
  <si>
    <t>18-0905</t>
  </si>
  <si>
    <t>4670159309055</t>
  </si>
  <si>
    <t>ПП-00244987</t>
  </si>
  <si>
    <t>TМ"Profit"Тетрадь КЛЕТКА 18л. РАЗНЫЕ МЯЧИ-2 (18-4313) обл.-мел.карт, 5 дизайнов в спайке</t>
  </si>
  <si>
    <t>18-4313</t>
  </si>
  <si>
    <t>4670159242918</t>
  </si>
  <si>
    <t>ПП-00076862</t>
  </si>
  <si>
    <t>TМ"Profit"Тетрадь КЛЕТКА 18л. УЧУСЬ НА "ОТЛИЧНО-2" (18-0039) обл.-мелов. картон, 5 дизайнов в спайке</t>
  </si>
  <si>
    <t>4665303500396</t>
  </si>
  <si>
    <t>ПП-00025306</t>
  </si>
  <si>
    <t>TМ"Profit"Тетрадь КЛЕТКА 18л. ШКОЛЬНАЯ КЛАССИКА (18-3959) обл.-мелов. картон,5 дизайнов в коробке</t>
  </si>
  <si>
    <t>18-3959</t>
  </si>
  <si>
    <t>9785378139590</t>
  </si>
  <si>
    <t>ПП-00038713</t>
  </si>
  <si>
    <t>TМ"Profit"Тетрадь КЛЕТКА 18л. ШКОЛЬНАЯ КЛАССИКА-2 (18-8835)обл.-мелов. картон,5 диз. в коробке</t>
  </si>
  <si>
    <t>18-8835</t>
  </si>
  <si>
    <t>4665297788350</t>
  </si>
  <si>
    <t>ПП-00271480</t>
  </si>
  <si>
    <t>TМ"Profit"Тетрадь КЛЕТКА 18л. ШКОЛЬНАЯ ТЕМАТИКА - 3 (18-0903) обл.-мелов.картон, 5 дизайнов в спайке</t>
  </si>
  <si>
    <t>18-0903</t>
  </si>
  <si>
    <t>4670159309031</t>
  </si>
  <si>
    <t>TМ"Profit" Тетради А5 18л. ЭКОНОМ-ВАРИАНТ линия</t>
  </si>
  <si>
    <t>ПП-00202405</t>
  </si>
  <si>
    <t>TМ"Profit"Тетрадь ЛИНИЯ 18л. МИКС-111 (18-3227) обл.-мелов. картон, 5 дизайнов в спайке</t>
  </si>
  <si>
    <t>18-3227</t>
  </si>
  <si>
    <t>4670159032274</t>
  </si>
  <si>
    <t>ПП-00025452</t>
  </si>
  <si>
    <t>TМ"Profit"Тетрадь ЛИНИЯ 18л. ШКОЛЬНАЯ КЛАССИКА (18-3962) обл.-мелов. картон,5 дизайнов в коробке</t>
  </si>
  <si>
    <t>18-3962</t>
  </si>
  <si>
    <t>9785378139620</t>
  </si>
  <si>
    <t>ПП-00138111</t>
  </si>
  <si>
    <t>TМ"Profit"Тетрадь ЛИНИЯ 18л. ШКОЛЬНАЯ КЛАССИКА (18-3962)обл.-мелов. картон,5 диз. в спайке СПАЙКА 15</t>
  </si>
  <si>
    <t>ПП-00038716</t>
  </si>
  <si>
    <t>TМ"Profit"Тетрадь ЛИНИЯ 18л. ШКОЛЬНАЯ КЛАССИКА-2 (18-8836)обл.-мелов. картон,5 дизайнов в коробке</t>
  </si>
  <si>
    <t>18-8836</t>
  </si>
  <si>
    <t>4665297788367</t>
  </si>
  <si>
    <t>ПП-00138112</t>
  </si>
  <si>
    <t>TМ"Profit"Тетрадь ЛИНИЯ 18л. ШКОЛЬНАЯ КЛАССИКА-2 (18-8836)обл.-мелов. картон,5д. в спайке СПАЙКА 15</t>
  </si>
  <si>
    <t>Тетради  А5 18л. СТАНДАРТ обложка - мелов.картон без покрытия, ассорти из 5-ти дизайнов в спайке</t>
  </si>
  <si>
    <t xml:space="preserve"> Тетради  А5 18л. СТАНДАРТ клетка</t>
  </si>
  <si>
    <t>ПП-00238526</t>
  </si>
  <si>
    <t>Тетрадь КЛЕТКА 18л. IDOLS (18-1548) цвет.мелов.обл.,5 дизайнов в спайке</t>
  </si>
  <si>
    <t>18-1548</t>
  </si>
  <si>
    <t>4670159215486</t>
  </si>
  <si>
    <t>ПП-00225079</t>
  </si>
  <si>
    <t>Тетрадь КЛЕТКА 18л. ВСЁ ОКЕЙ (18-5590) цвет.мелов.обл.,5 дизайнов в спайке</t>
  </si>
  <si>
    <t>18-5590</t>
  </si>
  <si>
    <t>4670159155904</t>
  </si>
  <si>
    <t>ПП-00017559</t>
  </si>
  <si>
    <t>Тетрадь КЛЕТКА 18л. КЛАССИКА (18011-18015) цвет.мелов.обл.,1 дизайн в спайке</t>
  </si>
  <si>
    <t>18011-18015</t>
  </si>
  <si>
    <t>9785378030620</t>
  </si>
  <si>
    <t>ПП-00155641</t>
  </si>
  <si>
    <t>Тетрадь КЛЕТКА 18л. КЛАССИКА (18011-18015) цвет.мелов.обл.,1 дизайн СПАЙКА 15</t>
  </si>
  <si>
    <t>ПП-00059605</t>
  </si>
  <si>
    <t>Тетрадь КЛЕТКА 18л. КЛАССИКА (голубая)-2 (18-3539) цвет.мелов.обл.,1 дизаин в спайке</t>
  </si>
  <si>
    <t>18-3539</t>
  </si>
  <si>
    <t>4665299635393</t>
  </si>
  <si>
    <t>ПП-00185310</t>
  </si>
  <si>
    <t>Тетрадь КЛЕТКА 18л. КЛАССИКА (голубая)-2 (18-3539) цвет.мелов.обл.,1 дизаин в спайке СПАЙКА 10</t>
  </si>
  <si>
    <t>ПП-00242443</t>
  </si>
  <si>
    <t>Тетрадь КЛЕТКА 18л. КЛАССИКА (СИРЕНЕВАЯ) (18-2547) цвет.мелов.обл.,1 дизаин в спайке</t>
  </si>
  <si>
    <t>18-2547</t>
  </si>
  <si>
    <t>4670159225478</t>
  </si>
  <si>
    <t>ПП-00212775</t>
  </si>
  <si>
    <t>Тетрадь КЛЕТКА 18л. КЛАССИКА NEW ГОЛУБАЯ (18-9262) цвет.мелов.обл.,1 дизайн в спайке</t>
  </si>
  <si>
    <t>18-9262</t>
  </si>
  <si>
    <t>4670159092629</t>
  </si>
  <si>
    <t>ПП-00212773</t>
  </si>
  <si>
    <t>Тетрадь КЛЕТКА 18л. КЛАССИКА NEW ЖЕЛТАЯ (18-9260) цвет.мелов.обл.,1 дизайн в спайке</t>
  </si>
  <si>
    <t>18-9260</t>
  </si>
  <si>
    <t>4670159092605</t>
  </si>
  <si>
    <t>ПП-00212776</t>
  </si>
  <si>
    <t>Тетрадь КЛЕТКА 18л. КЛАССИКА NEW ЗЕЛЕНАЯ (18-9263) цвет.мелов.обл.,1 дизайн в спайке</t>
  </si>
  <si>
    <t>18-9263</t>
  </si>
  <si>
    <t>4670159092636</t>
  </si>
  <si>
    <t>ПП-00212777</t>
  </si>
  <si>
    <t>Тетрадь КЛЕТКА 18л. КЛАССИКА NEW САЛАТОВАЯ (18-9264) цвет.мелов.обл.,1 дизайн в спайке</t>
  </si>
  <si>
    <t>18-9264</t>
  </si>
  <si>
    <t>4670159092643</t>
  </si>
  <si>
    <t>ПП-00212774</t>
  </si>
  <si>
    <t>Тетрадь КЛЕТКА 18л. КЛАССИКА NEW СИРЕНЕВАЯ (18-9261) цвет.мелов.обл.,1 дизайн в спайке</t>
  </si>
  <si>
    <t>4670159092612</t>
  </si>
  <si>
    <t>ПП-00089631</t>
  </si>
  <si>
    <t>Тетрадь КЛЕТКА 18л. КЛАССИКА БЕЗ СЛОВ-4 (18-3123) цвет.мелов.обл.,1 дизаин в спайке</t>
  </si>
  <si>
    <t>18-3123</t>
  </si>
  <si>
    <t>4665299631234</t>
  </si>
  <si>
    <t>ПП-00201114</t>
  </si>
  <si>
    <t>Тетрадь КЛЕТКА 18л. МИКС РИСУНКОВ (Т18-2364) цвет.мелов.обл.,5 дизайнов в спайке</t>
  </si>
  <si>
    <t>Т18-2364</t>
  </si>
  <si>
    <t>4670159023647</t>
  </si>
  <si>
    <t>ПП-00201113</t>
  </si>
  <si>
    <t>Тетрадь КЛЕТКА 18л. РИСУНОК АВТО (Т18-2363) цвет.мелов.обл.,5 дизайнов в спайке</t>
  </si>
  <si>
    <t>Т18-2363</t>
  </si>
  <si>
    <t>4670159023630</t>
  </si>
  <si>
    <t>ПП-00201118</t>
  </si>
  <si>
    <t>Тетрадь КЛЕТКА 18л. СОВРЕМЕННЫЕ ДИЗАЙНЫ - 2 (Т18-2371) цвет.мелов.обл.,5 дизайнов в спайке</t>
  </si>
  <si>
    <t>Т18-2371</t>
  </si>
  <si>
    <t>4670159023715</t>
  </si>
  <si>
    <t>ПП-00225077</t>
  </si>
  <si>
    <t>Тетрадь КЛЕТКА 18л. ФОТО КОТИКОВ (18-5587) цвет.мелов.обл.,5 дизайнов в спайке</t>
  </si>
  <si>
    <t>18-5587</t>
  </si>
  <si>
    <t>4670159155874</t>
  </si>
  <si>
    <t>ПП-00241915</t>
  </si>
  <si>
    <t>Тетрадь КЛЕТКА 18л. ЦВЕТНЫЕ АБСТРАКЦИИ (18-2301) цвет.мелов.обл.,5 дизайнов в спайке</t>
  </si>
  <si>
    <t>18-2301</t>
  </si>
  <si>
    <t>4670159223016</t>
  </si>
  <si>
    <t>Тетради  А5 18л. СТАНДАРТ линия</t>
  </si>
  <si>
    <t>ПП-00017743</t>
  </si>
  <si>
    <t>Тетрадь ЛИНИЯ 18л. КЛАССИКА (18061-18065) (цвет.мелов.обл.)</t>
  </si>
  <si>
    <t>18061-18065</t>
  </si>
  <si>
    <t>9785378032303</t>
  </si>
  <si>
    <t>ПП-00212784</t>
  </si>
  <si>
    <t>Тетрадь ЛИНИЯ 18л. КЛАССИКА NEW ГОЛУБАЯ (18-9267) цвет.мелов.обл.,1 дизайн в спайке</t>
  </si>
  <si>
    <t>18-9267</t>
  </si>
  <si>
    <t>4670159092674</t>
  </si>
  <si>
    <t>ПП-00212782</t>
  </si>
  <si>
    <t>Тетрадь ЛИНИЯ 18л. КЛАССИКА NEW ЖЕЛТАЯ (18-9265) цвет.мелов.обл.,1 дизайн в спайке</t>
  </si>
  <si>
    <t>18-9265</t>
  </si>
  <si>
    <t>4670159092650</t>
  </si>
  <si>
    <t>ПП-00212785</t>
  </si>
  <si>
    <t>Тетрадь ЛИНИЯ 18л. КЛАССИКА NEW ЗЕЛЕНАЯ (18-9268) цвет.мелов.обл.,1 дизайн в спайке</t>
  </si>
  <si>
    <t>18-9268</t>
  </si>
  <si>
    <t>4670159092681</t>
  </si>
  <si>
    <t>ПП-00212783</t>
  </si>
  <si>
    <t>Тетрадь ЛИНИЯ 18л. КЛАССИКА NEW СИРЕНЕВАЯ (18-9266) цвет.мелов.обл.,1 дизайн в спайке</t>
  </si>
  <si>
    <t>18-9266</t>
  </si>
  <si>
    <t>4670159092667</t>
  </si>
  <si>
    <t>ПП-00185307</t>
  </si>
  <si>
    <t>Тетрадь ЛИНИЯ 18л. КЛАССИКА БЕЗ СЛОВ-5 (18-3124) цвет.мелов.обл.,1 дизаин в сп СПАЙКА 10</t>
  </si>
  <si>
    <t>18-3124</t>
  </si>
  <si>
    <t>4665299631241</t>
  </si>
  <si>
    <t>ПП-00089643</t>
  </si>
  <si>
    <t>Тетрадь ЛИНИЯ 18л. КЛАССИКА БЕЗ СЛОВ-5 (18-3124) цвет.мелов.обл.,1 дизаин в спайке</t>
  </si>
  <si>
    <t>ПП-00161373</t>
  </si>
  <si>
    <t>Тетрадь ЛИНИЯ 18л. ПРИКОЛЬНЫЕ МОНСТРИКИ (18-3698) цвет.мелов.обл.,5 дизайнов в спайке</t>
  </si>
  <si>
    <t>18-3698</t>
  </si>
  <si>
    <t>4610144826983</t>
  </si>
  <si>
    <t>Тетради А5 18л. СТАНДАРТ plastic cover</t>
  </si>
  <si>
    <t>Тетради А5 18л. СТАНДАРТ прозрач.пласт.обл. мелованный вкладыш</t>
  </si>
  <si>
    <t xml:space="preserve"> Тетради А5 18л. СТАНДАРТ plastic cover прозрач. обл. клетка</t>
  </si>
  <si>
    <t>ПП-00237637</t>
  </si>
  <si>
    <t>Тетрадь КЛЕТКА 18л. проз.пласт.обл. plastic cover КЛАССИКА NEW ЖЕЛТАЯ (18-1395) 1 дизайн</t>
  </si>
  <si>
    <t>18-1395</t>
  </si>
  <si>
    <t>4670159213956</t>
  </si>
  <si>
    <t>ПП-00237640</t>
  </si>
  <si>
    <t>Тетрадь КЛЕТКА 18л. проз.пласт.обл. plastic cover КЛАССИКА NEW ЗЕЛЕНАЯ (18-1396) 1 дизайн</t>
  </si>
  <si>
    <t>18-1396</t>
  </si>
  <si>
    <t>4670159213963</t>
  </si>
  <si>
    <t>ПП-00237641</t>
  </si>
  <si>
    <t>Тетрадь КЛЕТКА 18л. проз.пласт.обл. plastic cover КЛАССИКА NEW САЛАТОВАЯ (18-1397) 1 дизайн</t>
  </si>
  <si>
    <t>18-1397</t>
  </si>
  <si>
    <t>4670159213970</t>
  </si>
  <si>
    <t>ПП-00237643</t>
  </si>
  <si>
    <t>Тетрадь КЛЕТКА 18л. проз.пласт.обл. plastic cover КЛАССИКА NEW СИРЕНЕВАЯ (18-1398) 1 дизайн</t>
  </si>
  <si>
    <t>18-1398</t>
  </si>
  <si>
    <t>4670159213987</t>
  </si>
  <si>
    <t xml:space="preserve"> Тетради А5 18л. СТАНДАРТ plastic cover прозрач. обл. линия</t>
  </si>
  <si>
    <t>ПП-00237644</t>
  </si>
  <si>
    <t>Тетрадь ЛИНИЯ 18л. проз.пласт.обл. plastic cover КЛАССИКА NEW (18-1399) ассорти 5 цветов</t>
  </si>
  <si>
    <t>18-1399</t>
  </si>
  <si>
    <t>4670159213994</t>
  </si>
  <si>
    <t>ПП-00237645</t>
  </si>
  <si>
    <t>Тетрадь ЛИНИЯ 18л. проз.пласт.обл. plastic cover КЛАССИКА NEW ГОЛУБАЯ (18-1400) 1 дизайн</t>
  </si>
  <si>
    <t>18-1400</t>
  </si>
  <si>
    <t>4670159214007</t>
  </si>
  <si>
    <t>ПП-00237646</t>
  </si>
  <si>
    <t>Тетрадь ЛИНИЯ 18л. проз.пласт.обл. plastic cover КЛАССИКА NEW ЖЕЛТАЯ (18-1401) 1 дизайн</t>
  </si>
  <si>
    <t>18-1401</t>
  </si>
  <si>
    <t>4670159214014</t>
  </si>
  <si>
    <t>ПП-00237647</t>
  </si>
  <si>
    <t>Тетрадь ЛИНИЯ 18л. проз.пласт.обл. plastic cover КЛАССИКА NEW ЗЕЛЕНАЯ (18-1402) 1 дизайн</t>
  </si>
  <si>
    <t>18-1402</t>
  </si>
  <si>
    <t>4670159214021</t>
  </si>
  <si>
    <t>ПП-00237648</t>
  </si>
  <si>
    <t>Тетрадь ЛИНИЯ 18л. проз.пласт.обл. plastic cover КЛАССИКА NEW САЛАТОВАЯ (18-1403) 1 дизайн</t>
  </si>
  <si>
    <t>18-1403</t>
  </si>
  <si>
    <t>4670159214038</t>
  </si>
  <si>
    <t>ПП-00237649</t>
  </si>
  <si>
    <t>Тетрадь ЛИНИЯ 18л. проз.пласт.обл. plastic cover КЛАССИКА NEW СИРЕНЕВАЯ (18-1404) 1 дизайн</t>
  </si>
  <si>
    <t>18-1404</t>
  </si>
  <si>
    <t>4670159214045</t>
  </si>
  <si>
    <t>Тетради А5 18л. СТАНДАРТ цветн.пласт.обл., офсетный вкладыш</t>
  </si>
  <si>
    <t xml:space="preserve"> Тетради А5 18л. СТАНДАРТ plastic cover цветн. обл. клетка</t>
  </si>
  <si>
    <t>ПП-00237616</t>
  </si>
  <si>
    <t>Тетрадь КЛЕТКА 18л. цвет.пласт.обл. plastic cover НЕОН (18-1330) ассорти 5 цветов</t>
  </si>
  <si>
    <t>18-1330</t>
  </si>
  <si>
    <t>4670159213307</t>
  </si>
  <si>
    <t>Тетради А5 18л. СТАНДАРТ блок: 80 г/м2, обложка: мел. картон</t>
  </si>
  <si>
    <t xml:space="preserve">  Тетради А5 18л. СТАНДАРТ Fresh Line клетка</t>
  </si>
  <si>
    <t>ПП-00218733</t>
  </si>
  <si>
    <t>Тетрадь КЛЕТКА 18л. Fresh Line МИКС (Т18-2102) 80г/м2 цвет.мелов.обл., 5 диз. в спайке</t>
  </si>
  <si>
    <t>Т18-2102</t>
  </si>
  <si>
    <t>4670159121022</t>
  </si>
  <si>
    <t xml:space="preserve"> Тетради А5 18л. СТАНДАРТ Fresh Line линия</t>
  </si>
  <si>
    <t>ПП-00188663</t>
  </si>
  <si>
    <t>Тетрадь ЛИНИЯ 18л. Fresh Line МАЛИНА (Т18-6019) 80г/м2, цвет.мелов.обл.</t>
  </si>
  <si>
    <t>Т18-6019</t>
  </si>
  <si>
    <t>4620129760195</t>
  </si>
  <si>
    <t>ПП-00218735</t>
  </si>
  <si>
    <t>Тетрадь ЛИНИЯ 18л. Fresh Line МИКС (Т18-2103) 80г/м2 цвет.мелов.обл., 5 диз. в спайке</t>
  </si>
  <si>
    <t>Т18-2103</t>
  </si>
  <si>
    <t>4670159121039</t>
  </si>
  <si>
    <t>ПП-00188665</t>
  </si>
  <si>
    <t>Тетрадь ЛИНИЯ 18л. Fresh Line МЯТА (Т18-6021) 80г/м2, цвет.мелов.обл.</t>
  </si>
  <si>
    <t>Т18-6021</t>
  </si>
  <si>
    <t>4620129760218</t>
  </si>
  <si>
    <t>ПП-00188666</t>
  </si>
  <si>
    <t>Тетрадь ЛИНИЯ 18л. Fresh Line ЧЕРНИКА (Т18-6022) 80г/м2, цвет.мелов.обл.</t>
  </si>
  <si>
    <t>Т18-6022</t>
  </si>
  <si>
    <t>4620129760225</t>
  </si>
  <si>
    <t>Тетради А5 18л. СТАНДАРТ обложка - мелов.картон, холодная фольга, твин-лак, 5 дизайнов в спайке</t>
  </si>
  <si>
    <t>ПП-00200094</t>
  </si>
  <si>
    <t>Тетрадь КЛЕТКА 18л МИЛЫЕ ЕДИНОРОГИ-2 (Т18-3843)цвет.мелов.обл,хол.фольга,твин-лак,5 диз в сп СПАЙК15</t>
  </si>
  <si>
    <t>Т18-3843</t>
  </si>
  <si>
    <t>4620129738439</t>
  </si>
  <si>
    <t>ПП-00184544</t>
  </si>
  <si>
    <t>Тетрадь КЛЕТКА 18л. МИЛЫЕ ЕДИНОРОГИ-2 (Т18-3843) цвет.мелов.обл.,хол.фольга,твин-лак, 5 диз в спайке</t>
  </si>
  <si>
    <t>04 Тетради школьные 24л. скрепка А5 (170х203) в спайке - 25шт., ассорти из 5-ти дизайнов</t>
  </si>
  <si>
    <t>TМ"Profit"Тетради А5 24л. ЭКОНОМ-ВАРИАНТ обложка - мелованный картон, 5 дизайнов в спайке</t>
  </si>
  <si>
    <t>TМ"Profit"Тетради А5 24л. ЭКОНОМ-ВАРИАНТ линия</t>
  </si>
  <si>
    <t>ПП-00271461</t>
  </si>
  <si>
    <t>TМ"Profit"Тетрадь ЛИНИЯ 24л. ЗАБАВНЫЕ ЖИВОТНЫЕ - 10 (24-0870) обл.-мелов. картон, 5 диз в спайке</t>
  </si>
  <si>
    <t>24-0870</t>
  </si>
  <si>
    <t>4670159308706</t>
  </si>
  <si>
    <t>ПП-00271462</t>
  </si>
  <si>
    <t>TМ"Profit"Тетрадь ЛИНИЯ 24л. РАЗНЫЕ АВТОМОБИЛИ - 22 (24-0871) обл.-мелов. картон, 5 диз в спайке</t>
  </si>
  <si>
    <t>24-0871</t>
  </si>
  <si>
    <t>4670159308713</t>
  </si>
  <si>
    <t>ПП-00271460</t>
  </si>
  <si>
    <t>TМ"Profit"Тетрадь ЛИНИЯ 24л. ШКОЛЬНАЯ ТЕМАТИКА - 1 (24-0869) обл.-мелов. картон, 5 диз в спайке</t>
  </si>
  <si>
    <t>24-0869</t>
  </si>
  <si>
    <t>4670159308690</t>
  </si>
  <si>
    <t>Тетради  А5 24л. СТАНДАРТ обложка - мелов.картон без покрытия, 5 дизайнов в спайке</t>
  </si>
  <si>
    <t>Тетради  А5 24л. СТАНДАРТ клетка</t>
  </si>
  <si>
    <t>ПП-00212789</t>
  </si>
  <si>
    <t>Тетрадь КЛЕТКА 24л. КЛАССИКА NEW ГОЛУБАЯ (24-9272) цвет.мелов.обл., 1 дизайн в спайке</t>
  </si>
  <si>
    <t>24-9272</t>
  </si>
  <si>
    <t>4670159092728</t>
  </si>
  <si>
    <t>ПП-00212787</t>
  </si>
  <si>
    <t>Тетрадь КЛЕТКА 24л. КЛАССИКА NEW ЖЕЛТАЯ (24-9270) цвет.мелов.обл., 1 дизайн в спайке</t>
  </si>
  <si>
    <t>24-9270</t>
  </si>
  <si>
    <t>4670159092704</t>
  </si>
  <si>
    <t>ПП-00212790</t>
  </si>
  <si>
    <t>Тетрадь КЛЕТКА 24л. КЛАССИКА NEW ЗЕЛЕНАЯ (24-9273) цвет.мелов.обл., 1 дизайн в спайке</t>
  </si>
  <si>
    <t>24-9273</t>
  </si>
  <si>
    <t>4670159092735</t>
  </si>
  <si>
    <t>ПП-00212791</t>
  </si>
  <si>
    <t>Тетрадь КЛЕТКА 24л. КЛАССИКА NEW САЛАТОВАЯ (24-9274) цвет.мелов.обл., 1 дизайн в спайке</t>
  </si>
  <si>
    <t>24-9274</t>
  </si>
  <si>
    <t>4670159092742</t>
  </si>
  <si>
    <t>ПП-00212788</t>
  </si>
  <si>
    <t>Тетрадь КЛЕТКА 24л. КЛАССИКА NEW СИРЕНЕВАЯ (24-9271) цвет.мелов.обл., 1 дизайн в спайке</t>
  </si>
  <si>
    <t>24-9271</t>
  </si>
  <si>
    <t>4670159092711</t>
  </si>
  <si>
    <t>Тетради  А5 24л. СТАНДАРТ линия</t>
  </si>
  <si>
    <t>ПП-00244991</t>
  </si>
  <si>
    <t>Тетрадь ЛИНИЯ 24л. ДИЗАЙН С АБСТРАКЦИЕЙ (24-4297) цвет.мелов.обл.,5 дизайнов в спайке</t>
  </si>
  <si>
    <t>24-4297</t>
  </si>
  <si>
    <t>4670159242970</t>
  </si>
  <si>
    <t>ПП-00225804</t>
  </si>
  <si>
    <t>Тетрадь ЛИНИЯ 24л. ДОМАШНИЕ КОШЕЧКИ (24-5798) цвет.мелов.обл.,5 дизайнов в спайке</t>
  </si>
  <si>
    <t>24-5798</t>
  </si>
  <si>
    <t>4670159157984</t>
  </si>
  <si>
    <t>ПП-00212685</t>
  </si>
  <si>
    <t>Тетрадь ЛИНИЯ 24л. КЛАССИКА NEW (24-9216) цвет.мелов.обл., 1 дизайн в спайке, 5 диз. в коробке</t>
  </si>
  <si>
    <t>24-9216</t>
  </si>
  <si>
    <t>4670159092162</t>
  </si>
  <si>
    <t>ПП-00212794</t>
  </si>
  <si>
    <t>Тетрадь ЛИНИЯ 24л. КЛАССИКА NEW ГОЛУБАЯ (24-9277) цвет.мелов.обл., 1 дизайн в спайке</t>
  </si>
  <si>
    <t>24-9277</t>
  </si>
  <si>
    <t>4670159092773</t>
  </si>
  <si>
    <t>ПП-00212792</t>
  </si>
  <si>
    <t>Тетрадь ЛИНИЯ 24л. КЛАССИКА NEW ЖЕЛТАЯ (24-9275) цвет.мелов.обл., 1 дизайн в спайке</t>
  </si>
  <si>
    <t>24-9275</t>
  </si>
  <si>
    <t>4670159092759</t>
  </si>
  <si>
    <t>ПП-00212795</t>
  </si>
  <si>
    <t>Тетрадь ЛИНИЯ 24л. КЛАССИКА NEW ЗЕЛЕНАЯ (24-9278) цвет.мелов.обл., 1 дизайн в спайке</t>
  </si>
  <si>
    <t>24-9278</t>
  </si>
  <si>
    <t>4670159092780</t>
  </si>
  <si>
    <t>ПП-00212796</t>
  </si>
  <si>
    <t>Тетрадь ЛИНИЯ 24л. КЛАССИКА NEW САЛАТОВАЯ (24-9279) цвет.мелов.обл., 1 дизайн в спайке</t>
  </si>
  <si>
    <t>24-9279</t>
  </si>
  <si>
    <t>4670159092797</t>
  </si>
  <si>
    <t>ПП-00212793</t>
  </si>
  <si>
    <t>Тетрадь ЛИНИЯ 24л. КЛАССИКА NEW СИРЕНЕВАЯ (24-9276) цвет.мелов.обл., 1 дизайн в спайке</t>
  </si>
  <si>
    <t>24-9276</t>
  </si>
  <si>
    <t>4670159092766</t>
  </si>
  <si>
    <t>Тетради А5 24л. СТАНДАРТ plastic cover</t>
  </si>
  <si>
    <t>Тетради А5 24л. СТАНДАРТ прозрач.пласт.обл. мелованный вкладыш</t>
  </si>
  <si>
    <t>Тетради А5 24л. СТАНДАРТ прозрач. обл. клетка</t>
  </si>
  <si>
    <t>ПП-00237687</t>
  </si>
  <si>
    <t>Тетрадь КЛЕТКА 24л. проз.пласт.обл. plastic cover КЛАССИКА NEW (24-1405) ассорти 5 цветов</t>
  </si>
  <si>
    <t>24-1405</t>
  </si>
  <si>
    <t>4670159214052</t>
  </si>
  <si>
    <t>ПП-00237689</t>
  </si>
  <si>
    <t>Тетрадь КЛЕТКА 24л. проз.пласт.обл. plastic cover КЛАССИКА NEW ГОЛУБАЯ (24-1406) 1 дизайн</t>
  </si>
  <si>
    <t>24-1406</t>
  </si>
  <si>
    <t>4670159214069</t>
  </si>
  <si>
    <t>ПП-00237690</t>
  </si>
  <si>
    <t>Тетрадь КЛЕТКА 24л. проз.пласт.обл. plastic cover КЛАССИКА NEW ЖЕЛТАЯ (24-1407) 1 дизайн</t>
  </si>
  <si>
    <t>24-1407</t>
  </si>
  <si>
    <t>4670159214076</t>
  </si>
  <si>
    <t>ПП-00237691</t>
  </si>
  <si>
    <t>Тетрадь КЛЕТКА 24л. проз.пласт.обл. plastic cover КЛАССИКА NEW ЗЕЛЕНАЯ (24-1408) 1 дизайн</t>
  </si>
  <si>
    <t>24-1408</t>
  </si>
  <si>
    <t>4670159214083</t>
  </si>
  <si>
    <t>ПП-00237692</t>
  </si>
  <si>
    <t>Тетрадь КЛЕТКА 24л. проз.пласт.обл. plastic cover КЛАССИКА NEW САЛАТОВАЯ (24-1409) 1 дизайн</t>
  </si>
  <si>
    <t>24-1409</t>
  </si>
  <si>
    <t>4670159214090</t>
  </si>
  <si>
    <t>ПП-00237694</t>
  </si>
  <si>
    <t>Тетрадь КЛЕТКА 24л. проз.пласт.обл. plastic cover КЛАССИКА NEW СИРЕНЕВАЯ (24-1410) 1 дизайн</t>
  </si>
  <si>
    <t>24-1410</t>
  </si>
  <si>
    <t>4670159214106</t>
  </si>
  <si>
    <t>Тетради А5 24л. СТАНДАРТ прозрач. обл. линия</t>
  </si>
  <si>
    <t>ПП-00237695</t>
  </si>
  <si>
    <t>Тетрадь ЛИНИЯ 24л. проз.пласт.обл. plastic cover КЛАССИКА NEW (24-1411) ассорти 5 цветов</t>
  </si>
  <si>
    <t>24-1411</t>
  </si>
  <si>
    <t>4670159214113</t>
  </si>
  <si>
    <t>ПП-00237696</t>
  </si>
  <si>
    <t>Тетрадь ЛИНИЯ 24л. проз.пласт.обл. plastic cover КЛАССИКА NEW ГОЛУБАЯ (24-1412) 1 дизайн</t>
  </si>
  <si>
    <t>24-1412</t>
  </si>
  <si>
    <t>4670159214120</t>
  </si>
  <si>
    <t>ПП-00237697</t>
  </si>
  <si>
    <t>Тетрадь ЛИНИЯ 24л. проз.пласт.обл. plastic cover КЛАССИКА NEW ЖЕЛТАЯ (24-1413) 1 дизайн</t>
  </si>
  <si>
    <t>24-1413</t>
  </si>
  <si>
    <t>4670159214137</t>
  </si>
  <si>
    <t>ПП-00237698</t>
  </si>
  <si>
    <t>Тетрадь ЛИНИЯ 24л. проз.пласт.обл. plastic cover КЛАССИКА NEW ЗЕЛЕНАЯ (24-1414) 1 дизайн</t>
  </si>
  <si>
    <t>24-1414</t>
  </si>
  <si>
    <t>4670159214144</t>
  </si>
  <si>
    <t>ПП-00237699</t>
  </si>
  <si>
    <t>Тетрадь ЛИНИЯ 24л. проз.пласт.обл. plastic cover КЛАССИКА NEW САЛАТОВАЯ (24-1415) 1 дизайн</t>
  </si>
  <si>
    <t>24-1415</t>
  </si>
  <si>
    <t>4670159214151</t>
  </si>
  <si>
    <t>ПП-00237700</t>
  </si>
  <si>
    <t>Тетрадь ЛИНИЯ 24л. проз.пласт.обл. plastic cover КЛАССИКА NEW СИРЕНЕВАЯ (24-1416) 1 дизайн</t>
  </si>
  <si>
    <t>24-1416</t>
  </si>
  <si>
    <t>4670159214168</t>
  </si>
  <si>
    <t>Тетради А5 24л. СТАНДАРТ цветн.пласт.обл., офсетный вкладыш</t>
  </si>
  <si>
    <t>Тетради А5 24л. СТАНДАРТ цветн. обл. клетка</t>
  </si>
  <si>
    <t>ПП-00237663</t>
  </si>
  <si>
    <t>Тетрадь КЛЕТКА 24л. цвет.пласт.обл. plastic cover НЕОН (24-1342) ассорти 5 цветов</t>
  </si>
  <si>
    <t>24-1342</t>
  </si>
  <si>
    <t>4670159213420</t>
  </si>
  <si>
    <t>ПП-00237667</t>
  </si>
  <si>
    <t>Тетрадь КЛЕТКА 24л. цвет.пласт.обл. plastic cover НЕОН GREEN (24-1346) 1 дизайн</t>
  </si>
  <si>
    <t>24-1346</t>
  </si>
  <si>
    <t>4670159213468</t>
  </si>
  <si>
    <t>ПП-00237668</t>
  </si>
  <si>
    <t>Тетрадь КЛЕТКА 24л. цвет.пласт.обл. plastic cover НЕОН YELLOW (24-1347) 1 дизайн</t>
  </si>
  <si>
    <t>24-1347</t>
  </si>
  <si>
    <t>4670159213475</t>
  </si>
  <si>
    <t>ПП-00237650</t>
  </si>
  <si>
    <t>Тетрадь КЛЕТКА 24л. цвет.пласт.обл. plastic cover ПАСТЕЛЬ (24-1281) ассорти 5 цветов</t>
  </si>
  <si>
    <t>24-1281</t>
  </si>
  <si>
    <t>4670159212799</t>
  </si>
  <si>
    <t>ПП-00237656</t>
  </si>
  <si>
    <t>Тетрадь КЛЕТКА 24л. цвет.пласт.обл. plastic cover ПАСТЕЛЬ YELLOW (24-1286) 1 дизайн</t>
  </si>
  <si>
    <t>24-1286</t>
  </si>
  <si>
    <t>4670159212843</t>
  </si>
  <si>
    <t>Тетради А5 24л. СТАНДАРТ цветн. обл. линия</t>
  </si>
  <si>
    <t>ПП-00237671</t>
  </si>
  <si>
    <t>Тетрадь ЛИНИЯ 24л. цвет.пласт.обл. plastic cover НЕОН ORANGE (24-1350) 1 дизайн</t>
  </si>
  <si>
    <t>24-1350</t>
  </si>
  <si>
    <t>4670159213505</t>
  </si>
  <si>
    <t>ПП-00237660</t>
  </si>
  <si>
    <t>Тетрадь ЛИНИЯ 24л. цвет.пласт.обл. plastic cover ПАСТЕЛЬ BLUE (24-1290) 1 дизайн</t>
  </si>
  <si>
    <t>24-1290</t>
  </si>
  <si>
    <t>4670159212881</t>
  </si>
  <si>
    <t>ПП-00237661</t>
  </si>
  <si>
    <t>Тетрадь ЛИНИЯ 24л. цвет.пласт.обл. plastic cover ПАСТЕЛЬ GREEN (24-1291) 1 дизайн</t>
  </si>
  <si>
    <t>24-1291</t>
  </si>
  <si>
    <t>4670159212898</t>
  </si>
  <si>
    <t>ПП-00237662</t>
  </si>
  <si>
    <t>Тетрадь ЛИНИЯ 24л. цвет.пласт.обл. plastic cover ПАСТЕЛЬ YELLOW (24-1292) 1 дизайн</t>
  </si>
  <si>
    <t>24-1292</t>
  </si>
  <si>
    <t>4670159212904</t>
  </si>
  <si>
    <t>Тетради А5 24л. СТАНДАРТ блок: 80 г/м2, обложка: мел. картон</t>
  </si>
  <si>
    <t xml:space="preserve">  Тетради А5 24л. СТАНДАРТ Fresh Line клетка</t>
  </si>
  <si>
    <t>ПП-00217748</t>
  </si>
  <si>
    <t>Тетрадь КЛЕТКА 24л. Fresh Line МАЛИНА (Т24-1753) 80г/м2, цвет.мелов.обл.</t>
  </si>
  <si>
    <t>Т24-1753</t>
  </si>
  <si>
    <t>4670159117537</t>
  </si>
  <si>
    <t xml:space="preserve"> Тетради А5 24л. СТАНДАРТ Fresh Line линия</t>
  </si>
  <si>
    <t>ПП-00217761</t>
  </si>
  <si>
    <t>Тетрадь ЛИНИЯ 24л. Fresh Line ГОЛУБИКА (Т24-1760) 80г/м2, цвет.мелов.обл.</t>
  </si>
  <si>
    <t>Т24-1760</t>
  </si>
  <si>
    <t>4670159117605</t>
  </si>
  <si>
    <t>ПП-00217757</t>
  </si>
  <si>
    <t xml:space="preserve">Тетрадь ЛИНИЯ 24л. Fresh Line ЛИМОН (Т24-1758) 80г/м2, цвет.мелов.обл. </t>
  </si>
  <si>
    <t>Т24-1758</t>
  </si>
  <si>
    <t>4670159117582</t>
  </si>
  <si>
    <t>ПП-00217759</t>
  </si>
  <si>
    <t>Тетрадь ЛИНИЯ 24л. Fresh Line МАЛИНА (Т24-1759) 80г/м2, цвет.мелов.обл.</t>
  </si>
  <si>
    <t>Т24-1759</t>
  </si>
  <si>
    <t>4670159117599</t>
  </si>
  <si>
    <t>ПП-00218739</t>
  </si>
  <si>
    <t>Тетрадь ЛИНИЯ 24л. Fresh Line МИКС (Т24-2105) 80г/м2 цвет.мелов.обл., 5 диз. в спайке</t>
  </si>
  <si>
    <t>Т24-2105</t>
  </si>
  <si>
    <t>4670159121053</t>
  </si>
  <si>
    <t>ПП-00217763</t>
  </si>
  <si>
    <t>Тетрадь ЛИНИЯ 24л. Fresh Line МЯТА (Т24-1761) 80г/м2, цвет.мелов.обл.</t>
  </si>
  <si>
    <t>4670159117612</t>
  </si>
  <si>
    <t>ПП-00217765</t>
  </si>
  <si>
    <t>Тетрадь ЛИНИЯ 24л. Fresh Line ЧЕРНИКА (Т24-1762) 80г/м2, цвет.мелов.обл.</t>
  </si>
  <si>
    <t>4670159117629</t>
  </si>
  <si>
    <t>ТЕТРАДИ ОБЩИЕ А5</t>
  </si>
  <si>
    <t>05 Тетради общие 36л. скрепка А5 (170х203) в коробке - 120шт.</t>
  </si>
  <si>
    <t xml:space="preserve">  TМ"Remix"Тетради А5 36л. СУПЕР ЭКОНОМ (обложка- мелов картон, второй блок)</t>
  </si>
  <si>
    <t>ПП-00197723</t>
  </si>
  <si>
    <t>TМ"Remix"Тетрадь КЛЕТКА 36л. АРХИТЕКТУРА В ДЕТАЛЯХ (36-0395) (обл.- мелов. картон, второй блок)</t>
  </si>
  <si>
    <t>36-0395</t>
  </si>
  <si>
    <t>4670159003953</t>
  </si>
  <si>
    <t>ПП-00225762</t>
  </si>
  <si>
    <t>TМ"Remix"Тетрадь КЛЕТКА 36л. ГОРОДСКОЙ МИКС (36-5768) (обл.- мелов. картон, второй блок)</t>
  </si>
  <si>
    <t>36-5768</t>
  </si>
  <si>
    <t>4670159157687</t>
  </si>
  <si>
    <t>ПП-00225758</t>
  </si>
  <si>
    <t>TМ"Remix"Тетрадь КЛЕТКА 36л. НОЧНОЙ АВТОМОБИЛЬ (36-5765) (обл.- мелов. картон, второй блок)</t>
  </si>
  <si>
    <t>36-5765</t>
  </si>
  <si>
    <t>4670159157656</t>
  </si>
  <si>
    <t>ПП-00197725</t>
  </si>
  <si>
    <t>TМ"Remix"Тетрадь КЛЕТКА 36л. ОЧАРОВАНИЕ ПРИРОДЫ - 2 (36-0397) (обл.- мелов. картон, второй блок)</t>
  </si>
  <si>
    <t>36-0397</t>
  </si>
  <si>
    <t>4670159003977</t>
  </si>
  <si>
    <t>ПП-00225761</t>
  </si>
  <si>
    <t>TМ"Remix"Тетрадь КЛЕТКА 36л. ПРИРОДА НА КАРТИНЕ (36-5767) (обл.- мелов. картон, второй блок)</t>
  </si>
  <si>
    <t>36-5767</t>
  </si>
  <si>
    <t>4670159157670</t>
  </si>
  <si>
    <t>ПП-00197721</t>
  </si>
  <si>
    <t>TМ"Remix"Тетрадь КЛЕТКА 36л. ЭКСКЛЮЗИВНЫЕ ГИПЕРКАРЫ (36-0393) (обл.- мелов. картон, второй блок)</t>
  </si>
  <si>
    <t>36-0393</t>
  </si>
  <si>
    <t>4670159003939</t>
  </si>
  <si>
    <t>07 Тетради общие 48л. скрепка А5 (170х203) в спайке-10шт.</t>
  </si>
  <si>
    <t>01 TM "Legend" Брошюры для записей А5 48л.</t>
  </si>
  <si>
    <t>TM "Legend" Брошюры для записей А5 48 л. обложка- цвет.мелов., второй блок</t>
  </si>
  <si>
    <t>ПП-00060635</t>
  </si>
  <si>
    <t>TM "Legend" Брошюра для записей КЛЕТКА 48 л. МАШИНА-8 (48-3856) цвет.мел.обл.,4 диз в кор,втор. блок</t>
  </si>
  <si>
    <t>48-3856</t>
  </si>
  <si>
    <t>4665299638561</t>
  </si>
  <si>
    <t>03 TМ"Remix" Тетради А5 48л. евро (145х203) СУПЕР ЭКОНОМ (обложка- цвет. мелов., второй блок)</t>
  </si>
  <si>
    <t>ПП-00149170</t>
  </si>
  <si>
    <t>TМ"Remix" Тетрадь КЛЕТКА 48л. ИГРИВЫЕ КОТИКИ (48-3943) обл-цвет. мелов., второй блок 145х203</t>
  </si>
  <si>
    <t>ПП-00149168</t>
  </si>
  <si>
    <t>TМ"Remix" Тетрадь КЛЕТКА 48л. КРЕАТИВНЫЙ ДИЗАЙН(48-3941) обл-цвет. мелов., второй блок 145х203</t>
  </si>
  <si>
    <t>48-3941</t>
  </si>
  <si>
    <t>4680088439419</t>
  </si>
  <si>
    <t>ПП-00149171</t>
  </si>
  <si>
    <t>TМ"Remix" Тетрадь КЛЕТКА 48л. ЭКСКЛЮЗИВНЫЕ АВТОМОБИЛИ(48-3944) обл-цвет. мелов., второй блок 145х203</t>
  </si>
  <si>
    <t>48-3944</t>
  </si>
  <si>
    <t>4680088439440</t>
  </si>
  <si>
    <t>05 TМ"Remix" Тетради А5 48л. СУПЕР ЭКОНОМ (обл - цвет. мелов., второй блок)</t>
  </si>
  <si>
    <t>ПП-00222418</t>
  </si>
  <si>
    <t>TМ"Remix"Тетрадь КЛЕТКА 48л. АБСТРАКТНЫЕ БУКВЫ (48-3906) (обл. - цвет. мелов., второй блок)</t>
  </si>
  <si>
    <t>48-3906</t>
  </si>
  <si>
    <t>4670159139065</t>
  </si>
  <si>
    <t>ПП-00200327</t>
  </si>
  <si>
    <t>TМ"Remix"Тетрадь КЛЕТКА 48л. ДЕВЧОНКИ ИЗ АНИМЕ (48-1876) (обл. - цвет. мелов., второй блок)</t>
  </si>
  <si>
    <t>48-1876</t>
  </si>
  <si>
    <t>4670159018766</t>
  </si>
  <si>
    <t>ПП-00200332</t>
  </si>
  <si>
    <t>TМ"Remix"Тетрадь КЛЕТКА 48л. ЖИВОТНЫЕ И КАМУФЛЯЖ (48-1881) (обл. - цвет. мелов., второй блок)</t>
  </si>
  <si>
    <t>48-1881</t>
  </si>
  <si>
    <t>4670159018810</t>
  </si>
  <si>
    <t>ПП-00246757</t>
  </si>
  <si>
    <t>TМ"Remix"Тетрадь КЛЕТКА 48л. РАЗНЫЕ МОТОЦИКЛЫ (Т48-4861) (обл. - цвет. мелов., второй блок)</t>
  </si>
  <si>
    <t>Т48-4861</t>
  </si>
  <si>
    <t>4670159248613</t>
  </si>
  <si>
    <t>ПП-00180429</t>
  </si>
  <si>
    <t>TМ"Remix"Тетрадь КЛЕТКА 48л. ТАЧКИ ДЛЯ БЕЗДОРОЖЬЯ (48-5048) (обл. - цвет. мелов., второй блок)</t>
  </si>
  <si>
    <t>48-5048</t>
  </si>
  <si>
    <t>4620129720489</t>
  </si>
  <si>
    <t>06 TМ "Profit" Тетради А5 48л. ЭКОНОМ-ВАРИАНТ (обложка- цветная мелован)</t>
  </si>
  <si>
    <t>ПП-00135664</t>
  </si>
  <si>
    <t xml:space="preserve">      TМ"Profit"Тетрадь ЛИНИЯ 48л. КРАСНАЯ КЛАССИКА  (48-0225) цвет. мелов. обл.</t>
  </si>
  <si>
    <t>48-0225</t>
  </si>
  <si>
    <t>4680088402253</t>
  </si>
  <si>
    <t>ПП-00243837</t>
  </si>
  <si>
    <t xml:space="preserve">   TМ"Profit"Тетрадь КЛЕТКА 48л.ГЕРБЫ (48-3798) цвет. мелов. обл.</t>
  </si>
  <si>
    <t>48-3798</t>
  </si>
  <si>
    <t>4670159237983</t>
  </si>
  <si>
    <t>ПП-00243835</t>
  </si>
  <si>
    <t xml:space="preserve">   TМ"Profit"Тетрадь КЛЕТКА 48л.ДОМАШНИЕ КОТИКИ - 1 (48-3796) цвет. мелов. обл.</t>
  </si>
  <si>
    <t>48-3796</t>
  </si>
  <si>
    <t>4670159237969</t>
  </si>
  <si>
    <t>ПП-00243836</t>
  </si>
  <si>
    <t xml:space="preserve">   TМ"Profit"Тетрадь КЛЕТКА 48л.КОНЦЕПТУАЛЬНЫЕ АБСТРАКЦИИ (48-3797) цвет. мелов. обл.</t>
  </si>
  <si>
    <t>48-3797</t>
  </si>
  <si>
    <t>4670159237976</t>
  </si>
  <si>
    <t>ПП-00243834</t>
  </si>
  <si>
    <t xml:space="preserve">   TМ"Profit"Тетрадь КЛЕТКА 48л.ПРИРОДНЫЙ МИКС (48-3795) цвет. мелов. обл.</t>
  </si>
  <si>
    <t>48-3795</t>
  </si>
  <si>
    <t>4670159237952</t>
  </si>
  <si>
    <t>ПП-00262671</t>
  </si>
  <si>
    <t>TМ"Profit"Тетрадь А5 КЛЕТКА 48л. РАЗНЫЕ АВТОМОБИЛИ -15 (48-9050) цвет. мелов. обл.</t>
  </si>
  <si>
    <t>48-9050</t>
  </si>
  <si>
    <t>4670159290315</t>
  </si>
  <si>
    <t>ПП-00262675</t>
  </si>
  <si>
    <t>TМ"Profit"Тетрадь А5 КЛЕТКА 48л. ЦВЕТОЧНЫЙ ПАТТЕРН - 16 (48-9054) цвет. мелов. обл.</t>
  </si>
  <si>
    <t>48-9054</t>
  </si>
  <si>
    <t>4670159290353</t>
  </si>
  <si>
    <t>ПП-00263346</t>
  </si>
  <si>
    <t>TМ"Profit"Тетрадь КЛЕТКА 48л. ДОЖДЬ В ГОРОДЕ (Т48-9139) цвет. мелов. обл.</t>
  </si>
  <si>
    <t>Т48-9139</t>
  </si>
  <si>
    <t>4670159291398</t>
  </si>
  <si>
    <t>ПП-00263335</t>
  </si>
  <si>
    <t>TМ"Profit"Тетрадь КЛЕТКА 48л. ЗЕЛЁНАЯ КЛАССИКА - 4 (Т48-9130) цвет. мелов. обл.</t>
  </si>
  <si>
    <t>Т48-9130</t>
  </si>
  <si>
    <t>4670159291305</t>
  </si>
  <si>
    <t>ПП-00263348</t>
  </si>
  <si>
    <t>TМ"Profit"Тетрадь КЛЕТКА 48л. ОСТРОУМИЕ (Т48-9141) цвет. мелов. обл.</t>
  </si>
  <si>
    <t>Т48-9141</t>
  </si>
  <si>
    <t>4670159291411</t>
  </si>
  <si>
    <t>08 Тетради  А5 48л. СТАНДАРТ (обложка- мелов.картон без покрытия)</t>
  </si>
  <si>
    <t>ПП-00261775</t>
  </si>
  <si>
    <t>Тетрадь КЛЕТКА 48л. PASTEL VIBE (48-8840) цветная мелованная обл., 5 дизайнов в спайке</t>
  </si>
  <si>
    <t>48-8840</t>
  </si>
  <si>
    <t>4670159288404</t>
  </si>
  <si>
    <t>ПП-00262724</t>
  </si>
  <si>
    <t>Тетрадь КЛЕТКА 48л. ЗАБАВНЫЕ ФРАЗЫ - 1 (48-2124) цветная мелованная обложка</t>
  </si>
  <si>
    <t>48-2124</t>
  </si>
  <si>
    <t>4670159290490</t>
  </si>
  <si>
    <t>ПП-00230744</t>
  </si>
  <si>
    <t>Тетрадь КЛЕТКА 48л. КЛАССИКА NEW ГОЛУБАЯ (48-7970) цвет.мелов.обл., 1 дизайн в спайке</t>
  </si>
  <si>
    <t>48-7970</t>
  </si>
  <si>
    <t>4670159179702</t>
  </si>
  <si>
    <t>ПП-00230746</t>
  </si>
  <si>
    <t>Тетрадь КЛЕТКА 48л. КЛАССИКА NEW ЖЕЛТАЯ (48-7971) цвет.мелов.обл., 1 дизайн в спайке</t>
  </si>
  <si>
    <t>48-7971</t>
  </si>
  <si>
    <t>4670159179719</t>
  </si>
  <si>
    <t>ПП-00230747</t>
  </si>
  <si>
    <t>Тетрадь КЛЕТКА 48л. КЛАССИКА NEW ЗЕЛЕНАЯ (48-7972) цвет.мелов.обл., 1 дизайн в спайке</t>
  </si>
  <si>
    <t>48-7972</t>
  </si>
  <si>
    <t>4670159179726</t>
  </si>
  <si>
    <t>ПП-00230749</t>
  </si>
  <si>
    <t>Тетрадь КЛЕТКА 48л. КЛАССИКА NEW САЛАТОВАЯ (48-7973) цвет.мелов.обл., 1 дизайн в спайке</t>
  </si>
  <si>
    <t>48-7973</t>
  </si>
  <si>
    <t>4670159179733</t>
  </si>
  <si>
    <t>ПП-00230752</t>
  </si>
  <si>
    <t>Тетрадь КЛЕТКА 48л. КЛАССИКА NEW СИРЕНЕВАЯ (48-7974) цвет.мелов.обл., 1 дизайн в спайке</t>
  </si>
  <si>
    <t>48-7974</t>
  </si>
  <si>
    <t>4670159179740</t>
  </si>
  <si>
    <t>ПП-00222444</t>
  </si>
  <si>
    <t>Тетрадь КЛЕТКА 48л. МАШИНЫ И СКОРОСТЬ (48-4805) цветная мелованная обложка</t>
  </si>
  <si>
    <t>48-4805</t>
  </si>
  <si>
    <t>4670159139348</t>
  </si>
  <si>
    <t>ПП-00265980</t>
  </si>
  <si>
    <t>Тетрадь КЛЕТКА 48л. МИРОВЫЕ ШЕДЕВРЫ АРХИТЕКТУРЫ (48-9750) цветная мелованная обложка</t>
  </si>
  <si>
    <t>48-9750</t>
  </si>
  <si>
    <t>4670159297635</t>
  </si>
  <si>
    <t>ПП-00263356</t>
  </si>
  <si>
    <t>Тетрадь КЛЕТКА 48л. НЕЖНЫЕ ЦВЕТЫ (Т48-9126) цветная мелованная обл., 5 дизайнов в спайке</t>
  </si>
  <si>
    <t>Т48-9126</t>
  </si>
  <si>
    <t>4670159291268</t>
  </si>
  <si>
    <t>ПП-00263355</t>
  </si>
  <si>
    <t>Тетрадь КЛЕТКА 48л. ОДНОТОННАЯ КЛАССИКА (Т48-9125) цветная мелованная обл., 5 дизайнов в спайке</t>
  </si>
  <si>
    <t>Т48-9125</t>
  </si>
  <si>
    <t>4670159291251</t>
  </si>
  <si>
    <t>ПП-00262720</t>
  </si>
  <si>
    <t>Тетрадь КЛЕТКА 48л.ОДНОТОННЫЕ ДИЗАЙНЫ - 3 (48-2121) цветная мелованная обложка</t>
  </si>
  <si>
    <t>48-2121</t>
  </si>
  <si>
    <t>4670159290469</t>
  </si>
  <si>
    <t>ПП-00230753</t>
  </si>
  <si>
    <t>Тетрадь ЛИНИЯ 48л. КЛАССИКА NEW (48-7975) цвет.мелов.обл., 1 дизайн в спайке, 5 диз. в коробке</t>
  </si>
  <si>
    <t>48-7975</t>
  </si>
  <si>
    <t>4670159179757</t>
  </si>
  <si>
    <t>09 Тетради А5 48л. СТАНДАРТ plastic cover</t>
  </si>
  <si>
    <t>Тетради А5 48л. СТАНДАРТ прозрач.пласт.обл. мелованный вкладыш</t>
  </si>
  <si>
    <t>ПП-00237768</t>
  </si>
  <si>
    <t>Тетрадь КЛЕТКА 48л. проз.пласт.обл. plastic cover КЛАССИКА NEW ГОЛУБАЯ (48-1471) 1 дизайн</t>
  </si>
  <si>
    <t>48-1471</t>
  </si>
  <si>
    <t>4670159214182</t>
  </si>
  <si>
    <t>ПП-00237769</t>
  </si>
  <si>
    <t>Тетрадь КЛЕТКА 48л. проз.пласт.обл. plastic cover КЛАССИКА NEW ЖЕЛТАЯ (48-1472) 1 дизайн</t>
  </si>
  <si>
    <t>48-1472</t>
  </si>
  <si>
    <t>4670159214199</t>
  </si>
  <si>
    <t>ПП-00237770</t>
  </si>
  <si>
    <t>Тетрадь КЛЕТКА 48л. проз.пласт.обл. plastic cover КЛАССИКА NEW ЗЕЛЕНАЯ (48-1473) 1 дизайн</t>
  </si>
  <si>
    <t>48-1473</t>
  </si>
  <si>
    <t>4670159214205</t>
  </si>
  <si>
    <t>ПП-00237771</t>
  </si>
  <si>
    <t>Тетрадь КЛЕТКА 48л. проз.пласт.обл. plastic cover КЛАССИКА NEW САЛАТОВАЯ (48-1474) 1 дизайн</t>
  </si>
  <si>
    <t>48-1474</t>
  </si>
  <si>
    <t>4670159214212</t>
  </si>
  <si>
    <t>ПП-00237772</t>
  </si>
  <si>
    <t>Тетрадь КЛЕТКА 48л. проз.пласт.обл. plastic cover КЛАССИКА NEW СИРЕНЕВАЯ (48-1475) 1 дизайн</t>
  </si>
  <si>
    <t>48-1475</t>
  </si>
  <si>
    <t>4670159214229</t>
  </si>
  <si>
    <t>ПП-00237773</t>
  </si>
  <si>
    <t>Тетрадь ЛИНИЯ 48л. проз.пласт.обл. plastic cover КЛАССИКА NEW (48-1476) ассорти 5 цветов</t>
  </si>
  <si>
    <t>48-1476</t>
  </si>
  <si>
    <t>4670159214236</t>
  </si>
  <si>
    <t>ПП-00237774</t>
  </si>
  <si>
    <t>Тетрадь ЛИНИЯ 48л. проз.пласт.обл. plastic cover КЛАССИКА NEW ГОЛУБАЯ (48-1477) 1 дизайн</t>
  </si>
  <si>
    <t>48-1477</t>
  </si>
  <si>
    <t>4670159214243</t>
  </si>
  <si>
    <t>ПП-00237775</t>
  </si>
  <si>
    <t>Тетрадь ЛИНИЯ 48л. проз.пласт.обл. plastic cover КЛАССИКА NEW ЖЕЛТАЯ (48-1478) 1 дизайн</t>
  </si>
  <si>
    <t>48-1478</t>
  </si>
  <si>
    <t>4670159214250</t>
  </si>
  <si>
    <t>ПП-00237776</t>
  </si>
  <si>
    <t>Тетрадь ЛИНИЯ 48л. проз.пласт.обл. plastic cover КЛАССИКА NEW ЗЕЛЕНАЯ (48-1479) 1 дизайн</t>
  </si>
  <si>
    <t>48-1479</t>
  </si>
  <si>
    <t>4670159214267</t>
  </si>
  <si>
    <t>ПП-00237777</t>
  </si>
  <si>
    <t>Тетрадь ЛИНИЯ 48л. проз.пласт.обл. plastic cover КЛАССИКА NEW САЛАТОВАЯ (48-1480) 1 дизайн</t>
  </si>
  <si>
    <t>48-1480</t>
  </si>
  <si>
    <t>4670159214274</t>
  </si>
  <si>
    <t>ПП-00237778</t>
  </si>
  <si>
    <t>Тетрадь ЛИНИЯ 48л. проз.пласт.обл. plastic cover КЛАССИКА NEW СИРЕНЕВАЯ (48-1481) 1 дизайн</t>
  </si>
  <si>
    <t>48-1481</t>
  </si>
  <si>
    <t>4670159214281</t>
  </si>
  <si>
    <t>Тетради А5 48л. СТАНДАРТ цветн.пласт.обл., офсетный вкладыш</t>
  </si>
  <si>
    <t>ПП-00237721</t>
  </si>
  <si>
    <t>Тетрадь КЛЕТКА 48л. цвет.пласт.обл. plastic cover НЕОН MAGENTA (48-1372) 1 дизайн</t>
  </si>
  <si>
    <t>48-1372</t>
  </si>
  <si>
    <t>4670159213550</t>
  </si>
  <si>
    <t>ПП-00237726</t>
  </si>
  <si>
    <t>Тетрадь КЛЕТКА 48л. цвет.пласт.обл. plastic cover НЕОН YELLOW (48-1376) 1 дизайн</t>
  </si>
  <si>
    <t>48-1376</t>
  </si>
  <si>
    <t>4670159213598</t>
  </si>
  <si>
    <t>ПП-00237711</t>
  </si>
  <si>
    <t>Тетрадь КЛЕТКА 48л. цвет.пласт.обл. plastic cover ПАСТЕЛЬ GREEN (48-1348) 1 дизайн</t>
  </si>
  <si>
    <t>48-1348</t>
  </si>
  <si>
    <t>4670159212959</t>
  </si>
  <si>
    <t>ПП-00237707</t>
  </si>
  <si>
    <t>Тетрадь КЛЕТКА 48л. цвет.пласт.обл. plastic cover ПАСТЕЛЬ VIOLET (48-1346) 1 дизайн</t>
  </si>
  <si>
    <t>48-1346</t>
  </si>
  <si>
    <t>4670159212935</t>
  </si>
  <si>
    <t>ПП-00237712</t>
  </si>
  <si>
    <t>Тетрадь КЛЕТКА 48л. цвет.пласт.обл. plastic cover ПАСТЕЛЬ YELLOW (48-1349) 1 дизайн</t>
  </si>
  <si>
    <t>48-1349</t>
  </si>
  <si>
    <t>4670159212966</t>
  </si>
  <si>
    <t>ПП-00237764</t>
  </si>
  <si>
    <t>Тетрадь ЛИНИЯ 48л. цвет.пласт.обл. plastic cover НЕОН BLUE (48-1380) 1 дизайн</t>
  </si>
  <si>
    <t>48-1380</t>
  </si>
  <si>
    <t>4670159213635</t>
  </si>
  <si>
    <t>ПП-00237765</t>
  </si>
  <si>
    <t>Тетрадь ЛИНИЯ 48л. цвет.пласт.обл. plastic cover НЕОН GREEN (48-1381) 1 дизайн</t>
  </si>
  <si>
    <t>48-1381</t>
  </si>
  <si>
    <t>4670159213642</t>
  </si>
  <si>
    <t>ПП-00237729</t>
  </si>
  <si>
    <t>Тетрадь ЛИНИЯ 48л. цвет.пласт.обл. plastic cover НЕОН MAGENTA (48-1378) 1 дизайн</t>
  </si>
  <si>
    <t>48-1378</t>
  </si>
  <si>
    <t>4670159213611</t>
  </si>
  <si>
    <t>ПП-00237730</t>
  </si>
  <si>
    <t>Тетрадь ЛИНИЯ 48л. цвет.пласт.обл. plastic cover НЕОН ORANGE (48-1379) 1 дизайн</t>
  </si>
  <si>
    <t>48-1379</t>
  </si>
  <si>
    <t>4670159213628</t>
  </si>
  <si>
    <t>ПП-00237766</t>
  </si>
  <si>
    <t>Тетрадь ЛИНИЯ 48л. цвет.пласт.обл. plastic cover НЕОН YELLOW (48-1382) 1 дизайн</t>
  </si>
  <si>
    <t>48-1382</t>
  </si>
  <si>
    <t>4670159213659</t>
  </si>
  <si>
    <t>ПП-00237714</t>
  </si>
  <si>
    <t>Тетрадь ЛИНИЯ 48л. цвет.пласт.обл. plastic cover ПАСТЕЛЬ (48-1350) ассорти 5 цветов</t>
  </si>
  <si>
    <t>48-1350</t>
  </si>
  <si>
    <t>4670159212973</t>
  </si>
  <si>
    <t>ПП-00237717</t>
  </si>
  <si>
    <t>Тетрадь ЛИНИЯ 48л. цвет.пласт.обл. plastic cover ПАСТЕЛЬ BLUE (48-1353) 1 дизайн</t>
  </si>
  <si>
    <t>48-1353</t>
  </si>
  <si>
    <t>4670159213000</t>
  </si>
  <si>
    <t>ПП-00237718</t>
  </si>
  <si>
    <t>Тетрадь ЛИНИЯ 48л. цвет.пласт.обл. plastic cover ПАСТЕЛЬ GREEN (48-1354) 1 дизайн</t>
  </si>
  <si>
    <t>48-1354</t>
  </si>
  <si>
    <t>4670159213017</t>
  </si>
  <si>
    <t>ПП-00237716</t>
  </si>
  <si>
    <t>Тетрадь ЛИНИЯ 48л. цвет.пласт.обл. plastic cover ПАСТЕЛЬ VIOLET (48-1352) 1 дизайн</t>
  </si>
  <si>
    <t>48-1352</t>
  </si>
  <si>
    <t>4670159212997</t>
  </si>
  <si>
    <t>ПП-00237719</t>
  </si>
  <si>
    <t>Тетрадь ЛИНИЯ 48л. цвет.пласт.обл. plastic cover ПАСТЕЛЬ YELLOW (48-1355) 1 дизайн</t>
  </si>
  <si>
    <t>48-1355</t>
  </si>
  <si>
    <t>4670159213024</t>
  </si>
  <si>
    <t>10 Тетради А5 48л. СТАНДАРТ блок: 80 г/м2, обложка: мел. картон</t>
  </si>
  <si>
    <t>ПП-00188671</t>
  </si>
  <si>
    <t>Тетрадь КЛЕТКА 48л. Fresh Line ГОЛУБИКА (Т48-6025) 80г/м2, цветная мел обл.</t>
  </si>
  <si>
    <t>Т48-6025</t>
  </si>
  <si>
    <t>4620129760256</t>
  </si>
  <si>
    <t>ПП-00188669</t>
  </si>
  <si>
    <t>Тетрадь КЛЕТКА 48л. Fresh Line ЛИМОН (Т48-6023) 80г/м2, цветная мел обл.</t>
  </si>
  <si>
    <t>Т48-6023</t>
  </si>
  <si>
    <t>4620129760232</t>
  </si>
  <si>
    <t>ПП-00188670</t>
  </si>
  <si>
    <t>Тетрадь КЛЕТКА 48л. Fresh Line МАЛИНА (Т48-6024) 80г/м2, цветная мел обл.</t>
  </si>
  <si>
    <t>Т48-6024</t>
  </si>
  <si>
    <t>4620129760249</t>
  </si>
  <si>
    <t>ПП-00188672</t>
  </si>
  <si>
    <t>Тетрадь КЛЕТКА 48л. Fresh Line МЯТА (Т48-6026) 80г/м2, цветная мел обл.</t>
  </si>
  <si>
    <t>Т48-6026</t>
  </si>
  <si>
    <t>4620129760263</t>
  </si>
  <si>
    <t>ПП-00188673</t>
  </si>
  <si>
    <t>Тетрадь КЛЕТКА 48л. Fresh Line ЧЕРНИКА (Т48-6027) 80г/м2, цветная мел обл.</t>
  </si>
  <si>
    <t>ПП-00233027</t>
  </si>
  <si>
    <t>Тетрадь КЛЕТКА 48л. PASTEL ГОЛУБАЯ (48-8857) 80г/м2, цветная мел обл.</t>
  </si>
  <si>
    <t>48-8857</t>
  </si>
  <si>
    <t>4670159188575</t>
  </si>
  <si>
    <t>ПП-00233028</t>
  </si>
  <si>
    <t>Тетрадь КЛЕТКА 48л. PASTEL ЖЕЛТАЯ (48-8858) 80г/м2, цветная мел обл.</t>
  </si>
  <si>
    <t>48-8858</t>
  </si>
  <si>
    <t>4670159188582</t>
  </si>
  <si>
    <t>ПП-00233034</t>
  </si>
  <si>
    <t>Тетрадь ЛИНИЯ 48л. PASTEL ГОЛУБАЯ (48-8862) 80г/м2, цветная мел обл.</t>
  </si>
  <si>
    <t>48-8862</t>
  </si>
  <si>
    <t>4670159188629</t>
  </si>
  <si>
    <t>ПП-00233035</t>
  </si>
  <si>
    <t>Тетрадь ЛИНИЯ 48л. PASTEL ЖЕЛТАЯ (48-8863) 80г/м2, цветная мел обл.</t>
  </si>
  <si>
    <t>48-8863</t>
  </si>
  <si>
    <t>4670159188636</t>
  </si>
  <si>
    <t>ПП-00233036</t>
  </si>
  <si>
    <t>Тетрадь ЛИНИЯ 48л. PASTEL ЗЕЛЕНАЯ (48-8864) 80г/м2, цветная мел обл.</t>
  </si>
  <si>
    <t>48-8864</t>
  </si>
  <si>
    <t>4670159188643</t>
  </si>
  <si>
    <t>ПП-00233037</t>
  </si>
  <si>
    <t>Тетрадь ЛИНИЯ 48л. PASTEL САЛАТОВАЯ (48-8865) 80г/м2, цветная мел обл.</t>
  </si>
  <si>
    <t>48-8865</t>
  </si>
  <si>
    <t>4670159188650</t>
  </si>
  <si>
    <t>ПП-00233039</t>
  </si>
  <si>
    <t>Тетрадь ЛИНИЯ 48л. PASTEL СИРЕНЕВАЯ (48-8866) 80г/м2, цветная мел обл.</t>
  </si>
  <si>
    <t>48-8866</t>
  </si>
  <si>
    <t>4670159188667</t>
  </si>
  <si>
    <t>11 Тетради  А5 48л. СТАНДАРТ (обложка- мелов.картон, твин-лак)</t>
  </si>
  <si>
    <t>ПП-00266400</t>
  </si>
  <si>
    <t>Тетрадь КЛЕТКА 48л. КРАСИВАЯ ПРИРОДА - 5 (48-9884) твин-лак, цвет.мелов.обл., 5 диз в спайке</t>
  </si>
  <si>
    <t>48-9884</t>
  </si>
  <si>
    <t>4670159299905</t>
  </si>
  <si>
    <t>ПП-00266401</t>
  </si>
  <si>
    <t>Тетрадь КЛЕТКА 48л. КРАСИВЫЕ АВТОМОБИЛИ - 11 (48-9885) твин-лак, цвет.мелов.обл., 5 диз в спайке</t>
  </si>
  <si>
    <t>48-9885</t>
  </si>
  <si>
    <t>4670159299912</t>
  </si>
  <si>
    <t>ПП-00266405</t>
  </si>
  <si>
    <t>Тетрадь КЛЕТКА 48л. КРАСИВЫЙ МРАМОР - 1 (48-9889) твин-лак, цвет.мелов.обл., 5 диз в спайке</t>
  </si>
  <si>
    <t>48-9889</t>
  </si>
  <si>
    <t>4670159299950</t>
  </si>
  <si>
    <t>ПП-00266403</t>
  </si>
  <si>
    <t>Тетрадь КЛЕТКА 48л. ТЁМНЫЕ УЗОРЫ (48-9887) твин-лак, цвет.мелов.обл., 5 диз в спайке</t>
  </si>
  <si>
    <t>48-9887</t>
  </si>
  <si>
    <t>4670159299936</t>
  </si>
  <si>
    <t>12 Тетради  А5 48л. СТАНДАРТ  (обложка- мелов.картон, перевертыши)</t>
  </si>
  <si>
    <t>ПП-00248321</t>
  </si>
  <si>
    <t>Тетрадь перевертыш КЛЕТКА 48л. КЛАССИЧЕСКАЯ АРХИТЕКТУРА (Т48-5334) цветная мелованная обл.</t>
  </si>
  <si>
    <t>Т48-5334</t>
  </si>
  <si>
    <t>4670159253341</t>
  </si>
  <si>
    <t>14 Тетради  А5 48л. СТАНДАРТ (обложка-мелов.картон, лён)</t>
  </si>
  <si>
    <t>ПП-00261797</t>
  </si>
  <si>
    <t>Тетрадь КЛЕТКА 48л. CALLIGRAPHY (48-8845) (цветная мелов. обл., лён)</t>
  </si>
  <si>
    <t>48-8845</t>
  </si>
  <si>
    <t>4670159288459</t>
  </si>
  <si>
    <t>ПП-00245087</t>
  </si>
  <si>
    <t>Тетрадь КЛЕТКА 48л. ЛУЧШАЯ ТРЕНИРОВКА (48-4339) (цветная мелов. обл., лён)</t>
  </si>
  <si>
    <t>48-4339</t>
  </si>
  <si>
    <t>4670159243397</t>
  </si>
  <si>
    <t>ПП-00245089</t>
  </si>
  <si>
    <t>Тетрадь КЛЕТКА 48л. ЭСТЕТИКА ПАНЕЛЬНЫХ ДОМОВ - 1 (48-4341) (цветная мелов. обл., лён)</t>
  </si>
  <si>
    <t>48-4341</t>
  </si>
  <si>
    <t>4670159243410</t>
  </si>
  <si>
    <t>15 Тетради  А5 48л. СТАНДАРТ (обложка-мелов.картон, холст)</t>
  </si>
  <si>
    <t>ПП-00261790</t>
  </si>
  <si>
    <t>Тетрадь КЛЕТКА 48л. COMPLEX TONE (48-8843) (обложка-мелов.картон, холст)</t>
  </si>
  <si>
    <t>48-8843</t>
  </si>
  <si>
    <t>4670159288435</t>
  </si>
  <si>
    <t>ПП-00268574</t>
  </si>
  <si>
    <t>Тетрадь КЛЕТКА 48л. ВЯЗАНЫЕ ГОРОДА (Т48-0253) (обложка-мелов.картон, холст)</t>
  </si>
  <si>
    <t>Т48-0253</t>
  </si>
  <si>
    <t>4670159302537</t>
  </si>
  <si>
    <t>ПП-00261792</t>
  </si>
  <si>
    <t>Тетрадь КЛЕТКА 48л. ДЮНА-1 (48-8844) (обложка-мелов.картон, холст)</t>
  </si>
  <si>
    <t>48-8844</t>
  </si>
  <si>
    <t>4670159288442</t>
  </si>
  <si>
    <t>ПП-00245080</t>
  </si>
  <si>
    <t>Тетрадь КЛЕТКА 48л. НА СТИЛЕ (48-4332) (обложка-мелов.картон, холст)</t>
  </si>
  <si>
    <t>48-4332</t>
  </si>
  <si>
    <t>4670159243328</t>
  </si>
  <si>
    <t>19 Тетради  А5 48л. СТАНДАРТ (обложка- мелов.картон, матов.ламин., выб.лак)</t>
  </si>
  <si>
    <t>ПП-00261784</t>
  </si>
  <si>
    <t>Тетрадь КЛЕТКА 48л. BLACK CAT (48-8841) цвет.мел.обл., матов. ламин., выб. лак</t>
  </si>
  <si>
    <t>48-8841</t>
  </si>
  <si>
    <t>4670159288411</t>
  </si>
  <si>
    <t>ПП-00238571</t>
  </si>
  <si>
    <t>Тетрадь КЛЕТКА 48л. ВОЛШЕБНЫЕ КОТЫ (48-1570) цвет.мел.обл., матов. ламин., выб. лак</t>
  </si>
  <si>
    <t>48-1570</t>
  </si>
  <si>
    <t>4670159215707</t>
  </si>
  <si>
    <t>ПП-00261799</t>
  </si>
  <si>
    <t>Тетрадь КЛЕТКА 48л. ДЮНА-2 (48-8846) цвет.мел.обл., матов. ламин., выб. лак</t>
  </si>
  <si>
    <t>48-8846</t>
  </si>
  <si>
    <t>4670159288466</t>
  </si>
  <si>
    <t>ПП-00238572</t>
  </si>
  <si>
    <t>Тетрадь КЛЕТКА 48л. ЭСТЕТИКА И ФРАЗЫ (48-1571) цвет.мел.обл., матов. ламин., выб. лак</t>
  </si>
  <si>
    <t>48-1571</t>
  </si>
  <si>
    <t>4670159215714</t>
  </si>
  <si>
    <t>20 Тетради  А5 48л. СТАНДАРТ (обложка- мелов.картон, глянцевая ламинация)</t>
  </si>
  <si>
    <t>ПП-00271434</t>
  </si>
  <si>
    <t>Тетрадь КЛЕТКА 48л. ГОРОД В ГРАФИКЕ (48-0888) цвет.мел.обл., глянц. ламинация</t>
  </si>
  <si>
    <t>48-0888</t>
  </si>
  <si>
    <t>4670159308881</t>
  </si>
  <si>
    <t>21 Тетради  А5 48л. СТАНДАРТ (обложка- мелов.картон с обработками)</t>
  </si>
  <si>
    <t>Тетради  А5 48л., 4+4, лён</t>
  </si>
  <si>
    <t>ПП-00224585</t>
  </si>
  <si>
    <t>Тетрадь КЛЕТКА 48л. ВДОХНОВЕНИЕ ПРИРОДОЙ (48-5142)цв.м обл,5д в сп,4+4,лён,с оборот</t>
  </si>
  <si>
    <t>48-5142</t>
  </si>
  <si>
    <t>4670159150886</t>
  </si>
  <si>
    <t>ПП-00271733</t>
  </si>
  <si>
    <t>Тетрадь КЛЕТКА 48л. МОНОХРОМ (48-1100)цв.м обл,5д в сп,4+4,лён,с оборот</t>
  </si>
  <si>
    <t>48-1100</t>
  </si>
  <si>
    <t>4670159310914</t>
  </si>
  <si>
    <t>ПП-00271735</t>
  </si>
  <si>
    <t>Тетрадь КЛЕТКА 48л. ТЁМНЫЙ ДИЗАЙН (48-1102)цв.м обл,5д в сп,4+4,лён,с оборот</t>
  </si>
  <si>
    <t>48-1102</t>
  </si>
  <si>
    <t>4670159310938</t>
  </si>
  <si>
    <t>Тетради  А5 48л., софт-тач</t>
  </si>
  <si>
    <t>ПП-00265634</t>
  </si>
  <si>
    <t>Тетрадь КЛЕТКА 48л. TOTAL BLACK (48-9599) цв мел обл,5 диз в сп. софт-тач</t>
  </si>
  <si>
    <t>48-9599</t>
  </si>
  <si>
    <t>4670159295990</t>
  </si>
  <si>
    <t>ПП-00265632</t>
  </si>
  <si>
    <t>Тетрадь КЛЕТКА 48л. ВОЛШЕБНЫЕ ПИСЬМА (48-9597) цв мел обл,5 диз в сп. софт-тач</t>
  </si>
  <si>
    <t>48-9597</t>
  </si>
  <si>
    <t>4670159295976</t>
  </si>
  <si>
    <t>ПП-00274517</t>
  </si>
  <si>
    <t>Тетрадь КЛЕТКА 48л. Микс цв мел обл,5 диз в сп. софт-тач (!)</t>
  </si>
  <si>
    <t>ПП-00260272</t>
  </si>
  <si>
    <t>Тетрадь КЛЕТКА 48л. МИНИМАЛИЗМ В СИНИХ ТОНАХ (48-8416) цв мел обл,5 диз в сп. софт-тач</t>
  </si>
  <si>
    <t>48-8416</t>
  </si>
  <si>
    <t>4670159284109</t>
  </si>
  <si>
    <t>ПП-00260273</t>
  </si>
  <si>
    <t>Тетрадь КЛЕТКА 48л. МИНИМАЛИЗМ В ЧЁРНО-СЕРЫХ ТОНАХ (48-8417) цв мел обл,5 диз в сп. софт-тач</t>
  </si>
  <si>
    <t>48-8417</t>
  </si>
  <si>
    <t>4670159284116</t>
  </si>
  <si>
    <t>ПП-00245074</t>
  </si>
  <si>
    <t>Тетрадь КЛЕТКА 48л. МИНИМАЛИСТИЧНЫЙ МИКС (48-4329) цв мел обл,5 диз в сп. софт-тач</t>
  </si>
  <si>
    <t>48-4329</t>
  </si>
  <si>
    <t>4670159243298</t>
  </si>
  <si>
    <t>ПП-00267705</t>
  </si>
  <si>
    <t>Тетрадь КЛЕТКА 48л. ОДНОТОННЫЙ ДИЗАЙН - 7 (Т48-0137) цв мел обл,5 диз в сп. софт-тач</t>
  </si>
  <si>
    <t>Т48-0137</t>
  </si>
  <si>
    <t>4670159301196</t>
  </si>
  <si>
    <t>ПП-00267697</t>
  </si>
  <si>
    <t>Тетрадь КЛЕТКА 48л. ОТТЕНКИ СИНЕГО - 1 (Т48-0131) цв мел обл,5 диз в сп. софт-тач</t>
  </si>
  <si>
    <t>Т48-0131</t>
  </si>
  <si>
    <t>4670159301134</t>
  </si>
  <si>
    <t>ПП-00267702</t>
  </si>
  <si>
    <t>Тетрадь КЛЕТКА 48л. ОТТЕНКИ СИНЕГО - 2 (Т48-0135) цв мел обл,5 диз в сп. софт-тач</t>
  </si>
  <si>
    <t>Т48-0135</t>
  </si>
  <si>
    <t>4670159301172</t>
  </si>
  <si>
    <t>ПП-00246798</t>
  </si>
  <si>
    <t>Тетрадь КЛЕТКА 48л. ПАНТОНЫ (Т48-4898) цв мел обл,5 диз в сп. софт-тач</t>
  </si>
  <si>
    <t>Т48-4898</t>
  </si>
  <si>
    <t>4670159248989</t>
  </si>
  <si>
    <t>Тетради  А5 48л., софт-тач, пантон 6+0</t>
  </si>
  <si>
    <t>ПП-00224605</t>
  </si>
  <si>
    <t>Тетрадь КЛЕТКА 48л. ЖЕНСКИЕ ПОРТРЕТЫ (48-5174)цв м обл,5д в сп.софт-тач,пант6+0</t>
  </si>
  <si>
    <t>48-5174</t>
  </si>
  <si>
    <t>4670159150992</t>
  </si>
  <si>
    <t>ПП-00187883</t>
  </si>
  <si>
    <t>ТМ"Collezione"ТетрадьКЛЕТКА48л.ТЕРРИТОРИЯ ПРИШЕЛЬЦЕВ(Т48-4392)цв м обл,5д в сп.софт-тач,пантСПАЙКА 5</t>
  </si>
  <si>
    <t>Т48-4392</t>
  </si>
  <si>
    <t>Тетради  А5 48л., софт-тач, тиснение фольгой</t>
  </si>
  <si>
    <t>ПП-00249078</t>
  </si>
  <si>
    <t>Тетрадь КЛЕТКА 48л. ВДОХНОВЕНИЕ ИСКУССТВОМ (48-5589) цв.м обл,5д в сп.софт-тач,тисн.ф</t>
  </si>
  <si>
    <t>48-5589</t>
  </si>
  <si>
    <t>4670159255895</t>
  </si>
  <si>
    <t>ПП-00274518</t>
  </si>
  <si>
    <t>Тетрадь КЛЕТКА 48л. Микс цв.м обл,5д в сп.софт-тач,тисн.фол (!)</t>
  </si>
  <si>
    <t>ПП-00202435</t>
  </si>
  <si>
    <t>Тетрадь КЛЕТКА 48л. РАСТЕНИЯ И СОВРЕМЕННОЕ ИСКУССТВО (48-3245) цв.мел обл,5д в сп</t>
  </si>
  <si>
    <t>48-3245</t>
  </si>
  <si>
    <t>4670159032458</t>
  </si>
  <si>
    <t>ПП-00202434</t>
  </si>
  <si>
    <t>Тетрадь КЛЕТКА 48л. РИСУНОК ТИГРА (48-3244) цв.мел обл,5д в сп.софт-тач,тисн.фол</t>
  </si>
  <si>
    <t>48-3244</t>
  </si>
  <si>
    <t>4670159032441</t>
  </si>
  <si>
    <t>ПП-00249077</t>
  </si>
  <si>
    <t>Тетрадь КЛЕТКА 48л. СЛУШАЙ СВОЁ СЕРДЦЕ (48-5588) цв.мел обл,5д в сп.софт-тач,тисн.фол</t>
  </si>
  <si>
    <t>48-5588</t>
  </si>
  <si>
    <t>4670159255888</t>
  </si>
  <si>
    <t>Тетради  А5 48л., софт-тач, холодная фольга</t>
  </si>
  <si>
    <t>ПП-00271438</t>
  </si>
  <si>
    <t>Тетрадь КЛЕТКА 48л. ЖИДКИЙ МЕТАЛЛ - 1 (48-0880) цв мел обл,софт-тач, хол фольга</t>
  </si>
  <si>
    <t>48-0880</t>
  </si>
  <si>
    <t>4670159308829</t>
  </si>
  <si>
    <t>ПП-00271440</t>
  </si>
  <si>
    <t>Тетрадь КЛЕТКА 48л. НЕЖНЫЕ ЦВЕТЫ И ЛИСТЬЯ (48-0881) цв мел обл,софт-тач, хол фольга</t>
  </si>
  <si>
    <t>48-0881</t>
  </si>
  <si>
    <t>4670159308836</t>
  </si>
  <si>
    <t>Тетради  А5 48л., твин-лак, холодная фольга</t>
  </si>
  <si>
    <t>ПП-00249076</t>
  </si>
  <si>
    <t>Тетрадь КЛЕТКА 48л. ЛУННЫЕ ПЕЙЗАЖИ (48-5587) цв мел обл,твин-лак,холодная фольга</t>
  </si>
  <si>
    <t>48-5587</t>
  </si>
  <si>
    <t>4670159255871</t>
  </si>
  <si>
    <t>ПП-00248335</t>
  </si>
  <si>
    <t>Тетрадь КЛЕТКА 48л. МАМЫ И ДЕТЁНЫШИ -1 (Т48-5348) цв мел обл,твин-лак,холодная фольга</t>
  </si>
  <si>
    <t>Т48-5348</t>
  </si>
  <si>
    <t>4670159253488</t>
  </si>
  <si>
    <t>ПП-00205777</t>
  </si>
  <si>
    <t>ТМ"Collezione" Тетрадь КЛЕТКА 48л. WEDNESDAY MADNESS (48-5066) цв мел обл,твин-лак, холодная фольга</t>
  </si>
  <si>
    <t>48-5066</t>
  </si>
  <si>
    <t>4670159050766</t>
  </si>
  <si>
    <t>09 Тетради общие 80л. скрепка А5 (170х203) в спайке - 7шт.</t>
  </si>
  <si>
    <t>TМ"Profit"Тетради А5 80л. ЭКОНОМ-ВАРИАНТ (обложка- мелов. картон)</t>
  </si>
  <si>
    <t>ПП-00162934</t>
  </si>
  <si>
    <t>TМ"Profit"Тетрадь КЛЕТКА 80л. ВДОХНОВЛЯЮЩИЕ ВИДЫ (80-2954) (мелов. картон)</t>
  </si>
  <si>
    <t>80-2954</t>
  </si>
  <si>
    <t>4610144829540</t>
  </si>
  <si>
    <t>ПП-00245056</t>
  </si>
  <si>
    <t>TМ"Profit"Тетрадь КЛЕТКА 80л. ВИДЫ ПРИРОДЫ - 2 (80-4311) (мелов. картон)</t>
  </si>
  <si>
    <t>80-4311</t>
  </si>
  <si>
    <t>4670159243113</t>
  </si>
  <si>
    <t>ПП-00232153</t>
  </si>
  <si>
    <t>TМ"Profit"Тетрадь КЛЕТКА 80л. ГОРОДСКИЕ УЛИЦЫ - 1 (80-8403) (мелов. картон)</t>
  </si>
  <si>
    <t>80-8403</t>
  </si>
  <si>
    <t>4670159184034</t>
  </si>
  <si>
    <t>Тетради А5 80л. СТАНДАРТ (обложка- мелов.картон без покрытия)</t>
  </si>
  <si>
    <t>ПП-00245061</t>
  </si>
  <si>
    <t>Тетрадь КЛЕТКА 80л. МИРОВАЯ АРХИТЕКТУРА - 3 (80-4310) цвет.мелов.обл.</t>
  </si>
  <si>
    <t>80-4310</t>
  </si>
  <si>
    <t>4670159243168</t>
  </si>
  <si>
    <t>ПП-00165962</t>
  </si>
  <si>
    <t>Тетрадь КЛЕТКА 80л. НЕВЕРОЯТНЫЕ НЕБОСКРЕБЫ (80-9416) цвет.мелов.обл.</t>
  </si>
  <si>
    <t>80-9416</t>
  </si>
  <si>
    <t>4610144844161</t>
  </si>
  <si>
    <t>ПП-00232176</t>
  </si>
  <si>
    <t>Тетрадь КЛЕТКА 80л. ПРИРОДА И ГОРЫ (80-8422) цвет.мелов.обл.</t>
  </si>
  <si>
    <t>80-8422</t>
  </si>
  <si>
    <t>4670159184225</t>
  </si>
  <si>
    <t>10 Тетради общие 96л. скрепка А5 (170х203) в спайке - 6шт.</t>
  </si>
  <si>
    <t xml:space="preserve">        TM "Legend" Брошюры для записей А5 96л</t>
  </si>
  <si>
    <t>TM "Legend" Брошюры для записей А5 96 л. обложка- цвет.мелов., второй блок ,4 дизайна в коробке</t>
  </si>
  <si>
    <t>ПП-00232149</t>
  </si>
  <si>
    <t>TM "Legend" Брошюра для записей КЛЕТКА 96 л. ВИДЫ ПРИРОДЫ - 1 (96-8402) цвет.мел.обл.,4 диз, вт бл</t>
  </si>
  <si>
    <t>96-8402</t>
  </si>
  <si>
    <t>4670159184027</t>
  </si>
  <si>
    <t xml:space="preserve">      TМ"Remix" Тетради А5 96л. евро (145х203) СУПЕР ЭКОНОМ (обложка- мелов. картон, второй блок)</t>
  </si>
  <si>
    <t>ПП-00237119</t>
  </si>
  <si>
    <t>TМ"Remix"Тетрадь КЛЕТКА 96л. АВТО В ГОРАХ (96-1019) обл-мелов. карт, второй блок 145х203</t>
  </si>
  <si>
    <t>96-1019</t>
  </si>
  <si>
    <t>4670159210191</t>
  </si>
  <si>
    <t>ПП-00197727</t>
  </si>
  <si>
    <t>TМ"Remix"Тетрадь КЛЕТКА 96л. БЕЗМЯТЕЖНЫЕ ПЕЙЗАЖИ (96-0399) обл-мелов. карт, второй блок 145х203</t>
  </si>
  <si>
    <t>96-0399</t>
  </si>
  <si>
    <t>4670159003991</t>
  </si>
  <si>
    <t>ПП-00152759</t>
  </si>
  <si>
    <t>TМ"Remix"Тетрадь КЛЕТКА 96л. КОСМИЧЕСКИЕ ИССЛЕДОВАНИЯ(96-6497) обл-мелов. карт, второй блок 145х203</t>
  </si>
  <si>
    <t>96-6497</t>
  </si>
  <si>
    <t>4680088464978</t>
  </si>
  <si>
    <t>ПП-00152758</t>
  </si>
  <si>
    <t>TМ"Remix"Тетрадь КЛЕТКА 96л. УЛИЦЫ МЕГАПОЛИСОВ (96-6496) обл- мелов. картон, второй блок 145х203</t>
  </si>
  <si>
    <t>96-6496</t>
  </si>
  <si>
    <t>4680088464961</t>
  </si>
  <si>
    <t xml:space="preserve">      TМ"Remix" Тетради А5 96л. СУПЕР ЭКОНОМ (обложка- мелов. картон, второй блок)</t>
  </si>
  <si>
    <t>ПП-00153108</t>
  </si>
  <si>
    <t>TМ"Remix"Тетрадь КЛЕТКА 96л. АБСТРАКТНАЯ ФАНТАЗИЯ (96-7313) обл- мелов.картон, второй блок</t>
  </si>
  <si>
    <t>96-7313</t>
  </si>
  <si>
    <t>4680088473130</t>
  </si>
  <si>
    <t>ПП-00200345</t>
  </si>
  <si>
    <t>TМ"Remix"Тетрадь КЛЕТКА 96л. АВТОМОБИЛЬ СОВРЕМЕННОСТИ (96-8585) обл- мелов.картон, второй блок</t>
  </si>
  <si>
    <t>96-8585</t>
  </si>
  <si>
    <t>4670159005858</t>
  </si>
  <si>
    <t>ПП-00153109</t>
  </si>
  <si>
    <t>TМ"Remix"Тетрадь КЛЕТКА 96л. АКУЛА В ГРАФИКЕ (96-7314) обл- мелов.картон, второй блок</t>
  </si>
  <si>
    <t>96-7314</t>
  </si>
  <si>
    <t>4680088473147</t>
  </si>
  <si>
    <t>ПП-00200337</t>
  </si>
  <si>
    <t>TМ"Remix"Тетрадь КЛЕТКА 96л. ДЕВУШКА И ЕДИНОРОГ (96-0581) обл- мелов.картон, второй блок</t>
  </si>
  <si>
    <t>96-0581</t>
  </si>
  <si>
    <t>4670159005810</t>
  </si>
  <si>
    <t>ПП-00234272</t>
  </si>
  <si>
    <t>TМ"Remix"Тетрадь КЛЕТКА 96л. МАШИНЫ И ПРИРОДА - 1 (96-9530) обл- мелов.картон, второй блок</t>
  </si>
  <si>
    <t>96-9530</t>
  </si>
  <si>
    <t>4670159195306</t>
  </si>
  <si>
    <t>ПП-00153119</t>
  </si>
  <si>
    <t>TМ"Remix"Тетрадь КЛЕТКА 96л. ПОЛЮБИ СПОРТ (96-7324) обл- мелов.картон, второй блок</t>
  </si>
  <si>
    <t>96-7324</t>
  </si>
  <si>
    <t>4680088473246</t>
  </si>
  <si>
    <t>ПП-00234277</t>
  </si>
  <si>
    <t>TМ"Remix"Тетрадь КЛЕТКА 96л. ЯРКИЕ ГРАФФИТИ - 2 (96-9535) обл- мелов.картон, второй блок</t>
  </si>
  <si>
    <t>96-9535</t>
  </si>
  <si>
    <t>4670159195351</t>
  </si>
  <si>
    <t xml:space="preserve">     TМ"Profit"Тетради А5 96л. ЭКОНОМ-ВАРИАНТ (обложка- мелов.картон)</t>
  </si>
  <si>
    <t>ПП-00249064</t>
  </si>
  <si>
    <t xml:space="preserve"> TM"Profit"Тетрадь КЛЕТКА 96л. ГОРОДСКАЯ АРХИТЕКТУРА - 2 (96-5576) (обл. - мелов.картон)</t>
  </si>
  <si>
    <t>96-5576</t>
  </si>
  <si>
    <t>4670159255765</t>
  </si>
  <si>
    <t>ПП-00230738</t>
  </si>
  <si>
    <t xml:space="preserve"> TM"Profit"Тетрадь ЛИНИЯ 96л. КРАСНАЯ КЛАССИКА (96-7973)  (обл. - мелов.картон)</t>
  </si>
  <si>
    <t>96-7973</t>
  </si>
  <si>
    <t>4670159179665</t>
  </si>
  <si>
    <t>ПП-00267943</t>
  </si>
  <si>
    <t>TM"Profit"Тетрадь КЛЕТКА 96л. ДИЗАЙН С НАДПИСЯМИ - 1 (Т96-0147) (обл. - мелов.картон)</t>
  </si>
  <si>
    <t>Т96-0147</t>
  </si>
  <si>
    <t>4670159301479</t>
  </si>
  <si>
    <t>ПП-00267686</t>
  </si>
  <si>
    <t>TM"Profit"Тетрадь КЛЕТКА 96л. КРАСИВЫЕ КОТЫ - 3 (96-0124) (обл. - мелов.картон)</t>
  </si>
  <si>
    <t>96-0124</t>
  </si>
  <si>
    <t>4670159301066</t>
  </si>
  <si>
    <t>ПП-00267690</t>
  </si>
  <si>
    <t>TM"Profit"Тетрадь КЛЕТКА 96л. НЕЖНАЯ ПРИРОДА - 1 (96-0127) (обл. - мелов.картон)</t>
  </si>
  <si>
    <t>96-0127</t>
  </si>
  <si>
    <t>4670159301097</t>
  </si>
  <si>
    <t>ПП-00267685</t>
  </si>
  <si>
    <t>TM"Profit"Тетрадь КЛЕТКА 96л. ОДНОТОННЫЙ ЧЁРНЫЙ - 7 (96-0123) (обл. - мелов.картон)</t>
  </si>
  <si>
    <t>96-0123</t>
  </si>
  <si>
    <t>4670159301059</t>
  </si>
  <si>
    <t>ПП-00267680</t>
  </si>
  <si>
    <t>TM"Profit"Тетрадь КЛЕТКА 96л. СПОРТИВНЫЕ АВТОМОБИЛИ - 7 (96-0120) (обл. - мелов.картон)</t>
  </si>
  <si>
    <t>96-0120</t>
  </si>
  <si>
    <t>4670159301028</t>
  </si>
  <si>
    <t>ПП-00267682</t>
  </si>
  <si>
    <t>TM"Profit"Тетрадь КЛЕТКА 96л. ТЁМНАЯ КЛАССИКА - 1 (96-0121) (обл. - мелов.картон)</t>
  </si>
  <si>
    <t>96-0121</t>
  </si>
  <si>
    <t>4670159301035</t>
  </si>
  <si>
    <t>ПП-00267944</t>
  </si>
  <si>
    <t>TM"Profit"Тетрадь КЛЕТКА 96л. ФУТБОЛЬНАЯ ТЕМА - 10 (Т96-0148) (обл. - мелов.картон)</t>
  </si>
  <si>
    <t>Т96-0148</t>
  </si>
  <si>
    <t>4670159301486</t>
  </si>
  <si>
    <t>ПП-00267689</t>
  </si>
  <si>
    <t>TM"Profit"Тетрадь КЛЕТКА 96л. ЧЁРНЫЕ ТЕКСТУРЫ - 1 (96-0126) (обл. - мелов.картон)</t>
  </si>
  <si>
    <t>96-0126</t>
  </si>
  <si>
    <t>4670159301080</t>
  </si>
  <si>
    <t>ПП-00267683</t>
  </si>
  <si>
    <t>TM"Profit"Тетрадь ЛИНИЯ 96л. ОДНОТОННЫЙ ЧЁРНЫЙ - 6 (96-0122) (обл. - мелов.картон)</t>
  </si>
  <si>
    <t>96-0122</t>
  </si>
  <si>
    <t>4670159301042</t>
  </si>
  <si>
    <t>ПП-00267687</t>
  </si>
  <si>
    <t>TM"Profit"Тетрадь ЛИНИЯ 96л. ПРИРОДА И СОЛНЦЕ (96-0125) (обл. - мелов.картон)</t>
  </si>
  <si>
    <t>96-0125</t>
  </si>
  <si>
    <t>4670159301073</t>
  </si>
  <si>
    <t xml:space="preserve">     Тетради А5 96л. СТАНДАРТ (обложка- мелов.картон без покрытия)</t>
  </si>
  <si>
    <t>ПП-00230767</t>
  </si>
  <si>
    <t>Тетрадь КЛЕТКА 96л. КЛАССИКА NEW ГОЛУБАЯ (96-7982) цвет.мелов.обл., 1 дизайн в спайке</t>
  </si>
  <si>
    <t>96-7982</t>
  </si>
  <si>
    <t>4670159179825</t>
  </si>
  <si>
    <t>ПП-00230771</t>
  </si>
  <si>
    <t>Тетрадь КЛЕТКА 96л. КЛАССИКА NEW ЖЕЛТАЯ (96-7983) цвет.мелов.обл., 1 дизайн в спайке</t>
  </si>
  <si>
    <t>96-7983</t>
  </si>
  <si>
    <t>4670159179832</t>
  </si>
  <si>
    <t>ПП-00230773</t>
  </si>
  <si>
    <t>Тетрадь КЛЕТКА 96л. КЛАССИКА NEW ЗЕЛЕНАЯ (96-7984) цвет.мелов.обл., 1 дизайн в спайке</t>
  </si>
  <si>
    <t>96-7984</t>
  </si>
  <si>
    <t>4670159179849</t>
  </si>
  <si>
    <t>ПП-00230775</t>
  </si>
  <si>
    <t>Тетрадь КЛЕТКА 96л. КЛАССИКА NEW САЛАТОВАЯ (96-7985) цвет.мелов.обл., 1 дизайн в спайке</t>
  </si>
  <si>
    <t>96-7985</t>
  </si>
  <si>
    <t>4670159179856</t>
  </si>
  <si>
    <t>ПП-00230777</t>
  </si>
  <si>
    <t>Тетрадь КЛЕТКА 96л. КЛАССИКА NEW СИРЕНЕВАЯ (96-7986) цвет.мелов.обл., 1 дизайн в спайке</t>
  </si>
  <si>
    <t>96-7986</t>
  </si>
  <si>
    <t>4670159179863</t>
  </si>
  <si>
    <t>ПП-00153944</t>
  </si>
  <si>
    <t>Тетрадь КЛЕТКА 96л. ПРИБРЕЖНЫЕ ВИДЫ (96-7919) (цвет.мелов.обл.)</t>
  </si>
  <si>
    <t>96-7919</t>
  </si>
  <si>
    <t>4680088479194</t>
  </si>
  <si>
    <t>ПП-00245065</t>
  </si>
  <si>
    <t>Тетрадь КЛЕТКА 96л. ПРИРОДА В МАКРО - 1 (96-4320) (цвет.мелов.обл.)</t>
  </si>
  <si>
    <t>96-4320</t>
  </si>
  <si>
    <t>4670159243205</t>
  </si>
  <si>
    <t>ПП-00245063</t>
  </si>
  <si>
    <t>Тетрадь КЛЕТКА 96л. РАЗНЫЕ АВТОМОБИЛИ - 10 (96-4318) (цвет.мелов.обл.)</t>
  </si>
  <si>
    <t>96-4318</t>
  </si>
  <si>
    <t>4670159243182</t>
  </si>
  <si>
    <t>ПП-00245064</t>
  </si>
  <si>
    <t>Тетрадь КЛЕТКА 96л. РАЗНЫЕ ДОМАШНИЕ КОТЫ (96-4319) (цвет.мелов.обл.)</t>
  </si>
  <si>
    <t>96-4319</t>
  </si>
  <si>
    <t>4670159243199</t>
  </si>
  <si>
    <t>ПП-00245066</t>
  </si>
  <si>
    <t>Тетрадь КЛЕТКА 96л. РАЗНЫЕ ФУТБОЛЬНЫЕ МЯЧИ - 3 (96-4321) (цвет.мелов.обл.)</t>
  </si>
  <si>
    <t>96-4321</t>
  </si>
  <si>
    <t>4670159243212</t>
  </si>
  <si>
    <t>ПП-00234296</t>
  </si>
  <si>
    <t xml:space="preserve">Тетрадь ЛИНИЯ 96л. ЗАВОРАЖИВАЮЩАЯ ПРИРОДА (96-9540) (цвет.мелов.обл.) </t>
  </si>
  <si>
    <t>96-9540</t>
  </si>
  <si>
    <t>4670159195405</t>
  </si>
  <si>
    <t>ПП-00230779</t>
  </si>
  <si>
    <t>Тетрадь ЛИНИЯ 96л. КЛАССИКА NEW (96-7987) цвет.мелов.обл., 1 дизайн в спайке, 5 диз. в коробке</t>
  </si>
  <si>
    <t>96-7987</t>
  </si>
  <si>
    <t>4670159179870</t>
  </si>
  <si>
    <t>ПП-00230780</t>
  </si>
  <si>
    <t>Тетрадь ЛИНИЯ 96л. КЛАССИКА NEW ГОЛУБАЯ (96-7988) цвет.мелов.обл., 1 дизайн в спайке</t>
  </si>
  <si>
    <t>96-7988</t>
  </si>
  <si>
    <t>4670159179887</t>
  </si>
  <si>
    <t>ПП-00230781</t>
  </si>
  <si>
    <t>Тетрадь ЛИНИЯ 96л. КЛАССИКА NEW ЖЕЛТАЯ (96-7989) цвет.мелов.обл., 1 дизайн в спайке</t>
  </si>
  <si>
    <t>96-7989</t>
  </si>
  <si>
    <t>4670159179894</t>
  </si>
  <si>
    <t>ПП-00230782</t>
  </si>
  <si>
    <t>Тетрадь ЛИНИЯ 96л. КЛАССИКА NEW ЗЕЛЕНАЯ (96-7990) цвет.мелов.обл., 1 дизайн в спайке</t>
  </si>
  <si>
    <t>96-7990</t>
  </si>
  <si>
    <t>4670159179900</t>
  </si>
  <si>
    <t>ПП-00230783</t>
  </si>
  <si>
    <t>Тетрадь ЛИНИЯ 96л. КЛАССИКА NEW САЛАТОВАЯ (96-7991) цвет.мелов.обл., 1 дизайн в спайке</t>
  </si>
  <si>
    <t>96-7991</t>
  </si>
  <si>
    <t>4670159179917</t>
  </si>
  <si>
    <t>ПП-00230784</t>
  </si>
  <si>
    <t>Тетрадь ЛИНИЯ 96л. КЛАССИКА NEW СИРЕНЕВАЯ (96-7992) цвет.мелов.обл., 1 дизайн в спайке</t>
  </si>
  <si>
    <t>96-7992</t>
  </si>
  <si>
    <t>4670159179924</t>
  </si>
  <si>
    <t xml:space="preserve">     Тетради А5 96л. СТАНДАРТ (обложка- мелов.картон, глиттер)</t>
  </si>
  <si>
    <t>ПП-00246788</t>
  </si>
  <si>
    <t xml:space="preserve"> Тетрадь КЛЕТКА 96л. ДЕВУШКИ И ДИКИЕ КОШАЧЬИ (Т96-4888) глиттер, цвет.мелов.обл.</t>
  </si>
  <si>
    <t>Т96-4888</t>
  </si>
  <si>
    <t>4670159248880</t>
  </si>
  <si>
    <t>ПП-00246789</t>
  </si>
  <si>
    <t xml:space="preserve"> Тетрадь КЛЕТКА 96л. СИЯЮЩИЕ ДЕВУШКИ И ЖИВОТНЫЕ (Т96-4889) глиттер, цвет.мелов.обл.</t>
  </si>
  <si>
    <t>Т96-4889</t>
  </si>
  <si>
    <t>4670159248897</t>
  </si>
  <si>
    <t xml:space="preserve">     Тетради А5 96л. СТАНДАРТ (обложка- мелов.картон, твин-лак)</t>
  </si>
  <si>
    <t>ПП-00232193</t>
  </si>
  <si>
    <t>Тетрадь КЛЕТКА 96л. АВТО НА ЧЁРНОМ - 1 (96-8434) (твин-лак, цвет.мелов.обл.)</t>
  </si>
  <si>
    <t>96-8434</t>
  </si>
  <si>
    <t>4670159184348</t>
  </si>
  <si>
    <t>ПП-00274362</t>
  </si>
  <si>
    <t>Тетрадь КЛЕТКА 96л. ЗАБАВНЫЕ ФРАЗЫ (Т96-2075) (твин-лак, цвет.мелов.обл.) (!)</t>
  </si>
  <si>
    <t>Т96-2075</t>
  </si>
  <si>
    <t>4670159320753</t>
  </si>
  <si>
    <t>ПП-00246793</t>
  </si>
  <si>
    <t>Тетрадь КЛЕТКА 96л. ТЕНИ ЖИВОТНЫХ (Т96-4893) (твин-лак, цвет.мелов.обл.)</t>
  </si>
  <si>
    <t>Т96-4893</t>
  </si>
  <si>
    <t>4670159248934</t>
  </si>
  <si>
    <t xml:space="preserve">     Тетради А5 96л. СТАНДАРТ plastic cover</t>
  </si>
  <si>
    <t>Тетради А5 96л. СТАНДАРТ прозрач.пласт.обл. мелованный вкладыш</t>
  </si>
  <si>
    <t>ПП-00237792</t>
  </si>
  <si>
    <t>Тетрадь КЛЕТКА 96л. проз.пласт.обл. plastic cover КЛАССИКА NEW (96-1429) ассорти 5 цветов</t>
  </si>
  <si>
    <t>96-1429</t>
  </si>
  <si>
    <t>4670159214298</t>
  </si>
  <si>
    <t>ПП-00237794</t>
  </si>
  <si>
    <t>Тетрадь КЛЕТКА 96л. проз.пласт.обл. plastic cover КЛАССИКА NEW ЖЕЛТАЯ (96-1431) 1 дизайн</t>
  </si>
  <si>
    <t>96-1431</t>
  </si>
  <si>
    <t>4670159214311</t>
  </si>
  <si>
    <t>ПП-00237795</t>
  </si>
  <si>
    <t>Тетрадь КЛЕТКА 96л. проз.пласт.обл. plastic cover КЛАССИКА NEW ЗЕЛЕНАЯ (96-1432) 1 дизайн</t>
  </si>
  <si>
    <t>96-1432</t>
  </si>
  <si>
    <t>4670159214328</t>
  </si>
  <si>
    <t>ПП-00237796</t>
  </si>
  <si>
    <t>Тетрадь КЛЕТКА 96л. проз.пласт.обл. plastic cover КЛАССИКА NEW САЛАТОВАЯ (96-1433) 1 дизайн</t>
  </si>
  <si>
    <t>96-1433</t>
  </si>
  <si>
    <t>4670159214335</t>
  </si>
  <si>
    <t>ПП-00237797</t>
  </si>
  <si>
    <t>Тетрадь КЛЕТКА 96л. проз.пласт.обл. plastic cover КЛАССИКА NEW СИРЕНЕВАЯ (96-1434) 1 дизайн</t>
  </si>
  <si>
    <t>96-1434</t>
  </si>
  <si>
    <t>4670159214342</t>
  </si>
  <si>
    <t>Тетради А5 96л. СТАНДАРТ цветн.пласт.обл., офсетный вкладыш</t>
  </si>
  <si>
    <t>ПП-00237789</t>
  </si>
  <si>
    <t>Тетрадь КЛЕТКА 96л. цвет.пласт.обл. plastic cover НЕОН BLUE (96-1369) 1 дизайн</t>
  </si>
  <si>
    <t>96-1369</t>
  </si>
  <si>
    <t>4670159213697</t>
  </si>
  <si>
    <t>ПП-00237790</t>
  </si>
  <si>
    <t>Тетрадь КЛЕТКА 96л. цвет.пласт.обл. plastic cover НЕОН GREEN (96-1370) 1 дизайн</t>
  </si>
  <si>
    <t>96-1370</t>
  </si>
  <si>
    <t>4670159213703</t>
  </si>
  <si>
    <t>ПП-00237787</t>
  </si>
  <si>
    <t>Тетрадь КЛЕТКА 96л. цвет.пласт.обл. plastic cover НЕОН MAGENTA (96-1367) 1 дизайн</t>
  </si>
  <si>
    <t>96-1367</t>
  </si>
  <si>
    <t>4670159213673</t>
  </si>
  <si>
    <t>ПП-00237788</t>
  </si>
  <si>
    <t>Тетрадь КЛЕТКА 96л. цвет.пласт.обл. plastic cover НЕОН ORANGE (96-1368) 1 дизайн</t>
  </si>
  <si>
    <t>96-1368</t>
  </si>
  <si>
    <t>4670159213680</t>
  </si>
  <si>
    <t>ПП-00237791</t>
  </si>
  <si>
    <t>Тетрадь КЛЕТКА 96л. цвет.пласт.обл. plastic cover НЕОН YELLOW (96-1371) 1 дизайн</t>
  </si>
  <si>
    <t>96-1371</t>
  </si>
  <si>
    <t>4670159213710</t>
  </si>
  <si>
    <t>ПП-00237783</t>
  </si>
  <si>
    <t>Тетрадь КЛЕТКА 96л. цвет.пласт.обл. plastic cover ПАСТЕЛЬ BLUE (96-1306) 1 дизайн</t>
  </si>
  <si>
    <t>96-1306</t>
  </si>
  <si>
    <t>4670159213062</t>
  </si>
  <si>
    <t>ПП-00237784</t>
  </si>
  <si>
    <t>Тетрадь КЛЕТКА 96л. цвет.пласт.обл. plastic cover ПАСТЕЛЬ GREEN (96-1307) 1 дизайн</t>
  </si>
  <si>
    <t>96-1307</t>
  </si>
  <si>
    <t>4670159213079</t>
  </si>
  <si>
    <t>ПП-00237781</t>
  </si>
  <si>
    <t>Тетрадь КЛЕТКА 96л. цвет.пласт.обл. plastic cover ПАСТЕЛЬ MAGENTA (96-1304) 1 дизайн</t>
  </si>
  <si>
    <t>96-1304</t>
  </si>
  <si>
    <t>4670159213048</t>
  </si>
  <si>
    <t>ПП-00237782</t>
  </si>
  <si>
    <t>Тетрадь КЛЕТКА 96л. цвет.пласт.обл. plastic cover ПАСТЕЛЬ VIOLET (96-1305) 1 дизайн</t>
  </si>
  <si>
    <t>96-1305</t>
  </si>
  <si>
    <t>4670159213055</t>
  </si>
  <si>
    <t>ПП-00237785</t>
  </si>
  <si>
    <t>Тетрадь КЛЕТКА 96л. цвет.пласт.обл. plastic cover ПАСТЕЛЬ YELLOW (96-1308) 1 дизайн</t>
  </si>
  <si>
    <t>96-1308</t>
  </si>
  <si>
    <t>4670159213086</t>
  </si>
  <si>
    <t xml:space="preserve">    Тетради А5 96л. СТАНДАРТ (обложка- мелов.картон, лён)</t>
  </si>
  <si>
    <t>ПП-00267710</t>
  </si>
  <si>
    <t>Тетрадь КЛЕТКА 96л. АКВАРЕЛЬНЫЕ РАЗВОДЫ (96-0130) цветная мелов. обл., лён</t>
  </si>
  <si>
    <t>96-0130</t>
  </si>
  <si>
    <t>4670159301226</t>
  </si>
  <si>
    <t>ПП-00245068</t>
  </si>
  <si>
    <t>Тетрадь КЛЕТКА 96л. ВИДЫ ПРИРОДЫ - 5 (96-4323) цветная мелов. обл., лён</t>
  </si>
  <si>
    <t>96-4323</t>
  </si>
  <si>
    <t>4670159243236</t>
  </si>
  <si>
    <t>ПП-00233065</t>
  </si>
  <si>
    <t>Тетрадь КЛЕТКА 96л. ДЕВУШКИ И КОТЫ (96-8843) цветная мелов. обл., лён</t>
  </si>
  <si>
    <t>96-8843</t>
  </si>
  <si>
    <t>4670159188315</t>
  </si>
  <si>
    <t>ПП-00267711</t>
  </si>
  <si>
    <t>Тетрадь КЛЕТКА 96л. ДИЗАЙН В ПОЛОСКУ - 1 (96-0131) цветная мелов. обл., лён</t>
  </si>
  <si>
    <t>96-0131</t>
  </si>
  <si>
    <t>4670159301233</t>
  </si>
  <si>
    <t>ПП-00154238</t>
  </si>
  <si>
    <t>Тетрадь КЛЕТКА 96л. КОШАЧЬЯ НЕЖНОСТЬ (96-8097) цветная мелов. обл., лён</t>
  </si>
  <si>
    <t>96-8097</t>
  </si>
  <si>
    <t>4680088480978</t>
  </si>
  <si>
    <t>ПП-00267713</t>
  </si>
  <si>
    <t>Тетрадь КЛЕТКА 96л. МОТИВИРУЮЩИЕ СЛОВА (96-0133) цветная мелов. обл., лён</t>
  </si>
  <si>
    <t>96-0133</t>
  </si>
  <si>
    <t>4670159301257</t>
  </si>
  <si>
    <t>ПП-00267712</t>
  </si>
  <si>
    <t>Тетрадь КЛЕТКА 96л. НЕЖНАЯ ПРИРОДА - 3 (96-0132) цветная мелов. обл., лён</t>
  </si>
  <si>
    <t>96-0132</t>
  </si>
  <si>
    <t>4670159301240</t>
  </si>
  <si>
    <t>ПП-00233067</t>
  </si>
  <si>
    <t>Тетрадь КЛЕТКА 96л. СТИЛЬ МИЛИТАРИ - 5 (96-8845) цветная мелов. обл., лён</t>
  </si>
  <si>
    <t>96-8845</t>
  </si>
  <si>
    <t>4670159188339</t>
  </si>
  <si>
    <t xml:space="preserve">    Тетради А5 96л. СТАНДАРТ (обложка- мелов.картон, перевертыши)</t>
  </si>
  <si>
    <t>ПП-00267720</t>
  </si>
  <si>
    <t>Тетрадь КЛЕТКА 96л. ЗАВОРАЖИВАЮЩАЯ ПРИРОДА - 2 (96-0134) (цвет.мелов.обл., перевертыши)</t>
  </si>
  <si>
    <t>96-0134</t>
  </si>
  <si>
    <t>4670159301264</t>
  </si>
  <si>
    <t>ПП-00267723</t>
  </si>
  <si>
    <t>Тетрадь КЛЕТКА 96л. МИНИМАЛИСТИЧНЫЙ ДИЗАЙН - 18 (96-0137) (цвет.мелов.обл., перевертыши)</t>
  </si>
  <si>
    <t>96-0137</t>
  </si>
  <si>
    <t>4670159301295</t>
  </si>
  <si>
    <t>ПП-00267722</t>
  </si>
  <si>
    <t>Тетрадь КЛЕТКА 96л. ПРИРОДА И ГОРОДА - 1 (96-0136) (цвет.мелов.обл., перевертыши)</t>
  </si>
  <si>
    <t>96-0136</t>
  </si>
  <si>
    <t>4670159301288</t>
  </si>
  <si>
    <t>ПП-00267721</t>
  </si>
  <si>
    <t>Тетрадь КЛЕТКА 96л. СПОРТИВНЫЕ АВТОМОБИЛИ - 8 (96-0135) (цвет.мелов.обл., перевертыши)</t>
  </si>
  <si>
    <t>96-0135</t>
  </si>
  <si>
    <t>4670159301271</t>
  </si>
  <si>
    <t>Тетради  А5 96л. (обложка- мелов.картон с обработками)</t>
  </si>
  <si>
    <t>Тетради  А5 96л., насыщенный цветной глиттер</t>
  </si>
  <si>
    <t>ПП-00233075</t>
  </si>
  <si>
    <t>ТМ "Collezione"Тетрадь КЛЕТКА 96л. ЗАВОРАЖИВАЮЩИЕ ОГНИ (96-8848) (цв.м.обл.),5д в сп,глит.голограф.</t>
  </si>
  <si>
    <t>96-8848</t>
  </si>
  <si>
    <t>4670159188360</t>
  </si>
  <si>
    <t>ПП-00233077</t>
  </si>
  <si>
    <t>ТМ "Collezione"Тетрадь КЛЕТКА 96л. НАСТРОЕНИЕ И ПРИРОДА (96-8849) (цв.м.обл.),5д в сп,глит.голограф.</t>
  </si>
  <si>
    <t>96-8849</t>
  </si>
  <si>
    <t>4670159188377</t>
  </si>
  <si>
    <t>Тетради  А5 96л., софт-тач</t>
  </si>
  <si>
    <t>ПП-00268180</t>
  </si>
  <si>
    <t>Тетрадь КЛЕТКА 96л. БЛАГОРОДНЫЙ ЗЕЛЁНЫЙ (Т96-0189) (цв.мел.обл) 5 диз. в сп, софт-тач</t>
  </si>
  <si>
    <t>Т96-0189</t>
  </si>
  <si>
    <t>4670159301899</t>
  </si>
  <si>
    <t>ПП-00268182</t>
  </si>
  <si>
    <t>Тетрадь КЛЕТКА 96л. В СИНИХ ТОНАХ - 2 (Т96-0191) (цв.мел.обл) 5 диз. в сп, софт-тач</t>
  </si>
  <si>
    <t>Т96-0191</t>
  </si>
  <si>
    <t>4670159301912</t>
  </si>
  <si>
    <t>ПП-00268183</t>
  </si>
  <si>
    <t>Тетрадь КЛЕТКА 96л. В ЧЁРНЫХ ТОНАХ (Т96-0192) (цв.мел.обл) 5 диз. в сп, софт-тач</t>
  </si>
  <si>
    <t>Т96-0192</t>
  </si>
  <si>
    <t>4670159301929</t>
  </si>
  <si>
    <t>ПП-00268179</t>
  </si>
  <si>
    <t>Тетрадь КЛЕТКА 96л. НЕЖНЫЕ ЦВЕТА - 3 (Т96-0188) (цв.мел.обл) 5 диз. в сп, софт-тач</t>
  </si>
  <si>
    <t>Т96-0188</t>
  </si>
  <si>
    <t>4670159301882</t>
  </si>
  <si>
    <t>ПП-00268181</t>
  </si>
  <si>
    <t>Тетрадь КЛЕТКА 96л. НЕЖНЫЙ РОЗОВЫЙ (Т96-0190) (цв.мел.обл) 5 диз. в сп, софт-тач</t>
  </si>
  <si>
    <t>Т96-0190</t>
  </si>
  <si>
    <t>4670159301905</t>
  </si>
  <si>
    <t>ПП-00233088</t>
  </si>
  <si>
    <t>ТМ"Collezione"Тетрадь КЛЕТКА 96л. РАЗНЫЕ МАШИНЫ (96-8850) (цв.мел.обл) 4 диз. в серии, софт-тач</t>
  </si>
  <si>
    <t>96-8850</t>
  </si>
  <si>
    <t>4670159188384</t>
  </si>
  <si>
    <t>08 Тетради ПРЕДМЕТНЫЕ А5 (170х203)</t>
  </si>
  <si>
    <t xml:space="preserve">   КОМПЛЕКТЫ ПРЕДМЕТНЫХ ТЕТРАДЕЙ</t>
  </si>
  <si>
    <t>ПП-00217474</t>
  </si>
  <si>
    <t>TМ Prof-Press Комплект (12 шт.) тетрадей 48л. «МАНГА» (Т48-1593) стандарт, твин-лак, бандероль + пэт</t>
  </si>
  <si>
    <t>Т48-1593</t>
  </si>
  <si>
    <t>4670159115939</t>
  </si>
  <si>
    <t>ПП-00242031</t>
  </si>
  <si>
    <t>Комплект (12 шт.) предметных тетрадей 48л. «BLACK&amp;GOLD» (48-2718) х.фол,софт-тач,выб.л,бандероль+пэт</t>
  </si>
  <si>
    <t>48-2718</t>
  </si>
  <si>
    <t>4670159225027</t>
  </si>
  <si>
    <t>ПП-00245774</t>
  </si>
  <si>
    <t>Комплект (12 шт.) предметных тетрадей 48л. «COLD NATURE» (48-4410) стандарт, софт-тач, бандероль+пэт</t>
  </si>
  <si>
    <t>48-4410</t>
  </si>
  <si>
    <t>4670159244967</t>
  </si>
  <si>
    <t>ПП-00245784</t>
  </si>
  <si>
    <t>Комплект (12 шт.) предметных тетрадей 48л. «FLUID ART» (48-4415) стандарт, софт-тач, бандероль + пэт</t>
  </si>
  <si>
    <t>48-4415</t>
  </si>
  <si>
    <t>4670159245063</t>
  </si>
  <si>
    <t>ПП-00245766</t>
  </si>
  <si>
    <t>Комплект (12 шт.) предметных тетрадей 48л. «LIGHT FLUID» (48-4488) стандарт, мат.лам,тисн.ф,банд+пэт</t>
  </si>
  <si>
    <t>48-4488</t>
  </si>
  <si>
    <t>4670159244882</t>
  </si>
  <si>
    <t>ПП-00266170</t>
  </si>
  <si>
    <t>Комплект (12 шт.) предметных тетрадей 48л. «Qr-код» (48-9944) стандарт,мат. лам. (4+1),бандероль+пэт</t>
  </si>
  <si>
    <t>48-9944</t>
  </si>
  <si>
    <t>4670159298557</t>
  </si>
  <si>
    <t>ПП-00245769</t>
  </si>
  <si>
    <t>Комплект (12 шт.) предметных тетрадей 48л. «TEXTURE ART» (48-4491) стандарт, мат.лам,тисн.ф,банд+пэт</t>
  </si>
  <si>
    <t>48-4491</t>
  </si>
  <si>
    <t>4670159244912</t>
  </si>
  <si>
    <t>ПП-00242025</t>
  </si>
  <si>
    <t>Комплект (12 шт.) предметных тетрадей 48л. «НА УРОКЕ» (48-2380) стандарт, софт-тач, бандероль</t>
  </si>
  <si>
    <t>48-2380</t>
  </si>
  <si>
    <t>4670159223801</t>
  </si>
  <si>
    <t>ПП-00217209</t>
  </si>
  <si>
    <t>TM Remix Тетрадь КЛЕТКА 48л. НЕМЕЦКИЙ ЯЗЫК «ТАЙНА ЗНАНИЙ» (Т48-1396) суперэконом, б/о, второй блок</t>
  </si>
  <si>
    <t>Т48-1396</t>
  </si>
  <si>
    <t>4670159113966</t>
  </si>
  <si>
    <t xml:space="preserve"> TM Profit Тетради предметные эконом, б/о</t>
  </si>
  <si>
    <t>TM Profit 48л. «ОСТРОУМИЕ И ОТВАГА» эконом-вариант, б/о</t>
  </si>
  <si>
    <t>ПП-00242005</t>
  </si>
  <si>
    <t>TM Profit Тетрадь  КЛЕТКА 48л. АЛГЕБРА «ОСТРОУМИЕ И ОТВАГА» (48-2398) эконом-вариант, б/о</t>
  </si>
  <si>
    <t>48-2398</t>
  </si>
  <si>
    <t>4670159223986</t>
  </si>
  <si>
    <t>ПП-00242075</t>
  </si>
  <si>
    <t>TM Profit Тетрадь  КЛЕТКА 48л. ГЕОГРАФИЯ «ОСТРОУМИЕ И ОТВАГА» (48-2401) эконом-вариант, б/о</t>
  </si>
  <si>
    <t>48-2401</t>
  </si>
  <si>
    <t>4670159224013</t>
  </si>
  <si>
    <t>ПП-00242076</t>
  </si>
  <si>
    <t>TM Profit Тетрадь  КЛЕТКА 48л. ГЕОМЕТРИЯ «ОСТРОУМИЕ И ОТВАГА» (48-2402) эконом-вариант, б/о</t>
  </si>
  <si>
    <t>48-2402</t>
  </si>
  <si>
    <t>4670159224020</t>
  </si>
  <si>
    <t>ПП-00242077</t>
  </si>
  <si>
    <t>TM Profit Тетрадь  КЛЕТКА 48л. ИНОСТРАННЫЙ ЯЗЫК «ОСТРОУМИЕ И ОТВАГА» (48-2403) эконом-вариант,б/о</t>
  </si>
  <si>
    <t>48-2403</t>
  </si>
  <si>
    <t>4670159224037</t>
  </si>
  <si>
    <t>ПП-00242085</t>
  </si>
  <si>
    <t>TM Profit Тетрадь  КЛЕТКА 48л. МАТЕМАТИКА «ОСТРОУМИЕ И ОТВАГА» (48-2406) эконом-вариант,б/о</t>
  </si>
  <si>
    <t>48-2406</t>
  </si>
  <si>
    <t>4670159224068</t>
  </si>
  <si>
    <t>ПП-00242093</t>
  </si>
  <si>
    <t>TM Profit Тетрадь  КЛЕТКА 48л. МИРОВАЯ  ХУД-Я КУЛЬТУРА «ОСТРОУМИЕ И ОТВАГА» (48-2414) эконом-вар,б/о</t>
  </si>
  <si>
    <t>48-2414</t>
  </si>
  <si>
    <t>4670159224143</t>
  </si>
  <si>
    <t>ПП-00242086</t>
  </si>
  <si>
    <t>TM Profit Тетрадь  КЛЕТКА 48л. НЕМЕЦКИЙ ЯЗЫК «ОСТРОУМИЕ И ОТВАГА» (48-2407) эконом-вариант,б/о</t>
  </si>
  <si>
    <t>48-2407</t>
  </si>
  <si>
    <t>4670159224075</t>
  </si>
  <si>
    <t>ПП-00242087</t>
  </si>
  <si>
    <t>TM Profit Тетрадь  КЛЕТКА 48л. ОБиЗР «ОСТРОУМИЕ И ОТВАГА» (48-2408) эконом-вариант,б/о</t>
  </si>
  <si>
    <t>48-2408</t>
  </si>
  <si>
    <t>4670159224082</t>
  </si>
  <si>
    <t>ПП-00242088</t>
  </si>
  <si>
    <t>TM Profit Тетрадь  КЛЕТКА 48л. ОБЩЕСТВОЗНАНИЕ «ОСТРОУМИЕ И ОТВАГА» (48-2409) эконом-вариант,б/о</t>
  </si>
  <si>
    <t>48-2409</t>
  </si>
  <si>
    <t>4670159224099</t>
  </si>
  <si>
    <t>ПП-00242089</t>
  </si>
  <si>
    <t>TM Profit Тетрадь  КЛЕТКА 48л. ФИЗИКА «ОСТРОУМИЕ И ОТВАГА» (48-2410) эконом-вариант,б/о</t>
  </si>
  <si>
    <t>48-2410</t>
  </si>
  <si>
    <t>4670159224105</t>
  </si>
  <si>
    <t>ПП-00242095</t>
  </si>
  <si>
    <t>TM Profit Тетрадь  КЛЕТКА 48л. ФРАНЦУЗСКИЙ ЯЗЫК «ОСТРОУМИЕ И ОТВАГА» (48-2434) эконом-вариант,б/о</t>
  </si>
  <si>
    <t>48-2434</t>
  </si>
  <si>
    <t>4670159224174</t>
  </si>
  <si>
    <t>ПП-00242090</t>
  </si>
  <si>
    <t>TM Profit Тетрадь  КЛЕТКА 48л. ХИМИЯ «ОСТРОУМИЕ И ОТВАГА» (48-2411) эконом-вариант,б/о</t>
  </si>
  <si>
    <t>48-2411</t>
  </si>
  <si>
    <t>4670159224112</t>
  </si>
  <si>
    <t>ПП-00242096</t>
  </si>
  <si>
    <t>TM Profit Тетрадь  ЛИНИЯ 48л. ДЛЯ СОЧИНЕНИЙ «ОСТРОУМИЕ И ОТВАГА» (48-2433) эконом-вариант,б/о</t>
  </si>
  <si>
    <t>48-2433</t>
  </si>
  <si>
    <t>4670159224167</t>
  </si>
  <si>
    <t>ПП-00242091</t>
  </si>
  <si>
    <t>TM Profit Тетрадь  ЛИНИЯ 48л. ЛИТЕРАТУРА «ОСТРОУМИЕ И ОТВАГА» (48-2412) эконом-вариант,б/о</t>
  </si>
  <si>
    <t>48-2412</t>
  </si>
  <si>
    <t>4670159224129</t>
  </si>
  <si>
    <t>ПП-00242094</t>
  </si>
  <si>
    <t>TM Profit Тетрадь  ЛИНИЯ 48л. МИРОВАЯ ХУД-Я ЛИТЕРАТУРА «ОСТРОУМИЕ И ОТВАГА» (48-2415) эконом,б/о</t>
  </si>
  <si>
    <t>48-2415</t>
  </si>
  <si>
    <t>4670159224150</t>
  </si>
  <si>
    <t>ПП-00242092</t>
  </si>
  <si>
    <t>TM Profit Тетрадь  ЛИНИЯ 48л. РУССКИЙ ЯЗЫК «ОСТРОУМИЕ И ОТВАГА» (48-2413) эконом-вариант,б/о</t>
  </si>
  <si>
    <t>48-2413</t>
  </si>
  <si>
    <t>4670159224136</t>
  </si>
  <si>
    <t>TM Profit Тетради предметные 36л. «МИР ВОКРУГ» эконом-вариант, б/о</t>
  </si>
  <si>
    <t>ПП-00242003</t>
  </si>
  <si>
    <t>TM Profit Тетрадь КЛЕТКА 36л. АЛГЕБРА «МИР ВОКРУГ» (36-2381) эконом-вариант, б/о</t>
  </si>
  <si>
    <t>36-2381</t>
  </si>
  <si>
    <t>4670159223818</t>
  </si>
  <si>
    <t>ПП-00242057</t>
  </si>
  <si>
    <t>TM Profit Тетрадь КЛЕТКА 36л. АНГЛИЙСКИЙ ЯЗЫК «МИР ВОКРУГ» (36-2382) эконом-вариант, б/о</t>
  </si>
  <si>
    <t>36-2382</t>
  </si>
  <si>
    <t>4670159223825</t>
  </si>
  <si>
    <t>ПП-00242059</t>
  </si>
  <si>
    <t>TM Profit Тетрадь КЛЕТКА 36л. ГЕОГРАФИЯ «МИР ВОКРУГ» (36-2384) эконом-вариант, б/о</t>
  </si>
  <si>
    <t>36-2384</t>
  </si>
  <si>
    <t>4670159223849</t>
  </si>
  <si>
    <t>ПП-00242060</t>
  </si>
  <si>
    <t>TM Profit Тетрадь КЛЕТКА 36л. ГЕОМЕТРИЯ «МИР ВОКРУГ» (36-2385) эконом-вариант, б/о</t>
  </si>
  <si>
    <t>36-2385</t>
  </si>
  <si>
    <t>4670159223856</t>
  </si>
  <si>
    <t>ПП-00242061</t>
  </si>
  <si>
    <t>TM Profit Тетрадь КЛЕТКА 36л. ИНОСТРАННЫЙ ЯЗЫК «МИР ВОКРУГ» (36-2386) эконом-вариант, б/о</t>
  </si>
  <si>
    <t>36-2386</t>
  </si>
  <si>
    <t>4670159223863</t>
  </si>
  <si>
    <t>ПП-00242062</t>
  </si>
  <si>
    <t>TM Profit Тетрадь КЛЕТКА 36л. ИНФОРМАТИКА «МИР ВОКРУГ» (36-2387) эконом-вариант, б/о</t>
  </si>
  <si>
    <t>36-2387</t>
  </si>
  <si>
    <t>4670159223870</t>
  </si>
  <si>
    <t>ПП-00242063</t>
  </si>
  <si>
    <t>TM Profit Тетрадь КЛЕТКА 36л. ИСТОРИЯ «МИР ВОКРУГ» (36-2388) эконом-вариант, б/о</t>
  </si>
  <si>
    <t>36-2388</t>
  </si>
  <si>
    <t>4670159223887</t>
  </si>
  <si>
    <t>ПП-00242065</t>
  </si>
  <si>
    <t>TM Profit Тетрадь КЛЕТКА 36л. НЕМЕЦКИЙ ЯЗЫК «МИР ВОКРУГ» (36-2390) эконом-вариант, б/о</t>
  </si>
  <si>
    <t>36-2390</t>
  </si>
  <si>
    <t>4670159223900</t>
  </si>
  <si>
    <t>ПП-00242066</t>
  </si>
  <si>
    <t>TM Profit Тетрадь КЛЕТКА 36л. ОБиЗР «МИР ВОКРУГ» (36-2391) эконом-вариант, б/о</t>
  </si>
  <si>
    <t>36-2391</t>
  </si>
  <si>
    <t>4670159223917</t>
  </si>
  <si>
    <t>ПП-00242067</t>
  </si>
  <si>
    <t>TM Profit Тетрадь КЛЕТКА 36л. ОБЩЕСТВОЗНАНИЕ «МИР ВОКРУГ» (36-2392) эконом-вариант, б/о</t>
  </si>
  <si>
    <t>36-2392</t>
  </si>
  <si>
    <t>4670159223924</t>
  </si>
  <si>
    <t>ПП-00242068</t>
  </si>
  <si>
    <t>TM Profit Тетрадь КЛЕТКА 36л. ФИЗИКА «МИР ВОКРУГ» (36-2393) эконом-вариант, б/о</t>
  </si>
  <si>
    <t>36-2393</t>
  </si>
  <si>
    <t>4670159223931</t>
  </si>
  <si>
    <t>ПП-00242069</t>
  </si>
  <si>
    <t>TM Profit Тетрадь КЛЕТКА 36л. ХИМИЯ «МИР ВОКРУГ» (36-2394) эконом-вариант, б/о</t>
  </si>
  <si>
    <t>36-2394</t>
  </si>
  <si>
    <t>4670159223948</t>
  </si>
  <si>
    <t>ПП-00242070</t>
  </si>
  <si>
    <t>TM Profit Тетрадь ЛИНИЯ 36л. ЛИТЕРАТУРА «МИР ВОКРУГ» (36-2395) эконом-вариант, б/о</t>
  </si>
  <si>
    <t>36-2395</t>
  </si>
  <si>
    <t>4670159223955</t>
  </si>
  <si>
    <t>ПП-00242071</t>
  </si>
  <si>
    <t>TM Profit Тетрадь ЛИНИЯ 36л. РУССКИЙ ЯЗЫК «МИР ВОКРУГ» (36-2396) эконом-вариант, б/о</t>
  </si>
  <si>
    <t>36-2396</t>
  </si>
  <si>
    <t>4670159223962</t>
  </si>
  <si>
    <t>TM Profit Тетради предметные 48л. «Nature» эконом-вариант, б/о</t>
  </si>
  <si>
    <t>ПП-00266088</t>
  </si>
  <si>
    <t>TM Profit Тетрадь КЛЕТКА 48л. АЛГЕБРА «Nature» (48-9840) эконом-вариант, б/о</t>
  </si>
  <si>
    <t>48-9840</t>
  </si>
  <si>
    <t>4670159297840</t>
  </si>
  <si>
    <t>ПП-00266093</t>
  </si>
  <si>
    <t>TM Profit Тетрадь КЛЕТКА 48л. ИНОСТРАННЫЙ ЯЗЫК «Nature» (48-9846) эконом-вариант, б/о</t>
  </si>
  <si>
    <t>48-9846</t>
  </si>
  <si>
    <t>4670159297895</t>
  </si>
  <si>
    <t>ПП-00266094</t>
  </si>
  <si>
    <t>TM Profit Тетрадь КЛЕТКА 48л. ИНФОРМАТИКА «Nature» (48-9847) эконом-вариант, б/о</t>
  </si>
  <si>
    <t>48-9847</t>
  </si>
  <si>
    <t>4670159297901</t>
  </si>
  <si>
    <t>ПП-00266096</t>
  </si>
  <si>
    <t>TM Profit Тетрадь КЛЕТКА 48л. МАТЕМАТИКА «Nature» (48-9849) эконом-вариант, б/о</t>
  </si>
  <si>
    <t>48-9849</t>
  </si>
  <si>
    <t>4670159297925</t>
  </si>
  <si>
    <t>ПП-00266104</t>
  </si>
  <si>
    <t>TM Profit Тетрадь КЛЕТКА 48л. МИРОВАЯ ХУДОЖЕСТРЕННАЯ КУЛЬТУРА «Nature» (48-9857) эконом-вариант, б/о</t>
  </si>
  <si>
    <t>48-9857</t>
  </si>
  <si>
    <t>4670159298007</t>
  </si>
  <si>
    <t>ПП-00266097</t>
  </si>
  <si>
    <t>TM Profit Тетрадь КЛЕТКА 48л. НЕМЕЦКИЙ ЯЗЫК «Nature» (48-9850) эконом-вариант, б/о</t>
  </si>
  <si>
    <t>48-9850</t>
  </si>
  <si>
    <t>4670159297932</t>
  </si>
  <si>
    <t>ПП-00266098</t>
  </si>
  <si>
    <t>TM Profit Тетрадь КЛЕТКА 48л. ОБиЗР «Nature» (48-9851) эконом-вариант, б/о</t>
  </si>
  <si>
    <t>48-9851</t>
  </si>
  <si>
    <t>4670159297949</t>
  </si>
  <si>
    <t>ПП-00266099</t>
  </si>
  <si>
    <t>TM Profit Тетрадь КЛЕТКА 48л. ОБЩЕСТВОЗНАНИЕ «Nature» (48-9852) эконом-вариант, б/о</t>
  </si>
  <si>
    <t>48-9852</t>
  </si>
  <si>
    <t>4670159297956</t>
  </si>
  <si>
    <t>ПП-00266100</t>
  </si>
  <si>
    <t>TM Profit Тетрадь КЛЕТКА 48л. ФИЗИКА «Nature» (48-9853) эконом-вариант, б/о</t>
  </si>
  <si>
    <t>48-9853</t>
  </si>
  <si>
    <t>4670159297963</t>
  </si>
  <si>
    <t>ПП-00266107</t>
  </si>
  <si>
    <t>TM Profit Тетрадь КЛЕТКА 48л. ФРАНЦУЗСКИЙ ЯЗЫК «Nature» (48-9860) эконом-вариант, б/о</t>
  </si>
  <si>
    <t>48-9860</t>
  </si>
  <si>
    <t>4670159298038</t>
  </si>
  <si>
    <t>ПП-00266101</t>
  </si>
  <si>
    <t>TM Profit Тетрадь КЛЕТКА 48л. ХИМИЯ «Nature» (48-9854) эконом-вариант, б/о</t>
  </si>
  <si>
    <t>48-9854</t>
  </si>
  <si>
    <t>4670159297970</t>
  </si>
  <si>
    <t>ПП-00266105</t>
  </si>
  <si>
    <t>TM Profit Тетрадь ЛИНИЯ 48л. ДЛЯ ЛЮБИМОГО ПРЕДМЕТА «Nature» (48-9858) эконом-вариант, б/о</t>
  </si>
  <si>
    <t>48-9858</t>
  </si>
  <si>
    <t>4670159298014</t>
  </si>
  <si>
    <t>ПП-00266106</t>
  </si>
  <si>
    <t>TM Profit Тетрадь ЛИНИЯ 48л. ДЛЯ СОЧИНЕНИЙ «Nature» (48-9859) эконом-вариант, б/о</t>
  </si>
  <si>
    <t>48-9859</t>
  </si>
  <si>
    <t>4670159298021</t>
  </si>
  <si>
    <t>TM Profit Тетради предметные 48л. «КОНТРАСТЫ» эконом-вариант, б/о</t>
  </si>
  <si>
    <t>ПП-00217234</t>
  </si>
  <si>
    <t>TM Profit Тетрадь КЛЕТКА 48л. АЛГЕБРА «КОНТРАСТЫ» (Т48-1403) эконом-вариант, б/о</t>
  </si>
  <si>
    <t>Т48-1403</t>
  </si>
  <si>
    <t>4670159114031</t>
  </si>
  <si>
    <t>ПП-00217239</t>
  </si>
  <si>
    <t>TM Profit Тетрадь КЛЕТКА 48л. ИНОСТРАННЫЙ ЯЗЫК «КОНТРАСТЫ» (Т48-1408) эконом-вариант, б/о</t>
  </si>
  <si>
    <t>Т48-1408</t>
  </si>
  <si>
    <t>4670159114086</t>
  </si>
  <si>
    <t>ПП-00217240</t>
  </si>
  <si>
    <t>TM Profit Тетрадь КЛЕТКА 48л. ИНФОРМАТИКА «КОНТРАСТЫ» (Т48-1409) эконом-вариант, б/о</t>
  </si>
  <si>
    <t>Т48-1409</t>
  </si>
  <si>
    <t>4670159114093</t>
  </si>
  <si>
    <t>ПП-00217242</t>
  </si>
  <si>
    <t>TM Profit Тетрадь КЛЕТКА 48л. МАТЕМАТИКА «КОНТРАСТЫ» (Т48-1411) эконом-вариант, б/о</t>
  </si>
  <si>
    <t>Т48-1411</t>
  </si>
  <si>
    <t>4670159114116</t>
  </si>
  <si>
    <t>ПП-00217248</t>
  </si>
  <si>
    <t>TM Profit Тетрадь КЛЕТКА 48л. МИРОВАЯ ХУДОЖЕСТРЕННАЯ КУЛЬТУРА «КОНТРАСТЫ» (Т48-1419) эконом-вар, б/о</t>
  </si>
  <si>
    <t>Т48-1419</t>
  </si>
  <si>
    <t>4670159114192</t>
  </si>
  <si>
    <t>ПП-00217243</t>
  </si>
  <si>
    <t>TM Profit Тетрадь КЛЕТКА 48л. НЕМЕЦКИЙ ЯЗЫК «КОНТРАСТЫ» (Т48-1412) эконом-вариант, б/о</t>
  </si>
  <si>
    <t>Т48-1412</t>
  </si>
  <si>
    <t>4670159114123</t>
  </si>
  <si>
    <t>ПП-00217245</t>
  </si>
  <si>
    <t>TM Profit Тетрадь КЛЕТКА 48л. ОБЩЕСТВОЗНАНИЕ «КОНТРАСТЫ» (Т48-1414) эконом-вариант, б/о</t>
  </si>
  <si>
    <t>Т48-1414</t>
  </si>
  <si>
    <t>4670159114147</t>
  </si>
  <si>
    <t>ПП-00217249</t>
  </si>
  <si>
    <t>TM Profit Тетрадь КЛЕТКА 48л. ФРАНЦУЗСКИЙ ЯЗЫК «КОНТРАСТЫ» (Т48-1422) эконом-вариант, б/о</t>
  </si>
  <si>
    <t>Т48-1422</t>
  </si>
  <si>
    <t>4670159114222</t>
  </si>
  <si>
    <t>ПП-00217247</t>
  </si>
  <si>
    <t>TM Profit Тетрадь КЛЕТКА 48л. ХИМИЯ «КОНТРАСТЫ» (Т48-1416) эконом-вариант, б/о</t>
  </si>
  <si>
    <t>Т48-1416</t>
  </si>
  <si>
    <t>4670159114161</t>
  </si>
  <si>
    <t>ПП-00217253</t>
  </si>
  <si>
    <t>TM Profit Тетрадь ЛИНИЯ 48л. ДЛЯ СОЧИНЕНИЙ «КОНТРАСТЫ» (Т48-1421) эконом-вариант, б/о</t>
  </si>
  <si>
    <t>Т48-1421</t>
  </si>
  <si>
    <t>4670159114215</t>
  </si>
  <si>
    <t>ПП-00217250</t>
  </si>
  <si>
    <t>TM Profit Тетрадь ЛИНИЯ 48л. ЛИТЕРАТУРА «КОНТРАСТЫ» (Т48-1417) эконом-вариант, б/о</t>
  </si>
  <si>
    <t>Т48-1417</t>
  </si>
  <si>
    <t>4670159114178</t>
  </si>
  <si>
    <t>ПП-00217252</t>
  </si>
  <si>
    <t>TM Profit Тетрадь ЛИНИЯ 48л. МИРОВАЯ ХУДОЖЕСТВЕННАЯ ЛИТЕРАТУРА «КОНТРАСТЫ» (Т48-1420) эконом-вар,б/о</t>
  </si>
  <si>
    <t>Т48-1420</t>
  </si>
  <si>
    <t>4670159114208</t>
  </si>
  <si>
    <t>ПП-00217251</t>
  </si>
  <si>
    <t>TM Profit Тетрадь ЛИНИЯ 48л. РУССКИЙ ЯЗЫК «КОНТРАСТЫ» (Т48-1418) эконом-вариант, б/о</t>
  </si>
  <si>
    <t>Т48-1418</t>
  </si>
  <si>
    <t>4670159114185</t>
  </si>
  <si>
    <t>TM Prof-Press Тетради предметные стандарт, с доп. обработками</t>
  </si>
  <si>
    <t xml:space="preserve">     TМ Prof-Press 48л. «MINI FRIENDS» стандарт, тиснение лён</t>
  </si>
  <si>
    <t>ПП-00242121</t>
  </si>
  <si>
    <t>TM Prof-Press Тетрадь КЛЕТКА 48л. ИНОСТРАННЫЙ ЯЗЫК «MINI FRIENDS» (48-2524) стандарт,тисн лён</t>
  </si>
  <si>
    <t>48-2524</t>
  </si>
  <si>
    <t>4670159224402</t>
  </si>
  <si>
    <t>ПП-00242122</t>
  </si>
  <si>
    <t>TM Prof-Press Тетрадь КЛЕТКА 48л. ИНФОРМАТИКА «MINI FRIENDS» (48-2509) стандарт,тисн лён</t>
  </si>
  <si>
    <t>48-2509</t>
  </si>
  <si>
    <t>4670159224419</t>
  </si>
  <si>
    <t>ПП-00242124</t>
  </si>
  <si>
    <t>TM Prof-Press Тетрадь КЛЕТКА 48л. МАТЕМАТИКА «MINI FRIENDS» (48-2511) стандарт,тисн лён</t>
  </si>
  <si>
    <t>48-2511</t>
  </si>
  <si>
    <t>4670159224433</t>
  </si>
  <si>
    <t>ПП-00242125</t>
  </si>
  <si>
    <t>TM Prof-Press Тетрадь КЛЕТКА 48л. НЕМЕЦКИЙ ЯЗЫК «MINI FRIENDS» (48-2525) стандарт,тисн лён</t>
  </si>
  <si>
    <t>48-2525</t>
  </si>
  <si>
    <t>4670159224440</t>
  </si>
  <si>
    <t>ПП-00242126</t>
  </si>
  <si>
    <t>TM Prof-Press Тетрадь КЛЕТКА 48л. ОБиЗР «MINI FRIENDS» (48-2513) стандарт, тиснение лён</t>
  </si>
  <si>
    <t>48-2513</t>
  </si>
  <si>
    <t>4670159224457</t>
  </si>
  <si>
    <t>ПП-00242127</t>
  </si>
  <si>
    <t>TM Prof-Press Тетрадь КЛЕТКА 48л. ОБЩЕСТВОЗНАНИЕ «MINI FRIENDS» (48-2514) стандарт,тисн лён</t>
  </si>
  <si>
    <t>48-2514</t>
  </si>
  <si>
    <t>4670159224464</t>
  </si>
  <si>
    <t>ПП-00242129</t>
  </si>
  <si>
    <t>TM Prof-Press Тетрадь КЛЕТКА 48л. ХИМИЯ «MINI FRIENDS» (48-2516) стандарт, тиснение лён</t>
  </si>
  <si>
    <t>48-2516</t>
  </si>
  <si>
    <t>4670159224488</t>
  </si>
  <si>
    <t>ПП-00242130</t>
  </si>
  <si>
    <t>TM Prof-Press Тетрадь ЛИНИЯ 48л. ЛИТЕРАТУРА «MINI FRIENDS» (48-2517) стандарт,тисн лён</t>
  </si>
  <si>
    <t>48-2517</t>
  </si>
  <si>
    <t>4670159224495</t>
  </si>
  <si>
    <t xml:space="preserve">    TМ Prof-Press 48л. «ПРО ХВОСТ» стандарт, тиснение холст</t>
  </si>
  <si>
    <t>ПП-00242008</t>
  </si>
  <si>
    <t>TM Prof-Press Тетрадь КЛЕТКА 48л. АЛГЕБРА «ПРО ХВОСТ» (48-2459) стандарт, тиснение холст</t>
  </si>
  <si>
    <t>48-2459</t>
  </si>
  <si>
    <t>4670159224198</t>
  </si>
  <si>
    <t>ПП-00242102</t>
  </si>
  <si>
    <t>TM Prof-Press Тетрадь КЛЕТКА 48л. ИНФОРМАТИКА «ПРО ХВОСТ» (48-2478) стандарт, тисн холст</t>
  </si>
  <si>
    <t>48-2478</t>
  </si>
  <si>
    <t>4670159224259</t>
  </si>
  <si>
    <t>ПП-00242103</t>
  </si>
  <si>
    <t>TM Prof-Press Тетрадь КЛЕТКА 48л. ИСТОРИЯ «ПРО ХВОСТ» (48-2479) стандарт, тиснение холст</t>
  </si>
  <si>
    <t>48-2479</t>
  </si>
  <si>
    <t>4670159224266</t>
  </si>
  <si>
    <t>ПП-00242105</t>
  </si>
  <si>
    <t>TM Prof-Press Тетрадь КЛЕТКА 48л. НЕМЕЦКИЙ ЯЗЫК «ПРО ХВОСТ» (48-2481) стандарт, тиснение холст</t>
  </si>
  <si>
    <t>48-2481</t>
  </si>
  <si>
    <t>4670159224280</t>
  </si>
  <si>
    <t>ПП-00242106</t>
  </si>
  <si>
    <t>TM Prof-Press Тетрадь КЛЕТКА 48л. ОБиЗР «ПРО ХВОСТ» (48-2497) стандарт, тиснение холст</t>
  </si>
  <si>
    <t>48-2497</t>
  </si>
  <si>
    <t>4670159224297</t>
  </si>
  <si>
    <t>ПП-00242108</t>
  </si>
  <si>
    <t>TM Prof-Press Тетрадь КЛЕТКА 48л. ОБЩЕСТВОЗНАНИЕ «ПРО ХВОСТ» (48-2498) стандарт, тиснение холст</t>
  </si>
  <si>
    <t>48-2498</t>
  </si>
  <si>
    <t>4670159224303</t>
  </si>
  <si>
    <t xml:space="preserve"> TМ Prof-Press 48л. «BLACK&amp;GOLD» стандарт, холодная фольга, софт-тач, выб. лак</t>
  </si>
  <si>
    <t>ПП-00242018</t>
  </si>
  <si>
    <t>TM Prof-Press Тетрадь КЛЕТКА 48л. АЛГЕБРА «BLACK&amp;GOLD» (48-2679) хол.фол,софт-тач,выб.лак</t>
  </si>
  <si>
    <t>48-2679</t>
  </si>
  <si>
    <t>4670159224860</t>
  </si>
  <si>
    <t>ПП-00242167</t>
  </si>
  <si>
    <t>TM Prof-Press Тетрадь КЛЕТКА 48л. ИНОСТРАННЫЙ ЯЗЫК «BLACK&amp;GOLD» (48-2684) хол.фол,софт-тач,выб.лак</t>
  </si>
  <si>
    <t>48-2684</t>
  </si>
  <si>
    <t>4670159224914</t>
  </si>
  <si>
    <t>ПП-00242170</t>
  </si>
  <si>
    <t>TM Prof-Press Тетрадь КЛЕТКА 48л. МАТЕМАТИКА «BLACK&amp;GOLD» (48-2710) хол.фол,софт-тач,выб.лак</t>
  </si>
  <si>
    <t>48-2710</t>
  </si>
  <si>
    <t>4670159224945</t>
  </si>
  <si>
    <t>ПП-00242171</t>
  </si>
  <si>
    <t>TM Prof-Press Тетрадь КЛЕТКА 48л. НЕМЕЦКИЙ ЯЗЫК «BLACK&amp;GOLD» (48-2711) хол.фол,софт-тач,выб.лак</t>
  </si>
  <si>
    <t>48-2711</t>
  </si>
  <si>
    <t>4670159224952</t>
  </si>
  <si>
    <t>ПП-00242172</t>
  </si>
  <si>
    <t>TM Prof-Press Тетрадь КЛЕТКА 48л. ОБиЗР «BLACK&amp;GOLD» (48-2712) хол.фол,софт-тач,выб.лак</t>
  </si>
  <si>
    <t>48-2712</t>
  </si>
  <si>
    <t>4670159224969</t>
  </si>
  <si>
    <t>ПП-00242173</t>
  </si>
  <si>
    <t>TM Prof-Press Тетрадь КЛЕТКА 48л. ОБЩЕСТВОЗНАНИЕ «BLACK&amp;GOLD» (48-2713) хол.фол,софт-тач,выб.лак</t>
  </si>
  <si>
    <t>48-2713</t>
  </si>
  <si>
    <t>4670159224976</t>
  </si>
  <si>
    <t>ПП-00242175</t>
  </si>
  <si>
    <t>TM Prof-Press Тетрадь КЛЕТКА 48л. ХИМИЯ «BLACK&amp;GOLD» (48-2715) хол.фол,софт-тач,выб.лак</t>
  </si>
  <si>
    <t>48-2715</t>
  </si>
  <si>
    <t>4670159224990</t>
  </si>
  <si>
    <t>TМ Prof-Press 48л. «BAD CAT» стандарт, тиснение холст</t>
  </si>
  <si>
    <t>ПП-00266110</t>
  </si>
  <si>
    <t>TМ Prof-Press Тетрадь КЛЕТКА 48л. АЛГЕБРА «BAD CAT» (48-9862) стандарт, тиснение холст</t>
  </si>
  <si>
    <t>48-9862</t>
  </si>
  <si>
    <t>4670159298052</t>
  </si>
  <si>
    <t>ПП-00266111</t>
  </si>
  <si>
    <t>TМ Prof-Press Тетрадь КЛЕТКА 48л. АНГЛИЙСКИЙ ЯЗЫК «BAD CAT» (48-9863) стандарт, тиснение холст</t>
  </si>
  <si>
    <t>48-9863</t>
  </si>
  <si>
    <t>4670159298069</t>
  </si>
  <si>
    <t>ПП-00266113</t>
  </si>
  <si>
    <t>TМ Prof-Press Тетрадь КЛЕТКА 48л. ГЕОГРАФИЯ «BAD CAT» (48-9865) стандарт, тиснение холст</t>
  </si>
  <si>
    <t>48-9865</t>
  </si>
  <si>
    <t>4670159298083</t>
  </si>
  <si>
    <t>ПП-00266114</t>
  </si>
  <si>
    <t>TМ Prof-Press Тетрадь КЛЕТКА 48л. ГЕОМЕТРИЯ «BAD CAT» (48-9866) стандарт, тиснение холст</t>
  </si>
  <si>
    <t>48-9866</t>
  </si>
  <si>
    <t>4670159298090</t>
  </si>
  <si>
    <t>ПП-00266115</t>
  </si>
  <si>
    <t>TМ Prof-Press Тетрадь КЛЕТКА 48л. ИНОСТРАННЫЙ ЯЗЫК «BAD CAT» (48-9867) стандарт, тиснение холст</t>
  </si>
  <si>
    <t>48-9867</t>
  </si>
  <si>
    <t>4670159298106</t>
  </si>
  <si>
    <t>ПП-00266118</t>
  </si>
  <si>
    <t>TМ Prof-Press Тетрадь КЛЕТКА 48л. МАТЕМАТИКА «BAD CAT» (48-9870) стандарт, тиснение холст</t>
  </si>
  <si>
    <t>48-9870</t>
  </si>
  <si>
    <t>4670159298137</t>
  </si>
  <si>
    <t>ПП-00266119</t>
  </si>
  <si>
    <t>TМ Prof-Press Тетрадь КЛЕТКА 48л. НЕМЕЦКИЙ ЯЗЫК «BAD CAT» (48-9871) стандарт, тиснение холст</t>
  </si>
  <si>
    <t>48-9871</t>
  </si>
  <si>
    <t>4670159298144</t>
  </si>
  <si>
    <t>ПП-00266120</t>
  </si>
  <si>
    <t>TМ Prof-Press Тетрадь КЛЕТКА 48л. ОБиЗР «BAD CAT» (48-9872) стандарт, тиснение холст</t>
  </si>
  <si>
    <t>48-9872</t>
  </si>
  <si>
    <t>4670159298151</t>
  </si>
  <si>
    <t>ПП-00266121</t>
  </si>
  <si>
    <t>TМ Prof-Press Тетрадь КЛЕТКА 48л. ОБЩЕСТВОЗНАНИЕ «BAD CAT» (48-9873) стандарт, тиснение холст</t>
  </si>
  <si>
    <t>48-9873</t>
  </si>
  <si>
    <t>4670159298168</t>
  </si>
  <si>
    <t>ПП-00266123</t>
  </si>
  <si>
    <t>TМ Prof-Press Тетрадь КЛЕТКА 48л. ФИЗИКА «BAD CAT» (48-9874) стандарт, тиснение холст</t>
  </si>
  <si>
    <t>48-9874</t>
  </si>
  <si>
    <t>4670159298175</t>
  </si>
  <si>
    <t>ПП-00266124</t>
  </si>
  <si>
    <t>TМ Prof-Press Тетрадь КЛЕТКА 48л. ХИМИЯ «BAD CAT» (48-9875) стандарт, тиснение холст</t>
  </si>
  <si>
    <t>48-9875</t>
  </si>
  <si>
    <t>4670159298182</t>
  </si>
  <si>
    <t>ПП-00266126</t>
  </si>
  <si>
    <t>TМ Prof-Press Тетрадь ЛИНИЯ 48л. ЛИТЕРАТУРА «BAD CAT» (48-9876) стандарт, тиснение холст</t>
  </si>
  <si>
    <t>48-9876</t>
  </si>
  <si>
    <t>4670159298199</t>
  </si>
  <si>
    <t>ПП-00266128</t>
  </si>
  <si>
    <t>TМ Prof-Press Тетрадь ЛИНИЯ 48л. РУССКИЙ ЯЗЫК «BAD CAT» (48-9877) стандарт, тиснение холст</t>
  </si>
  <si>
    <t>48-9877</t>
  </si>
  <si>
    <t>4670159298205</t>
  </si>
  <si>
    <t>TМ Prof-Press 48л. «Black classic» стандарт, матовая ламинация (4+1)</t>
  </si>
  <si>
    <t>ПП-00266172</t>
  </si>
  <si>
    <t>TМ Prof-Press Тетрадь КЛЕТКА 48л. АЛГЕБРА «Black classic» (48-9945) стандарт, матовая лам. (4+1)</t>
  </si>
  <si>
    <t>48-9945</t>
  </si>
  <si>
    <t>4670159298564</t>
  </si>
  <si>
    <t>ПП-00266176</t>
  </si>
  <si>
    <t>TМ Prof-Press Тетрадь КЛЕТКА 48л. ГЕОМЕТРИЯ «Black classic» (48-9949) стандарт,мат. лам.(4+1)</t>
  </si>
  <si>
    <t>48-9949</t>
  </si>
  <si>
    <t>4670159298601</t>
  </si>
  <si>
    <t>ПП-00266177</t>
  </si>
  <si>
    <t>TМ Prof-Press Тетрадь КЛЕТКА 48л. ИНОСТРАННЫЙ ЯЗЫК «Black classic» (48-9981) стандарт,мат. лам.(4+1)</t>
  </si>
  <si>
    <t>48-9981</t>
  </si>
  <si>
    <t>4670159298618</t>
  </si>
  <si>
    <t>ПП-00266179</t>
  </si>
  <si>
    <t>TМ Prof-Press Тетрадь КЛЕТКА 48л. ИНФОРМАТИКА «Black classic» (48-9982) стандарт,мат. лам.(4+1)</t>
  </si>
  <si>
    <t>48-9982</t>
  </si>
  <si>
    <t>4670159298625</t>
  </si>
  <si>
    <t>ПП-00266182</t>
  </si>
  <si>
    <t>TМ Prof-Press Тетрадь КЛЕТКА 48л. НЕМЕЦКИЙ ЯЗЫК «Black classic» (48-9985) стандарт,мат. лам.(4+1)</t>
  </si>
  <si>
    <t>48-9985</t>
  </si>
  <si>
    <t>4670159298656</t>
  </si>
  <si>
    <t>ПП-00266183</t>
  </si>
  <si>
    <t>TМ Prof-Press Тетрадь КЛЕТКА 48л. ОБиЗР «Black classic» (48-9986) стандарт,мат. лам.(4+1)</t>
  </si>
  <si>
    <t>48-9986</t>
  </si>
  <si>
    <t>4670159298663</t>
  </si>
  <si>
    <t>ПП-00266184</t>
  </si>
  <si>
    <t>TМ Prof-Press Тетрадь КЛЕТКА 48л. ОБЩЕСТВОЗНАНИЕ «Black classic» (48-9987) стандарт,мат. лам.(4+1)</t>
  </si>
  <si>
    <t>48-9987</t>
  </si>
  <si>
    <t>4670159298670</t>
  </si>
  <si>
    <t>ПП-00266186</t>
  </si>
  <si>
    <t>TМ Prof-Press Тетрадь КЛЕТКА 48л. ФИЗИКА «Black classic» (48-9988) стандарт,мат. лам.(4+1)</t>
  </si>
  <si>
    <t>48-9988</t>
  </si>
  <si>
    <t>4670159298687</t>
  </si>
  <si>
    <t>ПП-00266187</t>
  </si>
  <si>
    <t>TМ Prof-Press Тетрадь КЛЕТКА 48л. ХИМИЯ «Black classic» (48-9989) стандарт,мат. лам.(4+1)</t>
  </si>
  <si>
    <t>48-9989</t>
  </si>
  <si>
    <t>4670159298694</t>
  </si>
  <si>
    <t>ПП-00266189</t>
  </si>
  <si>
    <t>TМ Prof-Press Тетрадь ЛИНИЯ 48л. ЛИТЕРАТУРА «Black classic» (48-9990) стандарт,мат. лам.(4+1)</t>
  </si>
  <si>
    <t>48-9990</t>
  </si>
  <si>
    <t>4670159298700</t>
  </si>
  <si>
    <t>ПП-00266190</t>
  </si>
  <si>
    <t>TМ Prof-Press Тетрадь ЛИНИЯ 48л. РУССКИЙ ЯЗЫК «Black classic» (48-9991) стандарт,мат. лам.(4+1)</t>
  </si>
  <si>
    <t>48-9991</t>
  </si>
  <si>
    <t>4670159298717</t>
  </si>
  <si>
    <t>TМ Prof-Press 48л. «Qr-код» стандарт, матовая ламинация (4+1)</t>
  </si>
  <si>
    <t>ПП-00266152</t>
  </si>
  <si>
    <t>TМ Prof-Press Тетрадь КЛЕТКА 48л. АЛГЕБРА «Qr-код» (48-9926) стандарт, матовая ламинация (4+1)</t>
  </si>
  <si>
    <t>48-9926</t>
  </si>
  <si>
    <t>4670159298397</t>
  </si>
  <si>
    <t>ПП-00266157</t>
  </si>
  <si>
    <t>TМ Prof-Press Тетрадь КЛЕТКА 48л. ГЕОМЕТРИЯ «Qr-код» (48-9930) стандарт, матовая лам. (4+1)</t>
  </si>
  <si>
    <t>48-9930</t>
  </si>
  <si>
    <t>4670159298434</t>
  </si>
  <si>
    <t>ПП-00266159</t>
  </si>
  <si>
    <t>TМ Prof-Press Тетрадь КЛЕТКА 48л. ИНОСТРАННЫЙ ЯЗЫК «Qr-код» (48-9931) стандарт, матовая лам. (4+1)</t>
  </si>
  <si>
    <t>48-9931</t>
  </si>
  <si>
    <t>4670159298441</t>
  </si>
  <si>
    <t>ПП-00266160</t>
  </si>
  <si>
    <t>TМ Prof-Press Тетрадь КЛЕТКА 48л. ИНФОРМАТИКА «Qr-код» (48-9932) стандарт, матовая лам. (4+1)</t>
  </si>
  <si>
    <t>48-9932</t>
  </si>
  <si>
    <t>4670159298458</t>
  </si>
  <si>
    <t>ПП-00266162</t>
  </si>
  <si>
    <t>TМ Prof-Press Тетрадь КЛЕТКА 48л. МАТЕМАТИКА «Qr-код» (48-9934) стандарт, матовая лам. (4+1)</t>
  </si>
  <si>
    <t>48-9934</t>
  </si>
  <si>
    <t>4670159298472</t>
  </si>
  <si>
    <t>ПП-00266163</t>
  </si>
  <si>
    <t>TМ Prof-Press Тетрадь КЛЕТКА 48л. НЕМЕЦКИЙ ЯЗЫК «Qr-код» (48-9935) стандарт, матовая лам. (4+1)</t>
  </si>
  <si>
    <t>48-9935</t>
  </si>
  <si>
    <t>4670159298489</t>
  </si>
  <si>
    <t>ПП-00266164</t>
  </si>
  <si>
    <t>TМ Prof-Press Тетрадь КЛЕТКА 48л. ОБиЗР «Qr-код» (48-9936) стандарт, матовая лам. (4+1)</t>
  </si>
  <si>
    <t>48-9936</t>
  </si>
  <si>
    <t>4670159298496</t>
  </si>
  <si>
    <t>ПП-00266165</t>
  </si>
  <si>
    <t>TМ Prof-Press Тетрадь КЛЕТКА 48л. ОБЩЕСТВОЗНАНИЕ «Qr-код» (48-9937) стандарт, матовая лам. (4+1)</t>
  </si>
  <si>
    <t>48-9937</t>
  </si>
  <si>
    <t>4670159298502</t>
  </si>
  <si>
    <t>ПП-00266166</t>
  </si>
  <si>
    <t>TМ Prof-Press Тетрадь КЛЕТКА 48л. ФИЗИКА «Qr-код» (48-9938) стандарт, матовая лам. (4+1)</t>
  </si>
  <si>
    <t>48-9938</t>
  </si>
  <si>
    <t>4670159298519</t>
  </si>
  <si>
    <t>ПП-00266167</t>
  </si>
  <si>
    <t>TМ Prof-Press Тетрадь КЛЕТКА 48л. ХИМИЯ «Qr-код» (48-9939) стандарт, матовая лам. (4+1)</t>
  </si>
  <si>
    <t>48-9939</t>
  </si>
  <si>
    <t>4670159298526</t>
  </si>
  <si>
    <t>ПП-00266168</t>
  </si>
  <si>
    <t>TМ Prof-Press Тетрадь ЛИНИЯ 48л. ЛИТЕРАТУРА «Qr-код» (48-9942) стандарт, матовая лам. (4+1)</t>
  </si>
  <si>
    <t>48-9942</t>
  </si>
  <si>
    <t>4670159298533</t>
  </si>
  <si>
    <t>ПП-00266169</t>
  </si>
  <si>
    <t>TМ Prof-Press Тетрадь ЛИНИЯ 48л. РУССКИЙ ЯЗЫК «Qr-код» (48-9943) стандарт, матовая лам. (4+1)</t>
  </si>
  <si>
    <t>48-9943</t>
  </si>
  <si>
    <t>4670159298540</t>
  </si>
  <si>
    <t>TМ Prof-Press 48л. «НА УРОКЕ» стандарт, софт-тач</t>
  </si>
  <si>
    <t>ПП-00242000</t>
  </si>
  <si>
    <t>TМ Prof-Press Тетрадь КЛЕТКА 48л. АЛГЕБРА «НА УРОКЕ» (48-2364) софт-тач</t>
  </si>
  <si>
    <t>48-2364</t>
  </si>
  <si>
    <t>4670159223641</t>
  </si>
  <si>
    <t>ПП-00242045</t>
  </si>
  <si>
    <t>TМ Prof-Press Тетрадь КЛЕТКА 48л. ИНОСТРАННЫЙ ЯЗЫК «НА УРОКЕ» (48-2369) софт-тач</t>
  </si>
  <si>
    <t>48-2369</t>
  </si>
  <si>
    <t>4670159223696</t>
  </si>
  <si>
    <t>ПП-00242048</t>
  </si>
  <si>
    <t>TМ Prof-Press Тетрадь КЛЕТКА 48л. ИСТОРИЯ «НА УРОКЕ» (48-2371) софт-тач</t>
  </si>
  <si>
    <t>48-2371</t>
  </si>
  <si>
    <t>4670159223719</t>
  </si>
  <si>
    <t>ПП-00242049</t>
  </si>
  <si>
    <t>TМ Prof-Press Тетрадь КЛЕТКА 48л. МАТЕМАТИКА «НА УРОКЕ» (48-2372) софт-тач</t>
  </si>
  <si>
    <t>48-2372</t>
  </si>
  <si>
    <t>4670159223726</t>
  </si>
  <si>
    <t>ПП-00242050</t>
  </si>
  <si>
    <t>TМ Prof-Press Тетрадь КЛЕТКА 48л. НЕМЕЦКИЙ ЯЗЫК «НА УРОКЕ» (48-2373) софт-тач</t>
  </si>
  <si>
    <t>48-2373</t>
  </si>
  <si>
    <t>4670159223733</t>
  </si>
  <si>
    <t>ПП-00242051</t>
  </si>
  <si>
    <t>TМ Prof-Press Тетрадь КЛЕТКА 48л. ОБиЗР «НА УРОКЕ» (48-2374) софт-тач</t>
  </si>
  <si>
    <t>48-2374</t>
  </si>
  <si>
    <t>4670159223740</t>
  </si>
  <si>
    <t>ПП-00242054</t>
  </si>
  <si>
    <t>TМ Prof-Press Тетрадь КЛЕТКА 48л. ХИМИЯ «НА УРОКЕ» (48-2377) софт-тач</t>
  </si>
  <si>
    <t>48-2377</t>
  </si>
  <si>
    <t>4670159223771</t>
  </si>
  <si>
    <t>ПП-00242055</t>
  </si>
  <si>
    <t>TМ Prof-Press Тетрадь ЛИНИЯ 48л. ЛИТЕРАТУРА «НА УРОКЕ» (48-2378) софт-тач</t>
  </si>
  <si>
    <t>48-2378</t>
  </si>
  <si>
    <t>4670159223788</t>
  </si>
  <si>
    <t>ПП-00242056</t>
  </si>
  <si>
    <t>TМ Prof-Press Тетрадь ЛИНИЯ 48л. РУССКИЙ ЯЗЫК «НА УРОКЕ» (48-2379) софт-тач</t>
  </si>
  <si>
    <t>48-2379</t>
  </si>
  <si>
    <t>4670159223795</t>
  </si>
  <si>
    <t>TМ Prof-Press 48л. «САМОЦВЕТ» стандарт, твин-лак (4+1)</t>
  </si>
  <si>
    <t>ПП-00266132</t>
  </si>
  <si>
    <t>TМ Prof-Press Тетрадь КЛЕТКА 48л. АЛГЕБРА «САМОЦВЕТ» (48-9879) стандарт, твин-лак (4+1)</t>
  </si>
  <si>
    <t>48-9879</t>
  </si>
  <si>
    <t>4670159298229</t>
  </si>
  <si>
    <t>ПП-00266138</t>
  </si>
  <si>
    <t>TМ Prof-Press Тетрадь КЛЕТКА 48л. ГЕОМЕТРИЯ «САМОЦВЕТ» (48-9893) стандарт, твин-лак (4+1)</t>
  </si>
  <si>
    <t>48-9893</t>
  </si>
  <si>
    <t>4670159298267</t>
  </si>
  <si>
    <t>ПП-00266139</t>
  </si>
  <si>
    <t>TМ Prof-Press Тетрадь КЛЕТКА 48л. ИНОСТРАННЫЙ ЯЗЫК «САМОЦВЕТ» (48-9894) стандарт, твин-лак (4+1)</t>
  </si>
  <si>
    <t>48-9894</t>
  </si>
  <si>
    <t>4670159298274</t>
  </si>
  <si>
    <t>ПП-00266140</t>
  </si>
  <si>
    <t>TМ Prof-Press Тетрадь КЛЕТКА 48л. ИНФОРМАТИКА «САМОЦВЕТ» (48-9895) стандарт, твин-лак (4+1)</t>
  </si>
  <si>
    <t>48-9895</t>
  </si>
  <si>
    <t>4670159298281</t>
  </si>
  <si>
    <t>ПП-00266142</t>
  </si>
  <si>
    <t>TМ Prof-Press Тетрадь КЛЕТКА 48л. МАТЕМАТИКА «САМОЦВЕТ» (48-9897) стандарт, твин-лак (4+1)</t>
  </si>
  <si>
    <t>48-9897</t>
  </si>
  <si>
    <t>4670159298304</t>
  </si>
  <si>
    <t>ПП-00266143</t>
  </si>
  <si>
    <t>TМ Prof-Press Тетрадь КЛЕТКА 48л. НЕМЕЦКИЙ ЯЗЫК «САМОЦВЕТ» (48-9898) стандарт, твин-лак (4+1)</t>
  </si>
  <si>
    <t>48-9898</t>
  </si>
  <si>
    <t>4670159298311</t>
  </si>
  <si>
    <t>ПП-00266144</t>
  </si>
  <si>
    <t>TМ Prof-Press Тетрадь КЛЕТКА 48л. ОБиЗР «САМОЦВЕТ» (48-9899) стандарт, твин-лак (4+1)</t>
  </si>
  <si>
    <t>48-9899</t>
  </si>
  <si>
    <t>4670159298328</t>
  </si>
  <si>
    <t>ПП-00266145</t>
  </si>
  <si>
    <t>TМ Prof-Press Тетрадь КЛЕТКА 48л. ОБЩЕСТВОЗНАНИЕ «САМОЦВЕТ» (48-9920) стандарт, твин-лак (4+1)</t>
  </si>
  <si>
    <t>48-9920</t>
  </si>
  <si>
    <t>4670159298335</t>
  </si>
  <si>
    <t>ПП-00266146</t>
  </si>
  <si>
    <t>TМ Prof-Press Тетрадь КЛЕТКА 48л. ФИЗИКА «САМОЦВЕТ» (48-9921) стандарт, твин-лак (4+1)</t>
  </si>
  <si>
    <t>48-9921</t>
  </si>
  <si>
    <t>4670159298342</t>
  </si>
  <si>
    <t>ПП-00266147</t>
  </si>
  <si>
    <t>TМ Prof-Press Тетрадь КЛЕТКА 48л. ХИМИЯ «САМОЦВЕТ» (48-9922) стандарт, твин-лак (4+1)</t>
  </si>
  <si>
    <t>48-9922</t>
  </si>
  <si>
    <t>4670159298359</t>
  </si>
  <si>
    <t>ПП-00266148</t>
  </si>
  <si>
    <t>TМ Prof-Press Тетрадь ЛИНИЯ 48л. ЛИТЕРАТУРА «САМОЦВЕТ» (48-9923) стандарт, твин-лак (4+1)</t>
  </si>
  <si>
    <t>48-9923</t>
  </si>
  <si>
    <t>4670159298366</t>
  </si>
  <si>
    <t>ПП-00266149</t>
  </si>
  <si>
    <t>TМ Prof-Press Тетрадь ЛИНИЯ 48л. РУССКИЙ ЯЗЫК «САМОЦВЕТ» (48-9924) стандарт, твин-лак (4+1)</t>
  </si>
  <si>
    <t>48-9924</t>
  </si>
  <si>
    <t>4670159298373</t>
  </si>
  <si>
    <t>TМ Prof-Press Тетради предметные 48л. «BLACKSOFT» стандарт, хол.фольга,софт-тач,выб.лак, тисн.фольг.</t>
  </si>
  <si>
    <t>ПП-00200010</t>
  </si>
  <si>
    <t>TM Prof-Press Тетрадь КЛЕТКА 48л. АЛГЕБРА «BLACKSOFT» (48-1748) хол.ф,софт-тач,выб.лак,тисн.ф</t>
  </si>
  <si>
    <t>48-1748</t>
  </si>
  <si>
    <t>4670159017288</t>
  </si>
  <si>
    <t>ПП-00200025</t>
  </si>
  <si>
    <t>TM Prof-Press Тетрадь КЛЕТКА 48л. НЕМЕЦКИЙ ЯЗЫК «BLACKSOFT» (48-1737) хол.ф,софт-тач,выб.л,тисн.ф</t>
  </si>
  <si>
    <t>48-1737</t>
  </si>
  <si>
    <t>4670159017370</t>
  </si>
  <si>
    <t>TМ Prof-Press Тетради предметные 48л. «МАГИЯ ПРЕДМЕТА» холодная фольга, твин-лак</t>
  </si>
  <si>
    <t>ПП-00217305</t>
  </si>
  <si>
    <t>TM Prof-Press Тетрадь КЛЕТКА 48л. АЛГЕБРА «МАГИЯ ПРЕДМЕТА» (Т48-1501) стандарт, хол ф.,твин-лак</t>
  </si>
  <si>
    <t>Т48-1501</t>
  </si>
  <si>
    <t>4670159115014</t>
  </si>
  <si>
    <t>ПП-00217412</t>
  </si>
  <si>
    <t>TM Prof-Press Тетрадь КЛЕТКА 48л. ИНОСТРАННЫЙ ЯЗЫК «МАГИЯ ПРЕДМЕТА» (Т48-1506) стандарт, хол ф.,тв.л</t>
  </si>
  <si>
    <t>Т48-1506</t>
  </si>
  <si>
    <t>4670159115069</t>
  </si>
  <si>
    <t>ПП-00217413</t>
  </si>
  <si>
    <t>TM Prof-Press Тетрадь КЛЕТКА 48л. ИНФОРМАТИКА  «МАГИЯ ПРЕДМЕТА» (Т48-1507) стандарт, хол ф.,тв.л</t>
  </si>
  <si>
    <t>Т48-1507</t>
  </si>
  <si>
    <t>4670159115076</t>
  </si>
  <si>
    <t>ПП-00217418</t>
  </si>
  <si>
    <t>TM Prof-Press Тетрадь КЛЕТКА 48л. МАТЕМАТИКА  «МАГИЯ ПРЕДМЕТА» (Т48-1509) стандарт, хол ф.,тв.л</t>
  </si>
  <si>
    <t>Т48-1509</t>
  </si>
  <si>
    <t>4670159115090</t>
  </si>
  <si>
    <t>ПП-00217420</t>
  </si>
  <si>
    <t>TM Prof-Press Тетрадь КЛЕТКА 48л. НЕМЕЦКИЙ ЯЗЫК  «МАГИЯ ПРЕДМЕТА» (Т48-1510) стандарт, хол ф.,тв.л</t>
  </si>
  <si>
    <t>Т48-1510</t>
  </si>
  <si>
    <t>4670159115106</t>
  </si>
  <si>
    <t>ПП-00217424</t>
  </si>
  <si>
    <t>TM Prof-Press Тетрадь КЛЕТКА 48л. ОБЩЕСТВОЗНАНИЕ  «МАГИЯ ПРЕДМЕТА» (Т48-1512) стандарт, хол ф.,тв.л</t>
  </si>
  <si>
    <t>Т48-1512</t>
  </si>
  <si>
    <t>4670159115120</t>
  </si>
  <si>
    <t>ПП-00217429</t>
  </si>
  <si>
    <t>TM Prof-Press Тетрадь ЛИНИЯ 48л. ЛИТЕРАТУРА  «МАГИЯ ПРЕДМЕТА» (Т48-1515) стандарт, хол ф.,тв.л</t>
  </si>
  <si>
    <t>Т48-1515</t>
  </si>
  <si>
    <t>4670159115151</t>
  </si>
  <si>
    <t>ПП-00217430</t>
  </si>
  <si>
    <t>TM Prof-Press Тетрадь ЛИНИЯ 48л. РУССКИЙ ЯЗЫК  «МАГИЯ ПРЕДМЕТА» (Т48-1516) стандарт, хол ф.,тв.л</t>
  </si>
  <si>
    <t>Т48-1516</t>
  </si>
  <si>
    <t>4670159115168</t>
  </si>
  <si>
    <t>TМ Prof-Press Тетради предметные 48л. «ПОДСЛУШАНО» стандарт, тиснение холст</t>
  </si>
  <si>
    <t>ПП-00217323</t>
  </si>
  <si>
    <t>TM Prof-Press Тетрадь КЛЕТКА 48л. ИНОСТРАННЫЙ ЯЗЫК «ПОДСЛУШАНО» (Т48-1458) стандарт, тиснение холст</t>
  </si>
  <si>
    <t>Т48-1458</t>
  </si>
  <si>
    <t>4670159114581</t>
  </si>
  <si>
    <t>ПП-00217332</t>
  </si>
  <si>
    <t>TM Prof-Press Тетрадь КЛЕТКА 48л. НЕМЕЦКИЙ ЯЗЫК «ПОДСЛУШАНО» (Т48-1462) стандарт, тиснение холст</t>
  </si>
  <si>
    <t>Т48-1462</t>
  </si>
  <si>
    <t>4670159114628</t>
  </si>
  <si>
    <t>TМ Prof-Press Тетради предметные 48л. «СВЕТ ЗНАНИЙ» стандарт, софт-тач, выб. лак</t>
  </si>
  <si>
    <t>ПП-00217307</t>
  </si>
  <si>
    <t>TM Prof-Press Тетрадь КЛЕТКА 48л. АЛГЕБРА «СВЕТ ЗНАНИЙ» (Т48-1517) стандарт, софт-тач, выб.л</t>
  </si>
  <si>
    <t>Т48-1517</t>
  </si>
  <si>
    <t>4670159115175</t>
  </si>
  <si>
    <t>ПП-00217439</t>
  </si>
  <si>
    <t>TM Prof-Press Тетрадь КЛЕТКА 48л. ИНОСТРАННЫЙ ЯЗЫК «СВЕТ ЗНАНИЙ» (Т48-1522) стандарт, софт-тач,выб.л</t>
  </si>
  <si>
    <t>Т48-1522</t>
  </si>
  <si>
    <t>4670159115229</t>
  </si>
  <si>
    <t>ПП-00217440</t>
  </si>
  <si>
    <t>TM Prof-Press Тетрадь КЛЕТКА 48л. ИНФОРМАТИКА «СВЕТ ЗНАНИЙ» (Т48-1523) стандарт, софт-тач,выб.л</t>
  </si>
  <si>
    <t>Т48-1523</t>
  </si>
  <si>
    <t>4670159115236</t>
  </si>
  <si>
    <t>ПП-00217442</t>
  </si>
  <si>
    <t>TM Prof-Press Тетрадь КЛЕТКА 48л. МАТЕМАТИКА «СВЕТ ЗНАНИЙ» (Т48-1525) стандарт, софт-тач,выб.л</t>
  </si>
  <si>
    <t>Т48-1525</t>
  </si>
  <si>
    <t>4670159115250</t>
  </si>
  <si>
    <t>ПП-00217443</t>
  </si>
  <si>
    <t>TM Prof-Press Тетрадь КЛЕТКА 48л. НЕМЕЦКИЙ ЯЗЫК «СВЕТ ЗНАНИЙ» (Т48-1526) стандарт, софт-тач,выб.л</t>
  </si>
  <si>
    <t>Т48-1526</t>
  </si>
  <si>
    <t>4670159115267</t>
  </si>
  <si>
    <t>ПП-00217444</t>
  </si>
  <si>
    <t>TM Prof-Press Тетрадь КЛЕТКА 48л. ОБиЗР  «СВЕТ ЗНАНИЙ» (Т48-1527) стандарт, софт-тач,выб.л</t>
  </si>
  <si>
    <t>Т48-1527</t>
  </si>
  <si>
    <t>4670159115274</t>
  </si>
  <si>
    <t>ПП-00217445</t>
  </si>
  <si>
    <t>TM Prof-Press Тетрадь КЛЕТКА 48л. ОБЩЕСТВОЗНАНИЕ  «СВЕТ ЗНАНИЙ» (Т48-1528) стандарт, софт-тач,выб.л</t>
  </si>
  <si>
    <t>Т48-1528</t>
  </si>
  <si>
    <t>4670159115281</t>
  </si>
  <si>
    <t>РАЗНОЕ</t>
  </si>
  <si>
    <t>ПП-00256527</t>
  </si>
  <si>
    <t>Комплект предметных тетрадей АССОРТИ (Т48-7180) 4 предмета гуманитарный класс</t>
  </si>
  <si>
    <t>Т48-7180</t>
  </si>
  <si>
    <t>4670159271802</t>
  </si>
  <si>
    <t>ПП-00256530</t>
  </si>
  <si>
    <t>Комплект предметных тетрадей АССОРТИ (Т48-7183) 4 предмета физико-математический класс</t>
  </si>
  <si>
    <t>Т48-7183</t>
  </si>
  <si>
    <t>4670159271833</t>
  </si>
  <si>
    <t xml:space="preserve">  Тетради 36л. и 48л. скрепка КОМПЛЕКТЫ ПРЕДМЕТНЫЕ</t>
  </si>
  <si>
    <t>ПП-00245773</t>
  </si>
  <si>
    <t>Комплект (12 шт.) предметных тетрадей 48л. «VORTEX» (48-4495) стандарт, тиснение лён,бандероль+пэт</t>
  </si>
  <si>
    <t>48-4495</t>
  </si>
  <si>
    <t>4670159244950</t>
  </si>
  <si>
    <t>09.Тетради общие ОБЛОЖКА БУМВИНИЛ, А4 и А5</t>
  </si>
  <si>
    <t>Тетради А5 (170х203) в обложке бумвинил</t>
  </si>
  <si>
    <t>TM"Profit"Тетради 48л. А5 СУПЕР ЭКОНОМ (170х205) В ОБЛОЖКЕ БУМВИНИЛ</t>
  </si>
  <si>
    <t>ПП-00052833</t>
  </si>
  <si>
    <t>TM"Profit" Тетрадь общая клетка А5 48л. БОРДО (48БВ-1058) обл. бумвинил, второй блок</t>
  </si>
  <si>
    <t>48БВ-1058</t>
  </si>
  <si>
    <t>4665299610581</t>
  </si>
  <si>
    <t>ПП-00052835</t>
  </si>
  <si>
    <t>TM"Profit" Тетрадь общая клетка А5 48л. КРАСНАЯ (48БВ-1060) обл. бумвинил, второй блок</t>
  </si>
  <si>
    <t>48БВ-1060</t>
  </si>
  <si>
    <t>4665299610604</t>
  </si>
  <si>
    <t>Тетради 48л. А5+ (170х205) В ОБЛОЖКЕ БУМВИНИЛ</t>
  </si>
  <si>
    <t>ПП-00035007</t>
  </si>
  <si>
    <t>Тетрадь общая клетка А5 48л. БОРДОВЫЙ (48-5321) обл. бумвинил</t>
  </si>
  <si>
    <t>48-5321</t>
  </si>
  <si>
    <t>4665295453212</t>
  </si>
  <si>
    <t>ПП-00017720</t>
  </si>
  <si>
    <t>Тетрадь общая клетка А5 48л. ЗЕЛЁНЫЙ (48-9535) (обл. бумвинил)</t>
  </si>
  <si>
    <t>48-9535</t>
  </si>
  <si>
    <t>9785378095353</t>
  </si>
  <si>
    <t>ПП-00017737</t>
  </si>
  <si>
    <t>Тетрадь общая клетка А5 48л. СИНИЙ (48-9534) (обл. бумвинил)</t>
  </si>
  <si>
    <t>48-9534</t>
  </si>
  <si>
    <t>9785378095346</t>
  </si>
  <si>
    <t>Тетради 96л. А5+ (170х205) В ОБЛОЖКЕ БУМВИНИЛ</t>
  </si>
  <si>
    <t>ПП-00035003</t>
  </si>
  <si>
    <t>Тетрадь общая клетка А5 96л. БОРДОВЫЙ (96-5320) обл. бумвинил</t>
  </si>
  <si>
    <t>96-5320</t>
  </si>
  <si>
    <t>4665295453205</t>
  </si>
  <si>
    <t>17. Тетради школьные ЗЕЛЁНАЯ ОБЛОЖКА</t>
  </si>
  <si>
    <t>02 КОМПЛЕКТЫ тетрадей школьных в зелёной обложке</t>
  </si>
  <si>
    <t>ПП-00243240</t>
  </si>
  <si>
    <t>Тетрадь школьная СТАНДАРТ 12 л. КЛЕТКА+КОСАЯ (12-5748/12-5750)  читаемый штрих-кодКОРОБ 100</t>
  </si>
  <si>
    <t>12-5748/12-5750/100</t>
  </si>
  <si>
    <t>ПП-00243238</t>
  </si>
  <si>
    <t>Тетрадь школьная СТАНДАРТ 12 л. КЛЕТКА+КОСАЯ (12-5748/12-5750)  читаемый штрих-кодКОРОБ 200</t>
  </si>
  <si>
    <t>12-5748/12-5750/200</t>
  </si>
  <si>
    <t>03 Тетради ЗЕЛЁНАЯ ОБЛОЖКА (читаемый штрих-код)</t>
  </si>
  <si>
    <t>1 Тетради  ЗЕЛЁНАЯ ОБЛОЖКА ЭКОНОМ-ВАРИАНТ (второй блок)</t>
  </si>
  <si>
    <t>ПП-00031291</t>
  </si>
  <si>
    <t xml:space="preserve"> Тетрадь школьная ЭКОНОМ-ВАРИАНТ  КЛЕТКА 12л. (12-9807) (второй блок,читаемый штрих-код)</t>
  </si>
  <si>
    <t>12-9807</t>
  </si>
  <si>
    <t>9785378098071</t>
  </si>
  <si>
    <t>ПП-00023390</t>
  </si>
  <si>
    <t xml:space="preserve"> Тетрадь школьная ЭКОНОМ-ВАРИАНТ  КОСАЯ ЛИНИЯ 12л. (12-1753) (второй блок,читаемый штрих-код)</t>
  </si>
  <si>
    <t>12-1753</t>
  </si>
  <si>
    <t>9785378117536</t>
  </si>
  <si>
    <t>ПП-00031532</t>
  </si>
  <si>
    <t>Тетрадь школьная  ЭКОНОМ-ВАРИАНТ  КЛЕТКА 18л. (18-2135) (второй блок,читаемый штрих-код)</t>
  </si>
  <si>
    <t>18-2135</t>
  </si>
  <si>
    <t>4665295421358</t>
  </si>
  <si>
    <t>ПП-00040003</t>
  </si>
  <si>
    <t>Тетрадь школьная  ЭКОНОМ-ВАРИАНТ  ЛИНИЯ 18л. (18-9075) (второй блок,читаемый штрих-код)</t>
  </si>
  <si>
    <t>18-9075</t>
  </si>
  <si>
    <t>9785378190751</t>
  </si>
  <si>
    <t>3 Тетради ЗЕЛЁНАЯ ОБЛОЖКА СТАНДАРТ</t>
  </si>
  <si>
    <t>Тетради ЗЕЛЁНАЯ ОБЛОЖКА СТАНДАРТ короб/переложка</t>
  </si>
  <si>
    <t>ПП-00033627</t>
  </si>
  <si>
    <t>Тетрадь школьная СТАНДАРТ 12 л. ДОПОЛНИТЕЛЬНАЯ КОСАЯ (12-3692)  читаемый штрих-код</t>
  </si>
  <si>
    <t>12-3692</t>
  </si>
  <si>
    <t>4665295436925</t>
  </si>
  <si>
    <t>ПП-00019425</t>
  </si>
  <si>
    <t>Тетрадь школьная СТАНДАРТ 12 л. КЛЕТКА (12-5748)  читаемый штрих-код</t>
  </si>
  <si>
    <t>12-5748</t>
  </si>
  <si>
    <t>9785378057481</t>
  </si>
  <si>
    <t>ПП-00235472</t>
  </si>
  <si>
    <t>Тетрадь школьная СТАНДАРТ 12 л. КЛЕТКА (12-5748)  читаемый штрих-код (без слова тетрадь на обложке)</t>
  </si>
  <si>
    <t>ПП-00023637</t>
  </si>
  <si>
    <t>Тетрадь школьная СТАНДАРТ 12 л. КЛЕТКА КРУПНАЯ (12-3117)  читаемый штрих-код</t>
  </si>
  <si>
    <t>12-3117</t>
  </si>
  <si>
    <t>9785378131174</t>
  </si>
  <si>
    <t>ПП-00023638</t>
  </si>
  <si>
    <t>Тетрадь школьная СТАНДАРТ 12 л. УЗКАЯ ЛИНИЯ (12-3245) читаемый штрих-код</t>
  </si>
  <si>
    <t>12-3245</t>
  </si>
  <si>
    <t>9785378132454</t>
  </si>
  <si>
    <t>ПП-00034711</t>
  </si>
  <si>
    <t>Тетрадь школьная СТАНДАРТ 12 л. ЧАСТАЯ КОСАЯ ЛИНИЯ (12-3410) читаемый штрих-код</t>
  </si>
  <si>
    <t>12-3410</t>
  </si>
  <si>
    <t>4665295434105</t>
  </si>
  <si>
    <t>ПП-00019426</t>
  </si>
  <si>
    <t>Тетрадь школьная СТАНДАРТ 18 л. КЛЕТКА  (18-5751) читаемый штрих-код</t>
  </si>
  <si>
    <t>18-5751</t>
  </si>
  <si>
    <t>9785378057511</t>
  </si>
  <si>
    <t>ПП-00019507</t>
  </si>
  <si>
    <t>Тетрадь школьная СТАНДАРТ 18 л. ЛИНИЯ (18-5752) читаемый штрих-код</t>
  </si>
  <si>
    <t>18-5752</t>
  </si>
  <si>
    <t>9785378057528</t>
  </si>
  <si>
    <t>ПП-00019647</t>
  </si>
  <si>
    <t>Тетрадь школьная СТАНДАРТ 24 л. КЛЕТКА  (24-5753) читаемый штрих-код</t>
  </si>
  <si>
    <t>24-5753</t>
  </si>
  <si>
    <t>9785378057535</t>
  </si>
  <si>
    <t>ПП-00026957</t>
  </si>
  <si>
    <t>Тетрадь школьная СТАНДАРТ 24 л. ЛИНИЯ  (24-7527) читаемый штрих-код</t>
  </si>
  <si>
    <t>24-7527</t>
  </si>
  <si>
    <t>9785378175277</t>
  </si>
  <si>
    <t>Тетради ЗЕЛЁНАЯ ОБЛОЖКА СТАНДАРТ короб/спайка</t>
  </si>
  <si>
    <t>ПП-00202527</t>
  </si>
  <si>
    <t>Тетрадь школьная СТАНДАРТ 12 л. КЛЕТКА (12-5865),с линовкой на обл, читаемый штрих-код СПАЙКА 20</t>
  </si>
  <si>
    <t>12-5865</t>
  </si>
  <si>
    <t>ПП-00253423</t>
  </si>
  <si>
    <t>Тетрадь школьная СТАНДАРТ 12 л. КОСАЯ ЛИНИЯ (12-5750) упаковка 20/200</t>
  </si>
  <si>
    <t>12-5750</t>
  </si>
  <si>
    <t>4670159267386</t>
  </si>
  <si>
    <t>ПП-00203715</t>
  </si>
  <si>
    <t>Тетрадь школьная СТАНДАРТ 12 л. КОСАЯ ЛИНИЯ (12-5750) читаемый штрих-код СПАЙКА 20 (без слов)</t>
  </si>
  <si>
    <t>ПП-00203717</t>
  </si>
  <si>
    <t>Тетрадь школьная СТАНДАРТ 12 л. ЛИНИЯ (12-5749) читаемый штрих-код СПАЙКА 20</t>
  </si>
  <si>
    <t>12-5749</t>
  </si>
  <si>
    <t>ПП-00253427</t>
  </si>
  <si>
    <t>Тетрадь школьная СТАНДАРТ 24 л. ЛИНИЯ  (24-7527) упаковка 20/200</t>
  </si>
  <si>
    <t>4670159267423</t>
  </si>
  <si>
    <t>4 Тетради ЗЕЛЁНАЯ ОБЛОЖКА СТАНДАРТ С ЛИНОВКОЙ НА ОБЛОЖКЕ</t>
  </si>
  <si>
    <t>ПП-00109303</t>
  </si>
  <si>
    <t>Тетрадь школьная СТАНДАРТ 12 л. КЛЕТКА (12-5865),с линовкой на обл, читаемый штрих-код</t>
  </si>
  <si>
    <t>4665306158655</t>
  </si>
  <si>
    <t>ПП-00109305</t>
  </si>
  <si>
    <t>Тетрадь школьная СТАНДАРТ 12 л. КОСАЯ ЛИНИЯ (12-5867),с линовкой на обл, читаемый штрих-код</t>
  </si>
  <si>
    <t>12-5867</t>
  </si>
  <si>
    <t>4665306158679</t>
  </si>
  <si>
    <t>ПП-00113176</t>
  </si>
  <si>
    <t>Тетрадь школьная СТАНДАРТ 12 л. ЛИНИЯ (12-5866), с линовкой на обл, читаемый штрих-код</t>
  </si>
  <si>
    <t>12-5866</t>
  </si>
  <si>
    <t>4665306158662</t>
  </si>
  <si>
    <t>18. ПРОЧИЕ ТОВАРЫ</t>
  </si>
  <si>
    <t>Жалюзи</t>
  </si>
  <si>
    <t>ПП-00242261</t>
  </si>
  <si>
    <t>Жалюзи тканевые,плиссе на липучках, 90*180 см, белый цвет, ЖЛ-2532</t>
  </si>
  <si>
    <t>ЖЛ-2532</t>
  </si>
  <si>
    <t>4670159225324</t>
  </si>
  <si>
    <t>ПП-00236593</t>
  </si>
  <si>
    <t>Держатель для полотенца, металлический, 26*9*1,2 см, ДП-9273</t>
  </si>
  <si>
    <t>ДП-9273</t>
  </si>
  <si>
    <t>4670159192732</t>
  </si>
  <si>
    <t>Органайзеры, коробки, системы хранения</t>
  </si>
  <si>
    <t>ПП-00225723</t>
  </si>
  <si>
    <t>Коробка для хранения обуви 33*21*12 см (комплект из 10 шт.), ЗБ-5333</t>
  </si>
  <si>
    <t>ЗБ-5333</t>
  </si>
  <si>
    <t>4670159153337</t>
  </si>
  <si>
    <t>ПП-00236613</t>
  </si>
  <si>
    <t>Система хранения вещей, 125*118*26 см, СХВ-0750</t>
  </si>
  <si>
    <t>СХВ-0750</t>
  </si>
  <si>
    <t>4670159207504</t>
  </si>
  <si>
    <t>ПП-00236612</t>
  </si>
  <si>
    <t>Система хранения вещей, 125*80*27 см, СХВ-0749</t>
  </si>
  <si>
    <t>СХВ-0749</t>
  </si>
  <si>
    <t>4670159207498</t>
  </si>
  <si>
    <t>ПП-00228360</t>
  </si>
  <si>
    <t>Таблетница органайзер на день, мини 10.5*3.5 CM, ТБЛ-7017</t>
  </si>
  <si>
    <t>ТБЛ-7017</t>
  </si>
  <si>
    <t>4670159170174</t>
  </si>
  <si>
    <t>ПП-00233693</t>
  </si>
  <si>
    <t>Столик для ноутбука с регулируемой столешницей, цвет: коричневый, черный, СТН-6610</t>
  </si>
  <si>
    <t>СТН-6610</t>
  </si>
  <si>
    <t>4670159166108</t>
  </si>
  <si>
    <t>Офисные принадлежности</t>
  </si>
  <si>
    <t>ПП-00238122</t>
  </si>
  <si>
    <t>Клавиатура механическая игровая проводная с подсветкой, тип свечей RED, укороч, 68 клавиш, КЛВ-1575</t>
  </si>
  <si>
    <t>КЛВ-1575</t>
  </si>
  <si>
    <t>4670159215752</t>
  </si>
  <si>
    <t>ПП-00238121</t>
  </si>
  <si>
    <t>Клавиатура механическая игровая проводная с подсветкой, тип свичей BROWN, укороч,61 клавиша,КЛВ-1574</t>
  </si>
  <si>
    <t>КЛВ-1574</t>
  </si>
  <si>
    <t>4670159215745</t>
  </si>
  <si>
    <t>ПП-00238119</t>
  </si>
  <si>
    <t xml:space="preserve">Клавиатура механическая игровая проводная с подсветкой, тип свичей BROWN,укороч,61 клавиша,КЛВ-1572 </t>
  </si>
  <si>
    <t>КЛВ-1572</t>
  </si>
  <si>
    <t>4670159215721</t>
  </si>
  <si>
    <t>ПП-00238120</t>
  </si>
  <si>
    <t>Клавиатура механическая игровая проводная с подсветкой, тип свичей RED, укороч,61 клавиша, КЛВ-1573</t>
  </si>
  <si>
    <t>КЛВ-1573</t>
  </si>
  <si>
    <t>4670159215738</t>
  </si>
  <si>
    <t>ПП-00239571</t>
  </si>
  <si>
    <t>Мышка игровая проводная с подсветкой, 6 кнопок, DPI 10 400, МИП-1969</t>
  </si>
  <si>
    <t>МИП-1969</t>
  </si>
  <si>
    <t>4670159219699</t>
  </si>
  <si>
    <t>ПП-00239567</t>
  </si>
  <si>
    <t>Мышка игровая проводная с подсветкой, 6 кнопок, DPI 3600, МИП-1967</t>
  </si>
  <si>
    <t>МИП-1967</t>
  </si>
  <si>
    <t>4670159219675</t>
  </si>
  <si>
    <t>ПП-00239568</t>
  </si>
  <si>
    <t>Мышка игровая проводная с подсветкой, 8 кнопок, DPI 7200, МИП-1968</t>
  </si>
  <si>
    <t>МИП-1968</t>
  </si>
  <si>
    <t>4670159219682</t>
  </si>
  <si>
    <t>Этажерки</t>
  </si>
  <si>
    <t>ПП-00233697</t>
  </si>
  <si>
    <t>Этажерка для кухни и ванной узкая, 3 яруса, цвет белый, хром, ЭТЖ-6614</t>
  </si>
  <si>
    <t>ЭТЖ-6614</t>
  </si>
  <si>
    <t>4670159166146</t>
  </si>
  <si>
    <t>ПП-00233698</t>
  </si>
  <si>
    <t>Этажерка для кухни и ванной узкая, 4 яруса, цвет белый, хром ЭТЖ-6615</t>
  </si>
  <si>
    <t>ЭТЖ-6615</t>
  </si>
  <si>
    <t>4670159166153</t>
  </si>
  <si>
    <t>ПП-00233699</t>
  </si>
  <si>
    <t>Этажерка для кухни и ванной широкая, 3 яруса, цвет белый, хром, ЭТЖ-6616</t>
  </si>
  <si>
    <t>ЭТЖ-6616</t>
  </si>
  <si>
    <t>4670159166160</t>
  </si>
  <si>
    <t>ПП-00233745</t>
  </si>
  <si>
    <t>Этажерка металлическая для кухни и ванной, 3 яруса, цвет белый, ЭТЖ-6618</t>
  </si>
  <si>
    <t>ЭТЖ-6618</t>
  </si>
  <si>
    <t>4670159166184</t>
  </si>
  <si>
    <t>ПП-00233700</t>
  </si>
  <si>
    <t>Этажерка металлическая для кухни и ванной, 3 яруса, цвет черный, ЭТЖ-6617</t>
  </si>
  <si>
    <t>ЭТЖ-6617</t>
  </si>
  <si>
    <t>4670159166177</t>
  </si>
  <si>
    <t>ПП-00233748</t>
  </si>
  <si>
    <t>Этажерка металлическая для кухни и ванной, 4 яруса, цвет белый, ЭТЖ-6620</t>
  </si>
  <si>
    <t>ЭТЖ-6620</t>
  </si>
  <si>
    <t>4670159166207</t>
  </si>
  <si>
    <t>ПП-00233747</t>
  </si>
  <si>
    <t>Этажерка металлическая для кухни и ванной, 4 яруса, цвет черный, ЭТЖ-6619</t>
  </si>
  <si>
    <t>ЭТЖ-6619</t>
  </si>
  <si>
    <t>4670159166191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</si>
</sst>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000"/>
    <numFmt numFmtId="178" formatCode="0.000"/>
    <numFmt numFmtId="179" formatCode="0.00000"/>
  </numFmts>
  <fonts count="12" x14ac:knownFonts="1">
    <font>
      <sz val="8"/>
      <name val="Arial"/>
      <family val="2"/>
      <charset val="204"/>
    </font>
    <font>
      <sz val="10"/>
      <name val="Arial"/>
      <family val="2"/>
      <charset val="204"/>
    </font>
    <font>
      <b/>
      <sz val="12"/>
      <name val="Arial"/>
      <family val="2"/>
      <charset val="204"/>
    </font>
    <font>
      <b/>
      <sz val="8"/>
      <name val="Arial"/>
      <family val="2"/>
      <charset val="204"/>
    </font>
    <font>
      <b/>
      <u/>
      <sz val="12"/>
      <color indexed="12"/>
      <name val="Arial"/>
      <family val="2"/>
      <charset val="204"/>
    </font>
    <font>
      <b/>
      <sz val="12"/>
      <color indexed="12"/>
      <name val="Arial"/>
      <family val="2"/>
      <charset val="204"/>
    </font>
    <font>
      <b/>
      <i/>
      <u/>
      <sz val="9"/>
      <color indexed="8"/>
      <name val="Arial"/>
      <family val="2"/>
      <charset val="204"/>
    </font>
    <font>
      <b/>
      <sz val="10"/>
      <name val="Arial"/>
      <family val="2"/>
      <charset val="204"/>
    </font>
    <font>
      <b/>
      <sz val="8"/>
      <color indexed="10"/>
      <name val="Arial"/>
      <family val="2"/>
      <charset val="204"/>
    </font>
    <font>
      <sz val="8"/>
      <color indexed="10"/>
      <name val="Arial"/>
      <family val="2"/>
      <charset val="204"/>
    </font>
    <font>
      <b/>
      <i/>
      <sz val="9"/>
      <color indexed="8"/>
      <name val="Arial"/>
      <family val="2"/>
      <charset val="204"/>
    </font>
    <font>
      <sz val="8"/>
      <color indexed="8"/>
      <name val="Arial"/>
      <family val="2"/>
      <charset val="204"/>
    </font>
  </fonts>
  <fills count="6">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13"/>
        <bgColor indexed="64"/>
      </patternFill>
    </fill>
    <fill>
      <patternFill patternType="solid">
        <fgColor indexed="28"/>
        <bgColor indexed="64"/>
      </patternFill>
    </fill>
  </fills>
  <borders count="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5">
    <xf numFmtId="0" fontId="0" fillId="0" borderId="0" xfId="0" applyNumberFormat="1" applyFont="1" applyFill="1" applyBorder="1" applyAlignment="1" applyProtection="1"/>
    <xf numFmtId="0" fontId="2" fillId="0" borderId="0" xfId="0" applyNumberFormat="1" applyFont="1" applyAlignment="1">
      <alignment vertical="top" wrapText="1"/>
    </xf>
    <xf numFmtId="1" fontId="0" fillId="3" borderId="6" xfId="0" applyNumberFormat="1" applyFont="1" applyFill="1" applyBorder="1" applyAlignment="1">
      <alignment horizontal="right" vertical="top"/>
    </xf>
    <xf numFmtId="0" fontId="0" fillId="3" borderId="7" xfId="0" applyNumberFormat="1" applyFont="1" applyFill="1" applyBorder="1" applyAlignment="1">
      <alignment vertical="top" wrapText="1"/>
    </xf>
    <xf numFmtId="0" fontId="0" fillId="3" borderId="7" xfId="0" applyNumberFormat="1" applyFont="1" applyFill="1" applyBorder="1" applyAlignment="1">
      <alignment vertical="top"/>
    </xf>
    <xf numFmtId="1" fontId="0" fillId="5" borderId="6" xfId="0" applyNumberFormat="1" applyFont="1" applyFill="1" applyBorder="1" applyAlignment="1">
      <alignment horizontal="right" vertical="top"/>
    </xf>
    <xf numFmtId="0" fontId="0" fillId="5" borderId="7" xfId="0" applyNumberFormat="1" applyFont="1" applyFill="1" applyBorder="1" applyAlignment="1">
      <alignment vertical="top" wrapText="1"/>
    </xf>
    <xf numFmtId="0" fontId="0" fillId="5" borderId="7" xfId="0" applyNumberFormat="1" applyFont="1" applyFill="1" applyBorder="1" applyAlignment="1">
      <alignment vertical="top"/>
    </xf>
    <xf numFmtId="0" fontId="8" fillId="3" borderId="7" xfId="0" applyNumberFormat="1" applyFont="1" applyFill="1" applyBorder="1" applyAlignment="1">
      <alignment horizontal="center" vertical="top"/>
    </xf>
    <xf numFmtId="0" fontId="0" fillId="3" borderId="7" xfId="0" applyNumberFormat="1" applyFont="1" applyFill="1" applyBorder="1" applyAlignment="1">
      <alignment horizontal="right" vertical="top"/>
    </xf>
    <xf numFmtId="1" fontId="0" fillId="3" borderId="7" xfId="0" applyNumberFormat="1" applyFont="1" applyFill="1" applyBorder="1" applyAlignment="1">
      <alignment horizontal="right" vertical="top"/>
    </xf>
    <xf numFmtId="2" fontId="0" fillId="3" borderId="7" xfId="0" applyNumberFormat="1" applyFont="1" applyFill="1" applyBorder="1" applyAlignment="1">
      <alignment horizontal="right" vertical="top"/>
    </xf>
    <xf numFmtId="0" fontId="0" fillId="2" borderId="7" xfId="0" applyNumberFormat="1" applyFont="1" applyFill="1" applyBorder="1" applyAlignment="1" applyProtection="1">
      <alignment horizontal="right" vertical="top"/>
      <protection locked="0"/>
    </xf>
    <xf numFmtId="0" fontId="8" fillId="5" borderId="7" xfId="0" applyNumberFormat="1" applyFont="1" applyFill="1" applyBorder="1" applyAlignment="1">
      <alignment horizontal="center" vertical="top"/>
    </xf>
    <xf numFmtId="0" fontId="0" fillId="5" borderId="7" xfId="0" applyNumberFormat="1" applyFont="1" applyFill="1" applyBorder="1" applyAlignment="1">
      <alignment horizontal="right" vertical="top"/>
    </xf>
    <xf numFmtId="1" fontId="0" fillId="5" borderId="7" xfId="0" applyNumberFormat="1" applyFont="1" applyFill="1" applyBorder="1" applyAlignment="1">
      <alignment horizontal="right" vertical="top"/>
    </xf>
    <xf numFmtId="2" fontId="9" fillId="5" borderId="7" xfId="0" applyNumberFormat="1" applyFont="1" applyFill="1" applyBorder="1" applyAlignment="1">
      <alignment horizontal="right" vertical="top"/>
    </xf>
    <xf numFmtId="3" fontId="0" fillId="5" borderId="7" xfId="0" applyNumberFormat="1" applyFont="1" applyFill="1" applyBorder="1" applyAlignment="1">
      <alignment horizontal="right" vertical="top"/>
    </xf>
    <xf numFmtId="2" fontId="9" fillId="3" borderId="7" xfId="0" applyNumberFormat="1" applyFont="1" applyFill="1" applyBorder="1" applyAlignment="1">
      <alignment horizontal="right" vertical="top"/>
    </xf>
    <xf numFmtId="176" fontId="9" fillId="3" borderId="7" xfId="0" applyNumberFormat="1" applyFont="1" applyFill="1" applyBorder="1" applyAlignment="1">
      <alignment horizontal="right" vertical="top"/>
    </xf>
    <xf numFmtId="177" fontId="0" fillId="3" borderId="7" xfId="0" applyNumberFormat="1" applyFont="1" applyFill="1" applyBorder="1" applyAlignment="1">
      <alignment horizontal="right" vertical="top"/>
    </xf>
    <xf numFmtId="0" fontId="8" fillId="3" borderId="7" xfId="0" applyNumberFormat="1" applyFont="1" applyFill="1" applyBorder="1" applyAlignment="1">
      <alignment horizontal="right" vertical="top"/>
    </xf>
    <xf numFmtId="0" fontId="0" fillId="3" borderId="7" xfId="0" applyNumberFormat="1" applyFont="1" applyFill="1" applyBorder="1" applyAlignment="1">
      <alignment horizontal="left" vertical="top"/>
    </xf>
    <xf numFmtId="178" fontId="0" fillId="5" borderId="7" xfId="0" applyNumberFormat="1" applyFont="1" applyFill="1" applyBorder="1" applyAlignment="1">
      <alignment horizontal="right" vertical="top"/>
    </xf>
    <xf numFmtId="179" fontId="0" fillId="5" borderId="7" xfId="0" applyNumberFormat="1" applyFont="1" applyFill="1" applyBorder="1" applyAlignment="1">
      <alignment horizontal="right" vertical="top"/>
    </xf>
    <xf numFmtId="0" fontId="8" fillId="5" borderId="7" xfId="0" applyNumberFormat="1" applyFont="1" applyFill="1" applyBorder="1" applyAlignment="1">
      <alignment horizontal="right" vertical="top"/>
    </xf>
    <xf numFmtId="0" fontId="0" fillId="5" borderId="7" xfId="0" applyNumberFormat="1" applyFont="1" applyFill="1" applyBorder="1" applyAlignment="1">
      <alignment horizontal="left" vertical="top"/>
    </xf>
    <xf numFmtId="176" fontId="0" fillId="5" borderId="7" xfId="0" applyNumberFormat="1" applyFont="1" applyFill="1" applyBorder="1" applyAlignment="1">
      <alignment horizontal="right" vertical="top"/>
    </xf>
    <xf numFmtId="2" fontId="0" fillId="5" borderId="7" xfId="0" applyNumberFormat="1" applyFont="1" applyFill="1" applyBorder="1" applyAlignment="1">
      <alignment horizontal="right" vertical="top"/>
    </xf>
    <xf numFmtId="178" fontId="0" fillId="3" borderId="7" xfId="0" applyNumberFormat="1" applyFont="1" applyFill="1" applyBorder="1" applyAlignment="1">
      <alignment horizontal="right" vertical="top"/>
    </xf>
    <xf numFmtId="179" fontId="0" fillId="3" borderId="7" xfId="0" applyNumberFormat="1" applyFont="1" applyFill="1" applyBorder="1" applyAlignment="1">
      <alignment horizontal="right" vertical="top"/>
    </xf>
    <xf numFmtId="177" fontId="0" fillId="5" borderId="7" xfId="0" applyNumberFormat="1" applyFont="1" applyFill="1" applyBorder="1" applyAlignment="1">
      <alignment horizontal="right" vertical="top"/>
    </xf>
    <xf numFmtId="0" fontId="8" fillId="3" borderId="0" xfId="0" applyNumberFormat="1" applyFont="1" applyFill="1" applyAlignment="1">
      <alignment vertical="top"/>
    </xf>
    <xf numFmtId="0" fontId="8" fillId="5" borderId="0" xfId="0" applyNumberFormat="1" applyFont="1" applyFill="1" applyAlignment="1">
      <alignment vertical="top"/>
    </xf>
    <xf numFmtId="3" fontId="0" fillId="3" borderId="7" xfId="0" applyNumberFormat="1" applyFont="1" applyFill="1" applyBorder="1" applyAlignment="1">
      <alignment horizontal="right" vertical="top"/>
    </xf>
    <xf numFmtId="1" fontId="9" fillId="3" borderId="7" xfId="0" applyNumberFormat="1" applyFont="1" applyFill="1" applyBorder="1" applyAlignment="1">
      <alignment horizontal="right" vertical="top"/>
    </xf>
    <xf numFmtId="1" fontId="0" fillId="0" borderId="6" xfId="0" applyNumberFormat="1" applyFont="1" applyBorder="1" applyAlignment="1">
      <alignment horizontal="right" vertical="top"/>
    </xf>
    <xf numFmtId="0" fontId="0" fillId="0" borderId="7" xfId="0" applyNumberFormat="1" applyFont="1" applyBorder="1" applyAlignment="1">
      <alignment vertical="top" wrapText="1"/>
    </xf>
    <xf numFmtId="0" fontId="0" fillId="0" borderId="7" xfId="0" applyNumberFormat="1" applyFont="1" applyBorder="1" applyAlignment="1">
      <alignment vertical="top"/>
    </xf>
    <xf numFmtId="0" fontId="8" fillId="0" borderId="7" xfId="0" applyNumberFormat="1" applyFont="1" applyBorder="1" applyAlignment="1">
      <alignment horizontal="center" vertical="top"/>
    </xf>
    <xf numFmtId="0" fontId="0" fillId="0" borderId="7" xfId="0" applyNumberFormat="1" applyFont="1" applyBorder="1" applyAlignment="1">
      <alignment horizontal="right" vertical="top"/>
    </xf>
    <xf numFmtId="1" fontId="0" fillId="0" borderId="7" xfId="0" applyNumberFormat="1" applyFont="1" applyBorder="1" applyAlignment="1">
      <alignment horizontal="right" vertical="top"/>
    </xf>
    <xf numFmtId="2" fontId="11" fillId="0" borderId="7" xfId="0" applyNumberFormat="1" applyFont="1" applyBorder="1" applyAlignment="1">
      <alignment horizontal="right" vertical="top"/>
    </xf>
    <xf numFmtId="178" fontId="0" fillId="0" borderId="7" xfId="0" applyNumberFormat="1" applyFont="1" applyBorder="1" applyAlignment="1">
      <alignment horizontal="right" vertical="top"/>
    </xf>
    <xf numFmtId="0" fontId="8" fillId="0" borderId="7" xfId="0" applyNumberFormat="1" applyFont="1" applyBorder="1" applyAlignment="1">
      <alignment horizontal="right" vertical="top"/>
    </xf>
    <xf numFmtId="0" fontId="0" fillId="0" borderId="7" xfId="0" applyNumberFormat="1" applyFont="1" applyBorder="1" applyAlignment="1">
      <alignment horizontal="left" vertical="top"/>
    </xf>
    <xf numFmtId="177" fontId="0" fillId="0" borderId="7" xfId="0" applyNumberFormat="1" applyFont="1" applyBorder="1" applyAlignment="1">
      <alignment horizontal="right" vertical="top"/>
    </xf>
    <xf numFmtId="179" fontId="0" fillId="0" borderId="7" xfId="0" applyNumberFormat="1" applyFont="1" applyBorder="1" applyAlignment="1">
      <alignment horizontal="right" vertical="top"/>
    </xf>
    <xf numFmtId="2" fontId="0" fillId="0" borderId="7" xfId="0" applyNumberFormat="1" applyFont="1" applyBorder="1" applyAlignment="1">
      <alignment horizontal="right" vertical="top"/>
    </xf>
    <xf numFmtId="176" fontId="0" fillId="0" borderId="7" xfId="0" applyNumberFormat="1" applyFont="1" applyBorder="1" applyAlignment="1">
      <alignment horizontal="right" vertical="top"/>
    </xf>
    <xf numFmtId="3" fontId="0" fillId="0" borderId="7" xfId="0" applyNumberFormat="1" applyFont="1" applyBorder="1" applyAlignment="1">
      <alignment horizontal="right" vertical="top"/>
    </xf>
    <xf numFmtId="176" fontId="0" fillId="3" borderId="7" xfId="0" applyNumberFormat="1" applyFont="1" applyFill="1" applyBorder="1" applyAlignment="1">
      <alignment horizontal="right" vertical="top"/>
    </xf>
    <xf numFmtId="4" fontId="9" fillId="5" borderId="7" xfId="0" applyNumberFormat="1" applyFont="1" applyFill="1" applyBorder="1" applyAlignment="1">
      <alignment horizontal="right" vertical="top"/>
    </xf>
    <xf numFmtId="4" fontId="11" fillId="0" borderId="7" xfId="0" applyNumberFormat="1" applyFont="1" applyBorder="1" applyAlignment="1">
      <alignment horizontal="right" vertical="top"/>
    </xf>
    <xf numFmtId="2" fontId="11" fillId="3" borderId="7" xfId="0" applyNumberFormat="1" applyFont="1" applyFill="1" applyBorder="1" applyAlignment="1">
      <alignment horizontal="right" vertical="top"/>
    </xf>
    <xf numFmtId="1" fontId="0" fillId="4" borderId="6" xfId="0" applyNumberFormat="1" applyFont="1" applyFill="1" applyBorder="1" applyAlignment="1">
      <alignment horizontal="right" vertical="top"/>
    </xf>
    <xf numFmtId="0" fontId="0" fillId="4" borderId="7" xfId="0" applyNumberFormat="1" applyFont="1" applyFill="1" applyBorder="1" applyAlignment="1">
      <alignment vertical="top" wrapText="1"/>
    </xf>
    <xf numFmtId="0" fontId="0" fillId="4" borderId="7" xfId="0" applyNumberFormat="1" applyFont="1" applyFill="1" applyBorder="1" applyAlignment="1">
      <alignment vertical="top"/>
    </xf>
    <xf numFmtId="0" fontId="8" fillId="4" borderId="7" xfId="0" applyNumberFormat="1" applyFont="1" applyFill="1" applyBorder="1" applyAlignment="1">
      <alignment horizontal="center" vertical="top"/>
    </xf>
    <xf numFmtId="0" fontId="0" fillId="4" borderId="7" xfId="0" applyNumberFormat="1" applyFont="1" applyFill="1" applyBorder="1" applyAlignment="1">
      <alignment horizontal="right" vertical="top"/>
    </xf>
    <xf numFmtId="1" fontId="0" fillId="4" borderId="7" xfId="0" applyNumberFormat="1" applyFont="1" applyFill="1" applyBorder="1" applyAlignment="1">
      <alignment horizontal="right" vertical="top"/>
    </xf>
    <xf numFmtId="2" fontId="11" fillId="4" borderId="7" xfId="0" applyNumberFormat="1" applyFont="1" applyFill="1" applyBorder="1" applyAlignment="1">
      <alignment horizontal="right" vertical="top"/>
    </xf>
    <xf numFmtId="178" fontId="0" fillId="4" borderId="7" xfId="0" applyNumberFormat="1" applyFont="1" applyFill="1" applyBorder="1" applyAlignment="1">
      <alignment horizontal="right" vertical="top"/>
    </xf>
    <xf numFmtId="179" fontId="0" fillId="4" borderId="7" xfId="0" applyNumberFormat="1" applyFont="1" applyFill="1" applyBorder="1" applyAlignment="1">
      <alignment horizontal="right" vertical="top"/>
    </xf>
    <xf numFmtId="0" fontId="8" fillId="4" borderId="7" xfId="0" applyNumberFormat="1" applyFont="1" applyFill="1" applyBorder="1" applyAlignment="1">
      <alignment horizontal="right" vertical="top"/>
    </xf>
    <xf numFmtId="0" fontId="0" fillId="4" borderId="7" xfId="0" applyNumberFormat="1" applyFont="1" applyFill="1" applyBorder="1" applyAlignment="1">
      <alignment horizontal="left" vertical="top"/>
    </xf>
    <xf numFmtId="0" fontId="0" fillId="4" borderId="0" xfId="0" applyNumberFormat="1" applyFill="1"/>
    <xf numFmtId="3" fontId="0" fillId="4" borderId="7" xfId="0" applyNumberFormat="1" applyFont="1" applyFill="1" applyBorder="1" applyAlignment="1">
      <alignment horizontal="right" vertical="top"/>
    </xf>
    <xf numFmtId="177" fontId="0" fillId="4" borderId="7" xfId="0" applyNumberFormat="1" applyFont="1" applyFill="1" applyBorder="1" applyAlignment="1">
      <alignment horizontal="right" vertical="top"/>
    </xf>
    <xf numFmtId="3" fontId="0" fillId="5" borderId="6" xfId="0" applyNumberFormat="1" applyFont="1" applyFill="1" applyBorder="1" applyAlignment="1">
      <alignment horizontal="right" vertical="top"/>
    </xf>
    <xf numFmtId="3" fontId="0" fillId="3" borderId="6" xfId="0" applyNumberFormat="1" applyFont="1" applyFill="1" applyBorder="1" applyAlignment="1">
      <alignment horizontal="right" vertical="top"/>
    </xf>
    <xf numFmtId="3" fontId="0" fillId="0" borderId="6" xfId="0" applyNumberFormat="1" applyFont="1" applyBorder="1" applyAlignment="1">
      <alignment horizontal="right" vertical="top"/>
    </xf>
    <xf numFmtId="3" fontId="0" fillId="4" borderId="6" xfId="0" applyNumberFormat="1" applyFont="1" applyFill="1" applyBorder="1" applyAlignment="1">
      <alignment horizontal="right" vertical="top"/>
    </xf>
    <xf numFmtId="2" fontId="0" fillId="4" borderId="7" xfId="0" applyNumberFormat="1" applyFont="1" applyFill="1" applyBorder="1" applyAlignment="1">
      <alignment horizontal="right" vertical="top"/>
    </xf>
    <xf numFmtId="176" fontId="0" fillId="4" borderId="7" xfId="0" applyNumberFormat="1" applyFont="1" applyFill="1" applyBorder="1" applyAlignment="1">
      <alignment horizontal="right" vertical="top"/>
    </xf>
    <xf numFmtId="176" fontId="11" fillId="3" borderId="7" xfId="0" applyNumberFormat="1" applyFont="1" applyFill="1" applyBorder="1" applyAlignment="1">
      <alignment horizontal="right" vertical="top"/>
    </xf>
    <xf numFmtId="0" fontId="1" fillId="0" borderId="0" xfId="0" applyNumberFormat="1" applyFont="1" applyAlignment="1">
      <alignment vertical="top"/>
    </xf>
    <xf numFmtId="0" fontId="7" fillId="0" borderId="0" xfId="0" applyNumberFormat="1" applyFont="1" applyAlignment="1">
      <alignment horizontal="center" vertical="center"/>
    </xf>
    <xf numFmtId="0" fontId="4" fillId="0" borderId="0" xfId="0" applyNumberFormat="1" applyFont="1" applyAlignment="1">
      <alignment vertical="center" wrapText="1"/>
    </xf>
    <xf numFmtId="0" fontId="5" fillId="0" borderId="0" xfId="0" applyNumberFormat="1" applyFont="1" applyAlignment="1">
      <alignment vertical="center" wrapText="1" indent="2"/>
    </xf>
    <xf numFmtId="0" fontId="6" fillId="0" borderId="0" xfId="0" applyNumberFormat="1" applyFont="1" applyAlignment="1">
      <alignment vertical="center" wrapText="1" indent="4"/>
    </xf>
    <xf numFmtId="0" fontId="10" fillId="0" borderId="0" xfId="0" applyNumberFormat="1" applyFont="1" applyAlignment="1">
      <alignment vertical="center" wrapText="1" indent="6"/>
    </xf>
    <xf numFmtId="0" fontId="10" fillId="0" borderId="0" xfId="0" applyNumberFormat="1" applyFont="1" applyAlignment="1">
      <alignment vertical="center" wrapText="1" indent="8"/>
    </xf>
    <xf numFmtId="0" fontId="10" fillId="0" borderId="0" xfId="0" applyNumberFormat="1" applyFont="1" applyAlignment="1">
      <alignment vertical="center" wrapText="1" indent="10"/>
    </xf>
    <xf numFmtId="0" fontId="10" fillId="0" borderId="0" xfId="0" applyNumberFormat="1" applyFont="1" applyAlignment="1">
      <alignment vertical="center" wrapText="1" indent="12"/>
    </xf>
    <xf numFmtId="0" fontId="10" fillId="0" borderId="0" xfId="0" applyNumberFormat="1" applyFont="1" applyAlignment="1">
      <alignment vertical="center" wrapText="1" indent="14"/>
    </xf>
    <xf numFmtId="0" fontId="3" fillId="4" borderId="1" xfId="0" applyNumberFormat="1" applyFont="1" applyFill="1" applyBorder="1" applyAlignment="1">
      <alignment horizontal="center" vertical="center"/>
    </xf>
    <xf numFmtId="0" fontId="3" fillId="4" borderId="3" xfId="0" applyNumberFormat="1" applyFont="1" applyFill="1" applyBorder="1" applyAlignment="1">
      <alignment horizontal="center" vertical="center"/>
    </xf>
    <xf numFmtId="0" fontId="3" fillId="4" borderId="2" xfId="0" applyNumberFormat="1" applyFont="1" applyFill="1" applyBorder="1" applyAlignment="1">
      <alignment horizontal="center" vertical="center"/>
    </xf>
    <xf numFmtId="0" fontId="3" fillId="4" borderId="4" xfId="0" applyNumberFormat="1" applyFont="1" applyFill="1" applyBorder="1" applyAlignment="1">
      <alignment horizontal="center" vertical="center"/>
    </xf>
    <xf numFmtId="0" fontId="3" fillId="4" borderId="2"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4" borderId="3" xfId="0" applyNumberFormat="1" applyFont="1" applyFill="1" applyBorder="1" applyAlignment="1">
      <alignment horizontal="center" vertical="center" wrapText="1"/>
    </xf>
    <xf numFmtId="0" fontId="3" fillId="4" borderId="5"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0FFF0"/>
      <rgbColor rgb="00993366"/>
      <rgbColor rgb="00FFA07A"/>
      <rgbColor rgb="00CCFFFF"/>
      <rgbColor rgb="007CFC0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B1:V4594"/>
  <sheetViews>
    <sheetView tabSelected="1" workbookViewId="0">
      <selection activeCell="D4" sqref="D4:D5"/>
    </sheetView>
  </sheetViews>
  <sheetFormatPr defaultColWidth="10.42578125" defaultRowHeight="10.199999999999999" outlineLevelRow="7" x14ac:dyDescent="0.2"/>
  <cols>
    <col min="1" max="1" width="5.42578125" bestFit="1" customWidth="1"/>
    <col min="2" max="2" width="7.85546875" bestFit="1" customWidth="1"/>
    <col min="3" max="3" width="12.140625" bestFit="1" customWidth="1"/>
    <col min="4" max="4" width="60.85546875" customWidth="1"/>
    <col min="5" max="6" width="15.140625" bestFit="1" customWidth="1"/>
    <col min="7" max="9" width="11.7109375" bestFit="1" customWidth="1"/>
    <col min="10" max="10" width="16.28515625" bestFit="1" customWidth="1"/>
    <col min="11" max="11" width="16.42578125" bestFit="1" customWidth="1"/>
    <col min="12" max="13" width="11.7109375" bestFit="1" customWidth="1"/>
    <col min="14" max="14" width="13.7109375" bestFit="1" customWidth="1"/>
    <col min="18" max="18" width="19.85546875" bestFit="1" customWidth="1"/>
    <col min="20" max="21" width="13.42578125" bestFit="1" customWidth="1"/>
    <col min="22" max="22" width="22.28515625" bestFit="1" customWidth="1"/>
  </cols>
  <sheetData>
    <row r="1" spans="2:22" ht="11.25" customHeight="1" x14ac:dyDescent="0.2"/>
    <row r="2" spans="2:22" ht="24" customHeight="1" x14ac:dyDescent="0.2"/>
    <row r="3" spans="2:22" ht="15.75" customHeight="1" x14ac:dyDescent="0.2">
      <c r="B3" s="76" t="s">
        <v>0</v>
      </c>
      <c r="C3" s="76"/>
      <c r="D3" s="1" t="s">
        <v>1</v>
      </c>
      <c r="M3" s="77"/>
      <c r="N3" s="77"/>
    </row>
    <row r="4" spans="2:22" ht="19.95" customHeight="1" x14ac:dyDescent="0.2">
      <c r="B4" s="86" t="s">
        <v>2</v>
      </c>
      <c r="C4" s="88" t="s">
        <v>3</v>
      </c>
      <c r="D4" s="88" t="s">
        <v>4</v>
      </c>
      <c r="E4" s="88" t="s">
        <v>5</v>
      </c>
      <c r="F4" s="88" t="s">
        <v>6</v>
      </c>
      <c r="G4" s="90" t="s">
        <v>7</v>
      </c>
      <c r="H4" s="90" t="s">
        <v>8</v>
      </c>
      <c r="I4" s="90" t="s">
        <v>9</v>
      </c>
      <c r="J4" s="92" t="s">
        <v>10</v>
      </c>
      <c r="K4" s="92" t="s">
        <v>11</v>
      </c>
      <c r="L4" s="88" t="s">
        <v>12</v>
      </c>
      <c r="M4" s="88" t="s">
        <v>13</v>
      </c>
      <c r="N4" s="88" t="s">
        <v>14</v>
      </c>
      <c r="O4" s="88" t="s">
        <v>15</v>
      </c>
      <c r="P4" s="88" t="s">
        <v>16</v>
      </c>
      <c r="Q4" s="88" t="s">
        <v>17</v>
      </c>
      <c r="R4" s="88" t="s">
        <v>18</v>
      </c>
      <c r="S4" s="90" t="s">
        <v>19</v>
      </c>
      <c r="T4" s="90" t="s">
        <v>20</v>
      </c>
      <c r="U4" s="90" t="s">
        <v>21</v>
      </c>
    </row>
    <row r="5" spans="2:22" ht="24.75" customHeight="1" x14ac:dyDescent="0.2">
      <c r="B5" s="87"/>
      <c r="C5" s="89"/>
      <c r="D5" s="94"/>
      <c r="E5" s="89"/>
      <c r="F5" s="89"/>
      <c r="G5" s="91"/>
      <c r="H5" s="91"/>
      <c r="I5" s="91"/>
      <c r="J5" s="93"/>
      <c r="K5" s="93"/>
      <c r="L5" s="89"/>
      <c r="M5" s="89"/>
      <c r="N5" s="89"/>
      <c r="O5" s="89"/>
      <c r="P5" s="89"/>
      <c r="Q5" s="89"/>
      <c r="R5" s="89"/>
      <c r="S5" s="91"/>
      <c r="T5" s="91"/>
      <c r="U5" s="91"/>
    </row>
    <row r="6" spans="2:22" ht="22.95" customHeight="1" x14ac:dyDescent="0.2">
      <c r="B6" s="78" t="s">
        <v>22</v>
      </c>
      <c r="C6" s="78"/>
      <c r="D6" s="78"/>
    </row>
    <row r="7" spans="2:22" ht="22.95" customHeight="1" outlineLevel="1" x14ac:dyDescent="0.2">
      <c r="B7" s="79" t="s">
        <v>23</v>
      </c>
      <c r="C7" s="79"/>
      <c r="D7" s="79"/>
    </row>
    <row r="8" spans="2:22" ht="22.95" customHeight="1" outlineLevel="2" x14ac:dyDescent="0.2">
      <c r="B8" s="80" t="s">
        <v>24</v>
      </c>
      <c r="C8" s="80"/>
      <c r="D8" s="80"/>
    </row>
    <row r="9" spans="2:22" ht="21" customHeight="1" outlineLevel="3" x14ac:dyDescent="0.2">
      <c r="B9" s="2">
        <v>1</v>
      </c>
      <c r="C9" s="3" t="s">
        <v>25</v>
      </c>
      <c r="D9" s="3" t="s">
        <v>26</v>
      </c>
      <c r="E9" s="4" t="s">
        <v>27</v>
      </c>
      <c r="F9" s="8"/>
      <c r="G9" s="9"/>
      <c r="H9" s="10">
        <v>60</v>
      </c>
      <c r="I9" s="10">
        <v>4</v>
      </c>
      <c r="J9" s="10">
        <v>4</v>
      </c>
      <c r="K9" s="2">
        <v>4</v>
      </c>
      <c r="L9" s="11">
        <v>19.706666666666667</v>
      </c>
      <c r="M9" s="12"/>
      <c r="N9" s="9">
        <f t="shared" ref="N9:N24" si="0">L9*M9</f>
        <v>0</v>
      </c>
      <c r="O9" s="11">
        <f>0.15*M9</f>
        <v>0</v>
      </c>
      <c r="P9" s="20">
        <f>0.0003*M9</f>
        <v>0</v>
      </c>
      <c r="Q9" s="21"/>
      <c r="R9" s="22" t="s">
        <v>28</v>
      </c>
      <c r="S9" s="22" t="s">
        <v>29</v>
      </c>
      <c r="T9" s="3" t="str">
        <f>HYPERLINK("https://kanzpp.ru/api/getInfo/image/1c3bc700-afbb-11ee-a259-00155d82e908")</f>
        <v>https://kanzpp.ru/api/getInfo/image/1c3bc700-afbb-11ee-a259-00155d82e908</v>
      </c>
      <c r="U9" s="3"/>
      <c r="V9" s="32" t="s">
        <v>30</v>
      </c>
    </row>
    <row r="10" spans="2:22" ht="21" customHeight="1" outlineLevel="3" x14ac:dyDescent="0.2">
      <c r="B10" s="5">
        <v>2</v>
      </c>
      <c r="C10" s="6" t="s">
        <v>31</v>
      </c>
      <c r="D10" s="6" t="s">
        <v>32</v>
      </c>
      <c r="E10" s="7" t="s">
        <v>33</v>
      </c>
      <c r="F10" s="13"/>
      <c r="G10" s="14"/>
      <c r="H10" s="15">
        <v>64</v>
      </c>
      <c r="I10" s="15">
        <v>4</v>
      </c>
      <c r="J10" s="15">
        <v>28</v>
      </c>
      <c r="K10" s="5">
        <v>4</v>
      </c>
      <c r="L10" s="16">
        <v>39.226666666666667</v>
      </c>
      <c r="M10" s="12"/>
      <c r="N10" s="14">
        <f t="shared" si="0"/>
        <v>0</v>
      </c>
      <c r="O10" s="23">
        <f>0.156*M10</f>
        <v>0</v>
      </c>
      <c r="P10" s="24">
        <f>0.00048*M10</f>
        <v>0</v>
      </c>
      <c r="Q10" s="25"/>
      <c r="R10" s="26" t="s">
        <v>34</v>
      </c>
      <c r="S10" s="26" t="s">
        <v>29</v>
      </c>
      <c r="T10" s="6" t="str">
        <f>HYPERLINK("https://kanzpp.ru/api/getInfo/image/0a979667-cac4-11f0-a28a-00155d82e908")</f>
        <v>https://kanzpp.ru/api/getInfo/image/0a979667-cac4-11f0-a28a-00155d82e908</v>
      </c>
      <c r="U10" s="6"/>
      <c r="V10" s="33" t="s">
        <v>35</v>
      </c>
    </row>
    <row r="11" spans="2:22" ht="21" customHeight="1" outlineLevel="3" x14ac:dyDescent="0.2">
      <c r="B11" s="5">
        <v>3</v>
      </c>
      <c r="C11" s="6" t="s">
        <v>36</v>
      </c>
      <c r="D11" s="6" t="s">
        <v>37</v>
      </c>
      <c r="E11" s="7" t="s">
        <v>38</v>
      </c>
      <c r="F11" s="13"/>
      <c r="G11" s="14"/>
      <c r="H11" s="15">
        <v>64</v>
      </c>
      <c r="I11" s="15">
        <v>8</v>
      </c>
      <c r="J11" s="15">
        <v>192</v>
      </c>
      <c r="K11" s="5">
        <v>8</v>
      </c>
      <c r="L11" s="16">
        <v>27.12</v>
      </c>
      <c r="M11" s="12"/>
      <c r="N11" s="14">
        <f t="shared" si="0"/>
        <v>0</v>
      </c>
      <c r="O11" s="23">
        <f>0.081*M11</f>
        <v>0</v>
      </c>
      <c r="P11" s="24">
        <f>0.00035*M11</f>
        <v>0</v>
      </c>
      <c r="Q11" s="25"/>
      <c r="R11" s="26"/>
      <c r="S11" s="26" t="s">
        <v>29</v>
      </c>
      <c r="T11" s="6" t="str">
        <f>HYPERLINK("https://kanzpp.ru/api/getInfo/image/29270fa5-1924-11f0-a279-00155d82e908")</f>
        <v>https://kanzpp.ru/api/getInfo/image/29270fa5-1924-11f0-a279-00155d82e908</v>
      </c>
      <c r="U11" s="6"/>
      <c r="V11" s="33" t="s">
        <v>35</v>
      </c>
    </row>
    <row r="12" spans="2:22" ht="21" customHeight="1" outlineLevel="3" x14ac:dyDescent="0.2">
      <c r="B12" s="5">
        <v>4</v>
      </c>
      <c r="C12" s="6" t="s">
        <v>39</v>
      </c>
      <c r="D12" s="6" t="s">
        <v>40</v>
      </c>
      <c r="E12" s="7" t="s">
        <v>41</v>
      </c>
      <c r="F12" s="13"/>
      <c r="G12" s="14"/>
      <c r="H12" s="15">
        <v>64</v>
      </c>
      <c r="I12" s="15">
        <v>8</v>
      </c>
      <c r="J12" s="15">
        <v>128</v>
      </c>
      <c r="K12" s="5">
        <v>8</v>
      </c>
      <c r="L12" s="16">
        <v>43.84</v>
      </c>
      <c r="M12" s="12"/>
      <c r="N12" s="14">
        <f t="shared" si="0"/>
        <v>0</v>
      </c>
      <c r="O12" s="23">
        <f>0.146*M12</f>
        <v>0</v>
      </c>
      <c r="P12" s="24">
        <f>0.00023*M12</f>
        <v>0</v>
      </c>
      <c r="Q12" s="25"/>
      <c r="R12" s="26"/>
      <c r="S12" s="26" t="s">
        <v>29</v>
      </c>
      <c r="T12" s="6" t="str">
        <f>HYPERLINK("https://kanzpp.ru/api/getInfo/image/15eb7ada-6c76-11f0-a283-00155d82e908")</f>
        <v>https://kanzpp.ru/api/getInfo/image/15eb7ada-6c76-11f0-a283-00155d82e908</v>
      </c>
      <c r="U12" s="6"/>
      <c r="V12" s="33" t="s">
        <v>35</v>
      </c>
    </row>
    <row r="13" spans="2:22" ht="21" customHeight="1" outlineLevel="3" x14ac:dyDescent="0.2">
      <c r="B13" s="5">
        <v>5</v>
      </c>
      <c r="C13" s="6" t="s">
        <v>42</v>
      </c>
      <c r="D13" s="6" t="s">
        <v>43</v>
      </c>
      <c r="E13" s="7" t="s">
        <v>44</v>
      </c>
      <c r="F13" s="13"/>
      <c r="G13" s="14"/>
      <c r="H13" s="15">
        <v>64</v>
      </c>
      <c r="I13" s="15">
        <v>8</v>
      </c>
      <c r="J13" s="15">
        <v>224</v>
      </c>
      <c r="K13" s="5">
        <v>8</v>
      </c>
      <c r="L13" s="16">
        <v>35.706666666666671</v>
      </c>
      <c r="M13" s="12"/>
      <c r="N13" s="14">
        <f t="shared" si="0"/>
        <v>0</v>
      </c>
      <c r="O13" s="23">
        <f>0.127*M13</f>
        <v>0</v>
      </c>
      <c r="P13" s="24">
        <f>0.00023*M13</f>
        <v>0</v>
      </c>
      <c r="Q13" s="25"/>
      <c r="R13" s="26"/>
      <c r="S13" s="26" t="s">
        <v>29</v>
      </c>
      <c r="T13" s="6" t="str">
        <f>HYPERLINK("https://kanzpp.ru/api/getInfo/image/15eb7ada-6c76-11f0-a283-00155d82e908")</f>
        <v>https://kanzpp.ru/api/getInfo/image/15eb7ada-6c76-11f0-a283-00155d82e908</v>
      </c>
      <c r="U13" s="6"/>
      <c r="V13" s="33" t="s">
        <v>35</v>
      </c>
    </row>
    <row r="14" spans="2:22" ht="21" customHeight="1" outlineLevel="3" x14ac:dyDescent="0.2">
      <c r="B14" s="5">
        <v>6</v>
      </c>
      <c r="C14" s="6" t="s">
        <v>45</v>
      </c>
      <c r="D14" s="6" t="s">
        <v>46</v>
      </c>
      <c r="E14" s="7" t="s">
        <v>47</v>
      </c>
      <c r="F14" s="13"/>
      <c r="G14" s="14"/>
      <c r="H14" s="15">
        <v>64</v>
      </c>
      <c r="I14" s="15">
        <v>8</v>
      </c>
      <c r="J14" s="15">
        <v>64</v>
      </c>
      <c r="K14" s="5">
        <v>8</v>
      </c>
      <c r="L14" s="16">
        <v>35.706666666666671</v>
      </c>
      <c r="M14" s="12"/>
      <c r="N14" s="14">
        <f t="shared" si="0"/>
        <v>0</v>
      </c>
      <c r="O14" s="23">
        <f>0.201*M14</f>
        <v>0</v>
      </c>
      <c r="P14" s="24">
        <f>0.00029*M14</f>
        <v>0</v>
      </c>
      <c r="Q14" s="25"/>
      <c r="R14" s="26"/>
      <c r="S14" s="26" t="s">
        <v>29</v>
      </c>
      <c r="T14" s="6" t="str">
        <f>HYPERLINK("https://kanzpp.ru/api/getInfo/image/15eb7ada-6c76-11f0-a283-00155d82e908")</f>
        <v>https://kanzpp.ru/api/getInfo/image/15eb7ada-6c76-11f0-a283-00155d82e908</v>
      </c>
      <c r="U14" s="6"/>
      <c r="V14" s="33" t="s">
        <v>35</v>
      </c>
    </row>
    <row r="15" spans="2:22" ht="21" customHeight="1" outlineLevel="3" x14ac:dyDescent="0.2">
      <c r="B15" s="5">
        <v>7</v>
      </c>
      <c r="C15" s="6" t="s">
        <v>48</v>
      </c>
      <c r="D15" s="6" t="s">
        <v>49</v>
      </c>
      <c r="E15" s="7" t="s">
        <v>50</v>
      </c>
      <c r="F15" s="13"/>
      <c r="G15" s="14"/>
      <c r="H15" s="15">
        <v>32</v>
      </c>
      <c r="I15" s="15">
        <v>8</v>
      </c>
      <c r="J15" s="15">
        <v>512</v>
      </c>
      <c r="K15" s="5">
        <v>8</v>
      </c>
      <c r="L15" s="16">
        <v>67.48</v>
      </c>
      <c r="M15" s="12"/>
      <c r="N15" s="14">
        <f t="shared" si="0"/>
        <v>0</v>
      </c>
      <c r="O15" s="23">
        <f>0.241*M15</f>
        <v>0</v>
      </c>
      <c r="P15" s="24">
        <f>0.00065*M15</f>
        <v>0</v>
      </c>
      <c r="Q15" s="25"/>
      <c r="R15" s="26" t="s">
        <v>51</v>
      </c>
      <c r="S15" s="26" t="s">
        <v>29</v>
      </c>
      <c r="T15" s="6" t="str">
        <f>HYPERLINK("https://kanzpp.ru/api/getInfo/image/f11f6b59-2b37-11f0-a27b-00155d82e908")</f>
        <v>https://kanzpp.ru/api/getInfo/image/f11f6b59-2b37-11f0-a27b-00155d82e908</v>
      </c>
      <c r="U15" s="6"/>
      <c r="V15" s="33" t="s">
        <v>35</v>
      </c>
    </row>
    <row r="16" spans="2:22" ht="21" customHeight="1" outlineLevel="3" x14ac:dyDescent="0.2">
      <c r="B16" s="5">
        <v>8</v>
      </c>
      <c r="C16" s="6" t="s">
        <v>52</v>
      </c>
      <c r="D16" s="6" t="s">
        <v>53</v>
      </c>
      <c r="E16" s="7" t="s">
        <v>54</v>
      </c>
      <c r="F16" s="13"/>
      <c r="G16" s="14"/>
      <c r="H16" s="14"/>
      <c r="I16" s="15">
        <v>20</v>
      </c>
      <c r="J16" s="15">
        <v>920</v>
      </c>
      <c r="K16" s="5">
        <v>20</v>
      </c>
      <c r="L16" s="16">
        <v>13.200000000000001</v>
      </c>
      <c r="M16" s="12"/>
      <c r="N16" s="14">
        <f t="shared" si="0"/>
        <v>0</v>
      </c>
      <c r="O16" s="23">
        <f>0.709*M16</f>
        <v>0</v>
      </c>
      <c r="P16" s="24">
        <f>0.00098*M16</f>
        <v>0</v>
      </c>
      <c r="Q16" s="25"/>
      <c r="R16" s="26" t="s">
        <v>55</v>
      </c>
      <c r="S16" s="26" t="s">
        <v>29</v>
      </c>
      <c r="T16" s="6"/>
      <c r="U16" s="6" t="s">
        <v>55</v>
      </c>
      <c r="V16" s="33" t="s">
        <v>35</v>
      </c>
    </row>
    <row r="17" spans="2:22" ht="21" customHeight="1" outlineLevel="3" x14ac:dyDescent="0.2">
      <c r="B17" s="5">
        <v>9</v>
      </c>
      <c r="C17" s="6" t="s">
        <v>56</v>
      </c>
      <c r="D17" s="6" t="s">
        <v>57</v>
      </c>
      <c r="E17" s="7" t="s">
        <v>58</v>
      </c>
      <c r="F17" s="13"/>
      <c r="G17" s="14"/>
      <c r="H17" s="15">
        <v>40</v>
      </c>
      <c r="I17" s="15">
        <v>2</v>
      </c>
      <c r="J17" s="15">
        <v>3</v>
      </c>
      <c r="K17" s="5">
        <v>2</v>
      </c>
      <c r="L17" s="16">
        <v>25.333333333333332</v>
      </c>
      <c r="M17" s="12"/>
      <c r="N17" s="14">
        <f t="shared" si="0"/>
        <v>0</v>
      </c>
      <c r="O17" s="23">
        <f>0.155*M17</f>
        <v>0</v>
      </c>
      <c r="P17" s="24">
        <f>0.00089*M17</f>
        <v>0</v>
      </c>
      <c r="Q17" s="25"/>
      <c r="R17" s="26"/>
      <c r="S17" s="26" t="s">
        <v>29</v>
      </c>
      <c r="T17" s="6"/>
      <c r="U17" s="6" t="s">
        <v>59</v>
      </c>
      <c r="V17" s="33" t="s">
        <v>35</v>
      </c>
    </row>
    <row r="18" spans="2:22" ht="21" customHeight="1" outlineLevel="3" x14ac:dyDescent="0.2">
      <c r="B18" s="5">
        <v>10</v>
      </c>
      <c r="C18" s="6" t="s">
        <v>60</v>
      </c>
      <c r="D18" s="6" t="s">
        <v>61</v>
      </c>
      <c r="E18" s="7" t="s">
        <v>62</v>
      </c>
      <c r="F18" s="13"/>
      <c r="G18" s="14"/>
      <c r="H18" s="15">
        <v>40</v>
      </c>
      <c r="I18" s="15">
        <v>2</v>
      </c>
      <c r="J18" s="15">
        <v>4</v>
      </c>
      <c r="K18" s="5">
        <v>2</v>
      </c>
      <c r="L18" s="16">
        <v>25.333333333333332</v>
      </c>
      <c r="M18" s="12"/>
      <c r="N18" s="14">
        <f t="shared" si="0"/>
        <v>0</v>
      </c>
      <c r="O18" s="23">
        <f>0.158*M18</f>
        <v>0</v>
      </c>
      <c r="P18" s="24">
        <f>0.00023*M18</f>
        <v>0</v>
      </c>
      <c r="Q18" s="25"/>
      <c r="R18" s="26"/>
      <c r="S18" s="26" t="s">
        <v>29</v>
      </c>
      <c r="T18" s="6"/>
      <c r="U18" s="6" t="s">
        <v>63</v>
      </c>
      <c r="V18" s="33" t="s">
        <v>35</v>
      </c>
    </row>
    <row r="19" spans="2:22" ht="21" customHeight="1" outlineLevel="3" x14ac:dyDescent="0.2">
      <c r="B19" s="5">
        <v>11</v>
      </c>
      <c r="C19" s="6" t="s">
        <v>64</v>
      </c>
      <c r="D19" s="6" t="s">
        <v>65</v>
      </c>
      <c r="E19" s="7" t="s">
        <v>66</v>
      </c>
      <c r="F19" s="13"/>
      <c r="G19" s="14"/>
      <c r="H19" s="15">
        <v>90</v>
      </c>
      <c r="I19" s="15">
        <v>2</v>
      </c>
      <c r="J19" s="15">
        <v>6</v>
      </c>
      <c r="K19" s="5">
        <v>1</v>
      </c>
      <c r="L19" s="16">
        <v>25.333333333333332</v>
      </c>
      <c r="M19" s="12"/>
      <c r="N19" s="14">
        <f t="shared" si="0"/>
        <v>0</v>
      </c>
      <c r="O19" s="23">
        <f>0.158*M19</f>
        <v>0</v>
      </c>
      <c r="P19" s="24">
        <f>0.00023*M19</f>
        <v>0</v>
      </c>
      <c r="Q19" s="25"/>
      <c r="R19" s="26"/>
      <c r="S19" s="26" t="s">
        <v>29</v>
      </c>
      <c r="T19" s="6"/>
      <c r="U19" s="6" t="s">
        <v>67</v>
      </c>
      <c r="V19" s="33" t="s">
        <v>35</v>
      </c>
    </row>
    <row r="20" spans="2:22" ht="21" customHeight="1" outlineLevel="3" x14ac:dyDescent="0.2">
      <c r="B20" s="5">
        <v>12</v>
      </c>
      <c r="C20" s="6" t="s">
        <v>68</v>
      </c>
      <c r="D20" s="6" t="s">
        <v>69</v>
      </c>
      <c r="E20" s="7" t="s">
        <v>70</v>
      </c>
      <c r="F20" s="13"/>
      <c r="G20" s="14"/>
      <c r="H20" s="15">
        <v>40</v>
      </c>
      <c r="I20" s="15">
        <v>5</v>
      </c>
      <c r="J20" s="15">
        <v>5</v>
      </c>
      <c r="K20" s="5">
        <v>5</v>
      </c>
      <c r="L20" s="16">
        <v>52</v>
      </c>
      <c r="M20" s="12"/>
      <c r="N20" s="14">
        <f t="shared" si="0"/>
        <v>0</v>
      </c>
      <c r="O20" s="23">
        <f>0.273*M20</f>
        <v>0</v>
      </c>
      <c r="P20" s="24">
        <f>0.00039*M20</f>
        <v>0</v>
      </c>
      <c r="Q20" s="25"/>
      <c r="R20" s="26" t="s">
        <v>71</v>
      </c>
      <c r="S20" s="26" t="s">
        <v>29</v>
      </c>
      <c r="T20" s="6" t="str">
        <f>HYPERLINK("https://kanzpp.ru/api/getInfo/image/3a00533d-0896-11eb-a256-ac1f6b442184")</f>
        <v>https://kanzpp.ru/api/getInfo/image/3a00533d-0896-11eb-a256-ac1f6b442184</v>
      </c>
      <c r="U20" s="6" t="s">
        <v>72</v>
      </c>
      <c r="V20" s="33" t="s">
        <v>35</v>
      </c>
    </row>
    <row r="21" spans="2:22" ht="21" customHeight="1" outlineLevel="3" x14ac:dyDescent="0.2">
      <c r="B21" s="5">
        <v>13</v>
      </c>
      <c r="C21" s="6" t="s">
        <v>73</v>
      </c>
      <c r="D21" s="6" t="s">
        <v>74</v>
      </c>
      <c r="E21" s="7" t="s">
        <v>75</v>
      </c>
      <c r="F21" s="13"/>
      <c r="G21" s="14"/>
      <c r="H21" s="15">
        <v>32</v>
      </c>
      <c r="I21" s="15">
        <v>2</v>
      </c>
      <c r="J21" s="17">
        <v>1222</v>
      </c>
      <c r="K21" s="5">
        <v>2</v>
      </c>
      <c r="L21" s="16">
        <v>83.86666666666666</v>
      </c>
      <c r="M21" s="12"/>
      <c r="N21" s="14">
        <f t="shared" si="0"/>
        <v>0</v>
      </c>
      <c r="O21" s="27">
        <f>0.3*M21</f>
        <v>0</v>
      </c>
      <c r="P21" s="24">
        <f>0.00041*M21</f>
        <v>0</v>
      </c>
      <c r="Q21" s="25"/>
      <c r="R21" s="26"/>
      <c r="S21" s="26" t="s">
        <v>29</v>
      </c>
      <c r="T21" s="6"/>
      <c r="U21" s="6" t="s">
        <v>76</v>
      </c>
      <c r="V21" s="33" t="s">
        <v>35</v>
      </c>
    </row>
    <row r="22" spans="2:22" ht="21" customHeight="1" outlineLevel="3" x14ac:dyDescent="0.2">
      <c r="B22" s="5">
        <v>14</v>
      </c>
      <c r="C22" s="6" t="s">
        <v>77</v>
      </c>
      <c r="D22" s="6" t="s">
        <v>78</v>
      </c>
      <c r="E22" s="7" t="s">
        <v>79</v>
      </c>
      <c r="F22" s="13"/>
      <c r="G22" s="14"/>
      <c r="H22" s="15">
        <v>32</v>
      </c>
      <c r="I22" s="15">
        <v>2</v>
      </c>
      <c r="J22" s="17">
        <v>1027</v>
      </c>
      <c r="K22" s="5">
        <v>2</v>
      </c>
      <c r="L22" s="16">
        <v>83.86666666666666</v>
      </c>
      <c r="M22" s="12"/>
      <c r="N22" s="14">
        <f t="shared" si="0"/>
        <v>0</v>
      </c>
      <c r="O22" s="23">
        <f>0.295*M22</f>
        <v>0</v>
      </c>
      <c r="P22" s="24">
        <f>0.00041*M22</f>
        <v>0</v>
      </c>
      <c r="Q22" s="25"/>
      <c r="R22" s="26"/>
      <c r="S22" s="26" t="s">
        <v>29</v>
      </c>
      <c r="T22" s="6"/>
      <c r="U22" s="6" t="s">
        <v>80</v>
      </c>
      <c r="V22" s="33" t="s">
        <v>35</v>
      </c>
    </row>
    <row r="23" spans="2:22" ht="21" customHeight="1" outlineLevel="3" x14ac:dyDescent="0.2">
      <c r="B23" s="5">
        <v>15</v>
      </c>
      <c r="C23" s="6" t="s">
        <v>81</v>
      </c>
      <c r="D23" s="6" t="s">
        <v>82</v>
      </c>
      <c r="E23" s="7" t="s">
        <v>83</v>
      </c>
      <c r="F23" s="13"/>
      <c r="G23" s="14"/>
      <c r="H23" s="14"/>
      <c r="I23" s="15">
        <v>25</v>
      </c>
      <c r="J23" s="17">
        <v>3696</v>
      </c>
      <c r="K23" s="5">
        <v>25</v>
      </c>
      <c r="L23" s="16">
        <v>17.186666666666667</v>
      </c>
      <c r="M23" s="12"/>
      <c r="N23" s="14">
        <f t="shared" si="0"/>
        <v>0</v>
      </c>
      <c r="O23" s="23">
        <f>0.062*M23</f>
        <v>0</v>
      </c>
      <c r="P23" s="24">
        <f>0.00012*M23</f>
        <v>0</v>
      </c>
      <c r="Q23" s="25"/>
      <c r="R23" s="26" t="s">
        <v>84</v>
      </c>
      <c r="S23" s="26" t="s">
        <v>29</v>
      </c>
      <c r="T23" s="6"/>
      <c r="U23" s="6" t="s">
        <v>84</v>
      </c>
      <c r="V23" s="33" t="s">
        <v>35</v>
      </c>
    </row>
    <row r="24" spans="2:22" ht="21" customHeight="1" outlineLevel="3" x14ac:dyDescent="0.2">
      <c r="B24" s="5">
        <v>16</v>
      </c>
      <c r="C24" s="6" t="s">
        <v>85</v>
      </c>
      <c r="D24" s="6" t="s">
        <v>86</v>
      </c>
      <c r="E24" s="7" t="s">
        <v>87</v>
      </c>
      <c r="F24" s="13"/>
      <c r="G24" s="14"/>
      <c r="H24" s="14"/>
      <c r="I24" s="15">
        <v>25</v>
      </c>
      <c r="J24" s="15">
        <v>400</v>
      </c>
      <c r="K24" s="5">
        <v>25</v>
      </c>
      <c r="L24" s="16">
        <v>17.186666666666667</v>
      </c>
      <c r="M24" s="12"/>
      <c r="N24" s="14">
        <f t="shared" si="0"/>
        <v>0</v>
      </c>
      <c r="O24" s="23">
        <f>0.071*M24</f>
        <v>0</v>
      </c>
      <c r="P24" s="24">
        <f>0.00017*M24</f>
        <v>0</v>
      </c>
      <c r="Q24" s="25"/>
      <c r="R24" s="26" t="s">
        <v>88</v>
      </c>
      <c r="S24" s="26" t="s">
        <v>29</v>
      </c>
      <c r="T24" s="6"/>
      <c r="U24" s="6" t="s">
        <v>88</v>
      </c>
      <c r="V24" s="33" t="s">
        <v>35</v>
      </c>
    </row>
    <row r="25" spans="2:22" ht="22.95" customHeight="1" outlineLevel="2" x14ac:dyDescent="0.2">
      <c r="B25" s="80" t="s">
        <v>89</v>
      </c>
      <c r="C25" s="80"/>
      <c r="D25" s="80"/>
      <c r="L25">
        <v>0</v>
      </c>
    </row>
    <row r="26" spans="2:22" ht="21" customHeight="1" outlineLevel="3" x14ac:dyDescent="0.2">
      <c r="B26" s="5">
        <v>17</v>
      </c>
      <c r="C26" s="6" t="s">
        <v>90</v>
      </c>
      <c r="D26" s="6" t="s">
        <v>91</v>
      </c>
      <c r="E26" s="7" t="s">
        <v>92</v>
      </c>
      <c r="F26" s="13"/>
      <c r="G26" s="14"/>
      <c r="H26" s="15">
        <v>48</v>
      </c>
      <c r="I26" s="15">
        <v>8</v>
      </c>
      <c r="J26" s="15">
        <v>144</v>
      </c>
      <c r="K26" s="5">
        <v>12</v>
      </c>
      <c r="L26" s="16">
        <v>48.639999999999993</v>
      </c>
      <c r="M26" s="12"/>
      <c r="N26" s="14">
        <f t="shared" ref="N26:N51" si="1">L26*M26</f>
        <v>0</v>
      </c>
      <c r="O26" s="28">
        <f>0.15*M26</f>
        <v>0</v>
      </c>
      <c r="P26" s="24">
        <f>0.00085*M26</f>
        <v>0</v>
      </c>
      <c r="Q26" s="25"/>
      <c r="R26" s="26"/>
      <c r="S26" s="26" t="s">
        <v>93</v>
      </c>
      <c r="T26" s="6" t="str">
        <f>HYPERLINK("https://kanzpp.ru/api/getInfo/image/d33e0fa1-e42f-11ed-a233-00155d82e902")</f>
        <v>https://kanzpp.ru/api/getInfo/image/d33e0fa1-e42f-11ed-a233-00155d82e902</v>
      </c>
      <c r="U26" s="6"/>
      <c r="V26" s="33" t="s">
        <v>35</v>
      </c>
    </row>
    <row r="27" spans="2:22" ht="21" customHeight="1" outlineLevel="3" x14ac:dyDescent="0.2">
      <c r="B27" s="2">
        <v>18</v>
      </c>
      <c r="C27" s="3" t="s">
        <v>94</v>
      </c>
      <c r="D27" s="3" t="s">
        <v>95</v>
      </c>
      <c r="E27" s="4" t="s">
        <v>96</v>
      </c>
      <c r="F27" s="8"/>
      <c r="G27" s="9"/>
      <c r="H27" s="10">
        <v>24</v>
      </c>
      <c r="I27" s="9"/>
      <c r="J27" s="10">
        <v>14</v>
      </c>
      <c r="K27" s="2">
        <v>1</v>
      </c>
      <c r="L27" s="18">
        <v>42.946666666666665</v>
      </c>
      <c r="M27" s="12"/>
      <c r="N27" s="9">
        <f t="shared" si="1"/>
        <v>0</v>
      </c>
      <c r="O27" s="29">
        <f>0.172*M27</f>
        <v>0</v>
      </c>
      <c r="P27" s="30">
        <f>0.00016*M27</f>
        <v>0</v>
      </c>
      <c r="Q27" s="21"/>
      <c r="R27" s="22"/>
      <c r="S27" s="22" t="s">
        <v>93</v>
      </c>
      <c r="T27" s="3"/>
      <c r="U27" s="3" t="s">
        <v>97</v>
      </c>
      <c r="V27" s="32" t="s">
        <v>30</v>
      </c>
    </row>
    <row r="28" spans="2:22" ht="21" customHeight="1" outlineLevel="3" x14ac:dyDescent="0.2">
      <c r="B28" s="2">
        <v>19</v>
      </c>
      <c r="C28" s="3" t="s">
        <v>98</v>
      </c>
      <c r="D28" s="3" t="s">
        <v>99</v>
      </c>
      <c r="E28" s="4" t="s">
        <v>100</v>
      </c>
      <c r="F28" s="8"/>
      <c r="G28" s="9"/>
      <c r="H28" s="10">
        <v>24</v>
      </c>
      <c r="I28" s="9"/>
      <c r="J28" s="10">
        <v>18</v>
      </c>
      <c r="K28" s="2">
        <v>1</v>
      </c>
      <c r="L28" s="18">
        <v>42.946666666666665</v>
      </c>
      <c r="M28" s="12"/>
      <c r="N28" s="9">
        <f t="shared" si="1"/>
        <v>0</v>
      </c>
      <c r="O28" s="29">
        <f>0.172*M28</f>
        <v>0</v>
      </c>
      <c r="P28" s="30">
        <f>0.00019*M28</f>
        <v>0</v>
      </c>
      <c r="Q28" s="21"/>
      <c r="R28" s="22"/>
      <c r="S28" s="22" t="s">
        <v>93</v>
      </c>
      <c r="T28" s="3"/>
      <c r="U28" s="3" t="s">
        <v>101</v>
      </c>
      <c r="V28" s="32" t="s">
        <v>30</v>
      </c>
    </row>
    <row r="29" spans="2:22" ht="21" customHeight="1" outlineLevel="3" x14ac:dyDescent="0.2">
      <c r="B29" s="2">
        <v>20</v>
      </c>
      <c r="C29" s="3" t="s">
        <v>102</v>
      </c>
      <c r="D29" s="3" t="s">
        <v>103</v>
      </c>
      <c r="E29" s="4" t="s">
        <v>104</v>
      </c>
      <c r="F29" s="8"/>
      <c r="G29" s="9"/>
      <c r="H29" s="10">
        <v>24</v>
      </c>
      <c r="I29" s="9"/>
      <c r="J29" s="10">
        <v>13</v>
      </c>
      <c r="K29" s="2">
        <v>1</v>
      </c>
      <c r="L29" s="18">
        <v>42.946666666666665</v>
      </c>
      <c r="M29" s="12"/>
      <c r="N29" s="9">
        <f t="shared" si="1"/>
        <v>0</v>
      </c>
      <c r="O29" s="29">
        <f>0.179*M29</f>
        <v>0</v>
      </c>
      <c r="P29" s="30">
        <f>0.00019*M29</f>
        <v>0</v>
      </c>
      <c r="Q29" s="21"/>
      <c r="R29" s="22"/>
      <c r="S29" s="22" t="s">
        <v>93</v>
      </c>
      <c r="T29" s="3"/>
      <c r="U29" s="3" t="s">
        <v>105</v>
      </c>
      <c r="V29" s="32" t="s">
        <v>30</v>
      </c>
    </row>
    <row r="30" spans="2:22" ht="21" customHeight="1" outlineLevel="3" x14ac:dyDescent="0.2">
      <c r="B30" s="5">
        <v>21</v>
      </c>
      <c r="C30" s="6" t="s">
        <v>106</v>
      </c>
      <c r="D30" s="6" t="s">
        <v>107</v>
      </c>
      <c r="E30" s="7" t="s">
        <v>108</v>
      </c>
      <c r="F30" s="13"/>
      <c r="G30" s="14"/>
      <c r="H30" s="15">
        <v>96</v>
      </c>
      <c r="I30" s="15">
        <v>16</v>
      </c>
      <c r="J30" s="17">
        <v>4677</v>
      </c>
      <c r="K30" s="5">
        <v>16</v>
      </c>
      <c r="L30" s="16">
        <v>6.12</v>
      </c>
      <c r="M30" s="12"/>
      <c r="N30" s="14">
        <f t="shared" si="1"/>
        <v>0</v>
      </c>
      <c r="O30" s="23">
        <f>0.044*M30</f>
        <v>0</v>
      </c>
      <c r="P30" s="24">
        <f>0.00005*M30</f>
        <v>0</v>
      </c>
      <c r="Q30" s="25"/>
      <c r="R30" s="26" t="s">
        <v>109</v>
      </c>
      <c r="S30" s="26" t="s">
        <v>93</v>
      </c>
      <c r="T30" s="6"/>
      <c r="U30" s="6"/>
      <c r="V30" s="33" t="s">
        <v>35</v>
      </c>
    </row>
    <row r="31" spans="2:22" ht="21" customHeight="1" outlineLevel="3" x14ac:dyDescent="0.2">
      <c r="B31" s="5">
        <v>22</v>
      </c>
      <c r="C31" s="6" t="s">
        <v>110</v>
      </c>
      <c r="D31" s="6" t="s">
        <v>111</v>
      </c>
      <c r="E31" s="7" t="s">
        <v>112</v>
      </c>
      <c r="F31" s="13"/>
      <c r="G31" s="14"/>
      <c r="H31" s="15">
        <v>60</v>
      </c>
      <c r="I31" s="15">
        <v>20</v>
      </c>
      <c r="J31" s="15">
        <v>420</v>
      </c>
      <c r="K31" s="5">
        <v>20</v>
      </c>
      <c r="L31" s="16">
        <v>31.866666666666664</v>
      </c>
      <c r="M31" s="12"/>
      <c r="N31" s="14">
        <f t="shared" si="1"/>
        <v>0</v>
      </c>
      <c r="O31" s="23">
        <f>0.079*M31</f>
        <v>0</v>
      </c>
      <c r="P31" s="24">
        <f>0.00021*M31</f>
        <v>0</v>
      </c>
      <c r="Q31" s="25"/>
      <c r="R31" s="26" t="s">
        <v>113</v>
      </c>
      <c r="S31" s="26" t="s">
        <v>93</v>
      </c>
      <c r="T31" s="6"/>
      <c r="U31" s="6"/>
      <c r="V31" s="33" t="s">
        <v>35</v>
      </c>
    </row>
    <row r="32" spans="2:22" ht="21" customHeight="1" outlineLevel="3" x14ac:dyDescent="0.2">
      <c r="B32" s="5">
        <v>23</v>
      </c>
      <c r="C32" s="6" t="s">
        <v>114</v>
      </c>
      <c r="D32" s="6" t="s">
        <v>115</v>
      </c>
      <c r="E32" s="7" t="s">
        <v>116</v>
      </c>
      <c r="F32" s="13"/>
      <c r="G32" s="14"/>
      <c r="H32" s="15">
        <v>160</v>
      </c>
      <c r="I32" s="15">
        <v>4</v>
      </c>
      <c r="J32" s="15">
        <v>120</v>
      </c>
      <c r="K32" s="5">
        <v>20</v>
      </c>
      <c r="L32" s="16">
        <v>26.533333333333331</v>
      </c>
      <c r="M32" s="12"/>
      <c r="N32" s="14">
        <f t="shared" si="1"/>
        <v>0</v>
      </c>
      <c r="O32" s="23">
        <f>0.041*M32</f>
        <v>0</v>
      </c>
      <c r="P32" s="24">
        <f>0.00009*M32</f>
        <v>0</v>
      </c>
      <c r="Q32" s="25"/>
      <c r="R32" s="26"/>
      <c r="S32" s="26" t="s">
        <v>93</v>
      </c>
      <c r="T32" s="6"/>
      <c r="U32" s="6"/>
      <c r="V32" s="33" t="s">
        <v>35</v>
      </c>
    </row>
    <row r="33" spans="2:22" ht="21" customHeight="1" outlineLevel="3" x14ac:dyDescent="0.2">
      <c r="B33" s="5">
        <v>24</v>
      </c>
      <c r="C33" s="6" t="s">
        <v>117</v>
      </c>
      <c r="D33" s="6" t="s">
        <v>118</v>
      </c>
      <c r="E33" s="7" t="s">
        <v>119</v>
      </c>
      <c r="F33" s="13"/>
      <c r="G33" s="14"/>
      <c r="H33" s="14"/>
      <c r="I33" s="15">
        <v>24</v>
      </c>
      <c r="J33" s="17">
        <v>1032</v>
      </c>
      <c r="K33" s="5">
        <v>24</v>
      </c>
      <c r="L33" s="16">
        <v>10.88</v>
      </c>
      <c r="M33" s="12"/>
      <c r="N33" s="14">
        <f t="shared" si="1"/>
        <v>0</v>
      </c>
      <c r="O33" s="23">
        <f>0.021*M33</f>
        <v>0</v>
      </c>
      <c r="P33" s="24">
        <f>0.00004*M33</f>
        <v>0</v>
      </c>
      <c r="Q33" s="25"/>
      <c r="R33" s="26" t="s">
        <v>120</v>
      </c>
      <c r="S33" s="26" t="s">
        <v>93</v>
      </c>
      <c r="T33" s="6"/>
      <c r="U33" s="6"/>
      <c r="V33" s="33" t="s">
        <v>35</v>
      </c>
    </row>
    <row r="34" spans="2:22" ht="21" customHeight="1" outlineLevel="3" x14ac:dyDescent="0.2">
      <c r="B34" s="5">
        <v>25</v>
      </c>
      <c r="C34" s="6" t="s">
        <v>121</v>
      </c>
      <c r="D34" s="6" t="s">
        <v>122</v>
      </c>
      <c r="E34" s="7" t="s">
        <v>123</v>
      </c>
      <c r="F34" s="13"/>
      <c r="G34" s="14"/>
      <c r="H34" s="15">
        <v>20</v>
      </c>
      <c r="I34" s="15">
        <v>20</v>
      </c>
      <c r="J34" s="15">
        <v>30</v>
      </c>
      <c r="K34" s="5">
        <v>3</v>
      </c>
      <c r="L34" s="16">
        <v>66.533333333333331</v>
      </c>
      <c r="M34" s="12"/>
      <c r="N34" s="14">
        <f t="shared" si="1"/>
        <v>0</v>
      </c>
      <c r="O34" s="23">
        <f>0.195*M34</f>
        <v>0</v>
      </c>
      <c r="P34" s="24">
        <f>0.00027*M34</f>
        <v>0</v>
      </c>
      <c r="Q34" s="25"/>
      <c r="R34" s="26" t="s">
        <v>124</v>
      </c>
      <c r="S34" s="26" t="s">
        <v>93</v>
      </c>
      <c r="T34" s="6" t="str">
        <f>HYPERLINK("https://kanzpp.ru/api/getInfo/image/79047dff-9824-11e9-a227-ac1f6b442184")</f>
        <v>https://kanzpp.ru/api/getInfo/image/79047dff-9824-11e9-a227-ac1f6b442184</v>
      </c>
      <c r="U34" s="6"/>
      <c r="V34" s="33" t="s">
        <v>35</v>
      </c>
    </row>
    <row r="35" spans="2:22" ht="21" customHeight="1" outlineLevel="3" x14ac:dyDescent="0.2">
      <c r="B35" s="5">
        <v>26</v>
      </c>
      <c r="C35" s="6" t="s">
        <v>125</v>
      </c>
      <c r="D35" s="6" t="s">
        <v>126</v>
      </c>
      <c r="E35" s="7" t="s">
        <v>127</v>
      </c>
      <c r="F35" s="13"/>
      <c r="G35" s="14"/>
      <c r="H35" s="14"/>
      <c r="I35" s="15">
        <v>40</v>
      </c>
      <c r="J35" s="15">
        <v>5</v>
      </c>
      <c r="K35" s="5">
        <v>5</v>
      </c>
      <c r="L35" s="16">
        <v>52</v>
      </c>
      <c r="M35" s="12"/>
      <c r="N35" s="14">
        <f t="shared" si="1"/>
        <v>0</v>
      </c>
      <c r="O35" s="23">
        <f>0.123*M35</f>
        <v>0</v>
      </c>
      <c r="P35" s="24">
        <f>0.00026*M35</f>
        <v>0</v>
      </c>
      <c r="Q35" s="25"/>
      <c r="R35" s="26" t="s">
        <v>128</v>
      </c>
      <c r="S35" s="26" t="s">
        <v>93</v>
      </c>
      <c r="T35" s="6" t="str">
        <f>HYPERLINK("https://kanzpp.ru/api/getInfo/image/4a795086-989e-11ec-a211-ac1f6b442185")</f>
        <v>https://kanzpp.ru/api/getInfo/image/4a795086-989e-11ec-a211-ac1f6b442185</v>
      </c>
      <c r="U35" s="6"/>
      <c r="V35" s="33" t="s">
        <v>35</v>
      </c>
    </row>
    <row r="36" spans="2:22" ht="21" customHeight="1" outlineLevel="3" x14ac:dyDescent="0.2">
      <c r="B36" s="2">
        <v>27</v>
      </c>
      <c r="C36" s="3" t="s">
        <v>129</v>
      </c>
      <c r="D36" s="3" t="s">
        <v>130</v>
      </c>
      <c r="E36" s="4" t="s">
        <v>131</v>
      </c>
      <c r="F36" s="8"/>
      <c r="G36" s="9"/>
      <c r="H36" s="10">
        <v>20</v>
      </c>
      <c r="I36" s="9"/>
      <c r="J36" s="10">
        <v>5</v>
      </c>
      <c r="K36" s="2">
        <v>1</v>
      </c>
      <c r="L36" s="19">
        <v>54</v>
      </c>
      <c r="M36" s="12"/>
      <c r="N36" s="9">
        <f t="shared" si="1"/>
        <v>0</v>
      </c>
      <c r="O36" s="11">
        <f>0.22*M36</f>
        <v>0</v>
      </c>
      <c r="P36" s="30">
        <f>0.00031*M36</f>
        <v>0</v>
      </c>
      <c r="Q36" s="21"/>
      <c r="R36" s="22"/>
      <c r="S36" s="22" t="s">
        <v>93</v>
      </c>
      <c r="T36" s="3"/>
      <c r="U36" s="3" t="s">
        <v>132</v>
      </c>
      <c r="V36" s="32" t="s">
        <v>30</v>
      </c>
    </row>
    <row r="37" spans="2:22" ht="21" customHeight="1" outlineLevel="3" x14ac:dyDescent="0.2">
      <c r="B37" s="2">
        <v>28</v>
      </c>
      <c r="C37" s="3" t="s">
        <v>133</v>
      </c>
      <c r="D37" s="3" t="s">
        <v>134</v>
      </c>
      <c r="E37" s="4" t="s">
        <v>135</v>
      </c>
      <c r="F37" s="8"/>
      <c r="G37" s="9"/>
      <c r="H37" s="10">
        <v>40</v>
      </c>
      <c r="I37" s="9"/>
      <c r="J37" s="10">
        <v>3</v>
      </c>
      <c r="K37" s="2">
        <v>1</v>
      </c>
      <c r="L37" s="18">
        <v>44.386666666666663</v>
      </c>
      <c r="M37" s="12"/>
      <c r="N37" s="9">
        <f t="shared" si="1"/>
        <v>0</v>
      </c>
      <c r="O37" s="29">
        <f>0.208*M37</f>
        <v>0</v>
      </c>
      <c r="P37" s="30">
        <f>0.00032*M37</f>
        <v>0</v>
      </c>
      <c r="Q37" s="21"/>
      <c r="R37" s="22"/>
      <c r="S37" s="22" t="s">
        <v>93</v>
      </c>
      <c r="T37" s="3"/>
      <c r="U37" s="3" t="s">
        <v>136</v>
      </c>
      <c r="V37" s="32" t="s">
        <v>30</v>
      </c>
    </row>
    <row r="38" spans="2:22" ht="21" customHeight="1" outlineLevel="3" x14ac:dyDescent="0.2">
      <c r="B38" s="5">
        <v>29</v>
      </c>
      <c r="C38" s="6" t="s">
        <v>137</v>
      </c>
      <c r="D38" s="6" t="s">
        <v>138</v>
      </c>
      <c r="E38" s="7" t="s">
        <v>139</v>
      </c>
      <c r="F38" s="13"/>
      <c r="G38" s="14"/>
      <c r="H38" s="14"/>
      <c r="I38" s="15">
        <v>30</v>
      </c>
      <c r="J38" s="15">
        <v>107</v>
      </c>
      <c r="K38" s="5">
        <v>30</v>
      </c>
      <c r="L38" s="16">
        <v>38.666666666666664</v>
      </c>
      <c r="M38" s="12"/>
      <c r="N38" s="14">
        <f t="shared" si="1"/>
        <v>0</v>
      </c>
      <c r="O38" s="23">
        <f>0.185*M38</f>
        <v>0</v>
      </c>
      <c r="P38" s="24">
        <f>0.00026*M38</f>
        <v>0</v>
      </c>
      <c r="Q38" s="25"/>
      <c r="R38" s="26" t="s">
        <v>140</v>
      </c>
      <c r="S38" s="26" t="s">
        <v>93</v>
      </c>
      <c r="T38" s="6"/>
      <c r="U38" s="6"/>
      <c r="V38" s="33" t="s">
        <v>35</v>
      </c>
    </row>
    <row r="39" spans="2:22" ht="21" customHeight="1" outlineLevel="3" x14ac:dyDescent="0.2">
      <c r="B39" s="5">
        <v>30</v>
      </c>
      <c r="C39" s="6" t="s">
        <v>141</v>
      </c>
      <c r="D39" s="6" t="s">
        <v>142</v>
      </c>
      <c r="E39" s="7" t="s">
        <v>143</v>
      </c>
      <c r="F39" s="13"/>
      <c r="G39" s="14"/>
      <c r="H39" s="15">
        <v>40</v>
      </c>
      <c r="I39" s="14"/>
      <c r="J39" s="14" t="s">
        <v>144</v>
      </c>
      <c r="K39" s="5">
        <v>1</v>
      </c>
      <c r="L39" s="16">
        <v>38.666666666666664</v>
      </c>
      <c r="M39" s="12"/>
      <c r="N39" s="14">
        <f t="shared" si="1"/>
        <v>0</v>
      </c>
      <c r="O39" s="28">
        <f>0.06*M39</f>
        <v>0</v>
      </c>
      <c r="P39" s="24">
        <f>0.00043*M39</f>
        <v>0</v>
      </c>
      <c r="Q39" s="25"/>
      <c r="R39" s="26"/>
      <c r="S39" s="26" t="s">
        <v>93</v>
      </c>
      <c r="T39" s="6"/>
      <c r="U39" s="6" t="s">
        <v>145</v>
      </c>
      <c r="V39" s="33" t="s">
        <v>35</v>
      </c>
    </row>
    <row r="40" spans="2:22" ht="21" customHeight="1" outlineLevel="3" x14ac:dyDescent="0.2">
      <c r="B40" s="5">
        <v>31</v>
      </c>
      <c r="C40" s="6" t="s">
        <v>146</v>
      </c>
      <c r="D40" s="6" t="s">
        <v>147</v>
      </c>
      <c r="E40" s="7" t="s">
        <v>148</v>
      </c>
      <c r="F40" s="13"/>
      <c r="G40" s="14"/>
      <c r="H40" s="15">
        <v>34</v>
      </c>
      <c r="I40" s="15">
        <v>1</v>
      </c>
      <c r="J40" s="15">
        <v>324</v>
      </c>
      <c r="K40" s="5">
        <v>1</v>
      </c>
      <c r="L40" s="16">
        <v>52</v>
      </c>
      <c r="M40" s="12"/>
      <c r="N40" s="14">
        <f t="shared" si="1"/>
        <v>0</v>
      </c>
      <c r="O40" s="28">
        <f>0.17*M40</f>
        <v>0</v>
      </c>
      <c r="P40" s="24">
        <f>0.00023*M40</f>
        <v>0</v>
      </c>
      <c r="Q40" s="25"/>
      <c r="R40" s="26"/>
      <c r="S40" s="26" t="s">
        <v>93</v>
      </c>
      <c r="T40" s="6"/>
      <c r="U40" s="6" t="s">
        <v>149</v>
      </c>
      <c r="V40" s="33" t="s">
        <v>35</v>
      </c>
    </row>
    <row r="41" spans="2:22" ht="21" customHeight="1" outlineLevel="3" x14ac:dyDescent="0.2">
      <c r="B41" s="5">
        <v>32</v>
      </c>
      <c r="C41" s="6" t="s">
        <v>150</v>
      </c>
      <c r="D41" s="6" t="s">
        <v>151</v>
      </c>
      <c r="E41" s="7" t="s">
        <v>152</v>
      </c>
      <c r="F41" s="13"/>
      <c r="G41" s="14"/>
      <c r="H41" s="14"/>
      <c r="I41" s="15">
        <v>16</v>
      </c>
      <c r="J41" s="15">
        <v>164</v>
      </c>
      <c r="K41" s="5">
        <v>16</v>
      </c>
      <c r="L41" s="16">
        <v>38.666666666666664</v>
      </c>
      <c r="M41" s="12"/>
      <c r="N41" s="14">
        <f t="shared" si="1"/>
        <v>0</v>
      </c>
      <c r="O41" s="28">
        <f>0.27*M41</f>
        <v>0</v>
      </c>
      <c r="P41" s="24">
        <f>0.00042*M41</f>
        <v>0</v>
      </c>
      <c r="Q41" s="25"/>
      <c r="R41" s="26"/>
      <c r="S41" s="26" t="s">
        <v>93</v>
      </c>
      <c r="T41" s="6" t="str">
        <f>HYPERLINK("https://kanzpp.ru/api/getInfo/image/b732faf0-b6a8-11ea-a249-ac1f6b442184")</f>
        <v>https://kanzpp.ru/api/getInfo/image/b732faf0-b6a8-11ea-a249-ac1f6b442184</v>
      </c>
      <c r="U41" s="6" t="s">
        <v>153</v>
      </c>
      <c r="V41" s="33" t="s">
        <v>35</v>
      </c>
    </row>
    <row r="42" spans="2:22" ht="21" customHeight="1" outlineLevel="3" x14ac:dyDescent="0.2">
      <c r="B42" s="5">
        <v>33</v>
      </c>
      <c r="C42" s="6" t="s">
        <v>154</v>
      </c>
      <c r="D42" s="6" t="s">
        <v>155</v>
      </c>
      <c r="E42" s="7" t="s">
        <v>156</v>
      </c>
      <c r="F42" s="13"/>
      <c r="G42" s="14"/>
      <c r="H42" s="14"/>
      <c r="I42" s="15">
        <v>12</v>
      </c>
      <c r="J42" s="15">
        <v>36</v>
      </c>
      <c r="K42" s="5">
        <v>12</v>
      </c>
      <c r="L42" s="16">
        <v>66.533333333333331</v>
      </c>
      <c r="M42" s="12"/>
      <c r="N42" s="14">
        <f t="shared" si="1"/>
        <v>0</v>
      </c>
      <c r="O42" s="28">
        <f>0.28*M42</f>
        <v>0</v>
      </c>
      <c r="P42" s="24">
        <f>0.00068*M42</f>
        <v>0</v>
      </c>
      <c r="Q42" s="25"/>
      <c r="R42" s="26" t="s">
        <v>157</v>
      </c>
      <c r="S42" s="26" t="s">
        <v>93</v>
      </c>
      <c r="T42" s="6"/>
      <c r="U42" s="6"/>
      <c r="V42" s="33" t="s">
        <v>35</v>
      </c>
    </row>
    <row r="43" spans="2:22" ht="21" customHeight="1" outlineLevel="3" x14ac:dyDescent="0.2">
      <c r="B43" s="5">
        <v>34</v>
      </c>
      <c r="C43" s="6" t="s">
        <v>158</v>
      </c>
      <c r="D43" s="6" t="s">
        <v>159</v>
      </c>
      <c r="E43" s="7" t="s">
        <v>160</v>
      </c>
      <c r="F43" s="13"/>
      <c r="G43" s="14"/>
      <c r="H43" s="15">
        <v>20</v>
      </c>
      <c r="I43" s="15">
        <v>1</v>
      </c>
      <c r="J43" s="15">
        <v>199</v>
      </c>
      <c r="K43" s="5">
        <v>1</v>
      </c>
      <c r="L43" s="16">
        <v>52</v>
      </c>
      <c r="M43" s="12"/>
      <c r="N43" s="14">
        <f t="shared" si="1"/>
        <v>0</v>
      </c>
      <c r="O43" s="23">
        <f>0.096*M43</f>
        <v>0</v>
      </c>
      <c r="P43" s="31">
        <f>0.0003*M43</f>
        <v>0</v>
      </c>
      <c r="Q43" s="25"/>
      <c r="R43" s="26"/>
      <c r="S43" s="26" t="s">
        <v>93</v>
      </c>
      <c r="T43" s="6"/>
      <c r="U43" s="6" t="s">
        <v>161</v>
      </c>
      <c r="V43" s="33" t="s">
        <v>35</v>
      </c>
    </row>
    <row r="44" spans="2:22" ht="21" customHeight="1" outlineLevel="3" x14ac:dyDescent="0.2">
      <c r="B44" s="5">
        <v>35</v>
      </c>
      <c r="C44" s="6" t="s">
        <v>162</v>
      </c>
      <c r="D44" s="6" t="s">
        <v>163</v>
      </c>
      <c r="E44" s="7" t="s">
        <v>164</v>
      </c>
      <c r="F44" s="13"/>
      <c r="G44" s="14"/>
      <c r="H44" s="15">
        <v>20</v>
      </c>
      <c r="I44" s="14"/>
      <c r="J44" s="14" t="s">
        <v>144</v>
      </c>
      <c r="K44" s="5">
        <v>3</v>
      </c>
      <c r="L44" s="16">
        <v>25.333333333333332</v>
      </c>
      <c r="M44" s="12"/>
      <c r="N44" s="14">
        <f t="shared" si="1"/>
        <v>0</v>
      </c>
      <c r="O44" s="23">
        <f>0.188*M44</f>
        <v>0</v>
      </c>
      <c r="P44" s="24">
        <f>0.00178*M44</f>
        <v>0</v>
      </c>
      <c r="Q44" s="25"/>
      <c r="R44" s="26"/>
      <c r="S44" s="26" t="s">
        <v>93</v>
      </c>
      <c r="T44" s="6"/>
      <c r="U44" s="6" t="s">
        <v>165</v>
      </c>
      <c r="V44" s="33" t="s">
        <v>35</v>
      </c>
    </row>
    <row r="45" spans="2:22" ht="21" customHeight="1" outlineLevel="3" x14ac:dyDescent="0.2">
      <c r="B45" s="5">
        <v>36</v>
      </c>
      <c r="C45" s="6" t="s">
        <v>166</v>
      </c>
      <c r="D45" s="6" t="s">
        <v>167</v>
      </c>
      <c r="E45" s="7" t="s">
        <v>168</v>
      </c>
      <c r="F45" s="13"/>
      <c r="G45" s="14"/>
      <c r="H45" s="15">
        <v>10</v>
      </c>
      <c r="I45" s="14"/>
      <c r="J45" s="15">
        <v>59</v>
      </c>
      <c r="K45" s="5">
        <v>1</v>
      </c>
      <c r="L45" s="16">
        <v>65.333333333333329</v>
      </c>
      <c r="M45" s="12"/>
      <c r="N45" s="14">
        <f t="shared" si="1"/>
        <v>0</v>
      </c>
      <c r="O45" s="23">
        <f>0.315*M45</f>
        <v>0</v>
      </c>
      <c r="P45" s="24">
        <f>0.00052*M45</f>
        <v>0</v>
      </c>
      <c r="Q45" s="25"/>
      <c r="R45" s="26"/>
      <c r="S45" s="26" t="s">
        <v>93</v>
      </c>
      <c r="T45" s="6"/>
      <c r="U45" s="6" t="s">
        <v>169</v>
      </c>
      <c r="V45" s="33" t="s">
        <v>35</v>
      </c>
    </row>
    <row r="46" spans="2:22" ht="21" customHeight="1" outlineLevel="3" x14ac:dyDescent="0.2">
      <c r="B46" s="2">
        <v>37</v>
      </c>
      <c r="C46" s="3" t="s">
        <v>170</v>
      </c>
      <c r="D46" s="3" t="s">
        <v>171</v>
      </c>
      <c r="E46" s="4" t="s">
        <v>172</v>
      </c>
      <c r="F46" s="8"/>
      <c r="G46" s="9"/>
      <c r="H46" s="10">
        <v>25</v>
      </c>
      <c r="I46" s="9"/>
      <c r="J46" s="10">
        <v>10</v>
      </c>
      <c r="K46" s="2">
        <v>1</v>
      </c>
      <c r="L46" s="18">
        <v>93.853333333333339</v>
      </c>
      <c r="M46" s="12"/>
      <c r="N46" s="9">
        <f t="shared" si="1"/>
        <v>0</v>
      </c>
      <c r="O46" s="11">
        <f>0.22*M46</f>
        <v>0</v>
      </c>
      <c r="P46" s="30">
        <f>0.00034*M46</f>
        <v>0</v>
      </c>
      <c r="Q46" s="21"/>
      <c r="R46" s="22"/>
      <c r="S46" s="22" t="s">
        <v>93</v>
      </c>
      <c r="T46" s="3"/>
      <c r="U46" s="3"/>
      <c r="V46" s="32" t="s">
        <v>30</v>
      </c>
    </row>
    <row r="47" spans="2:22" ht="21" customHeight="1" outlineLevel="3" x14ac:dyDescent="0.2">
      <c r="B47" s="2">
        <v>38</v>
      </c>
      <c r="C47" s="3" t="s">
        <v>173</v>
      </c>
      <c r="D47" s="3" t="s">
        <v>174</v>
      </c>
      <c r="E47" s="4" t="s">
        <v>175</v>
      </c>
      <c r="F47" s="8"/>
      <c r="G47" s="9"/>
      <c r="H47" s="10">
        <v>25</v>
      </c>
      <c r="I47" s="9"/>
      <c r="J47" s="10">
        <v>63</v>
      </c>
      <c r="K47" s="2">
        <v>1</v>
      </c>
      <c r="L47" s="18">
        <v>93.853333333333339</v>
      </c>
      <c r="M47" s="12"/>
      <c r="N47" s="9">
        <f t="shared" si="1"/>
        <v>0</v>
      </c>
      <c r="O47" s="11">
        <f>0.22*M47</f>
        <v>0</v>
      </c>
      <c r="P47" s="30">
        <f>0.00034*M47</f>
        <v>0</v>
      </c>
      <c r="Q47" s="21"/>
      <c r="R47" s="22"/>
      <c r="S47" s="22" t="s">
        <v>93</v>
      </c>
      <c r="T47" s="3"/>
      <c r="U47" s="3"/>
      <c r="V47" s="32" t="s">
        <v>30</v>
      </c>
    </row>
    <row r="48" spans="2:22" ht="21" customHeight="1" outlineLevel="3" x14ac:dyDescent="0.2">
      <c r="B48" s="5">
        <v>39</v>
      </c>
      <c r="C48" s="6" t="s">
        <v>176</v>
      </c>
      <c r="D48" s="6" t="s">
        <v>177</v>
      </c>
      <c r="E48" s="7" t="s">
        <v>178</v>
      </c>
      <c r="F48" s="13"/>
      <c r="G48" s="14"/>
      <c r="H48" s="14"/>
      <c r="I48" s="15">
        <v>12</v>
      </c>
      <c r="J48" s="15">
        <v>36</v>
      </c>
      <c r="K48" s="5">
        <v>12</v>
      </c>
      <c r="L48" s="16">
        <v>26.533333333333331</v>
      </c>
      <c r="M48" s="12"/>
      <c r="N48" s="14">
        <f t="shared" si="1"/>
        <v>0</v>
      </c>
      <c r="O48" s="23">
        <f>0.098*M48</f>
        <v>0</v>
      </c>
      <c r="P48" s="24">
        <f>0.00012*M48</f>
        <v>0</v>
      </c>
      <c r="Q48" s="25"/>
      <c r="R48" s="26" t="s">
        <v>179</v>
      </c>
      <c r="S48" s="26" t="s">
        <v>93</v>
      </c>
      <c r="T48" s="6"/>
      <c r="U48" s="6"/>
      <c r="V48" s="33" t="s">
        <v>35</v>
      </c>
    </row>
    <row r="49" spans="2:22" ht="21" customHeight="1" outlineLevel="3" x14ac:dyDescent="0.2">
      <c r="B49" s="5">
        <v>40</v>
      </c>
      <c r="C49" s="6" t="s">
        <v>180</v>
      </c>
      <c r="D49" s="6" t="s">
        <v>181</v>
      </c>
      <c r="E49" s="7" t="s">
        <v>182</v>
      </c>
      <c r="F49" s="13"/>
      <c r="G49" s="14"/>
      <c r="H49" s="15">
        <v>30</v>
      </c>
      <c r="I49" s="14"/>
      <c r="J49" s="15">
        <v>88</v>
      </c>
      <c r="K49" s="5">
        <v>1</v>
      </c>
      <c r="L49" s="16">
        <v>38.666666666666664</v>
      </c>
      <c r="M49" s="12"/>
      <c r="N49" s="14">
        <f t="shared" si="1"/>
        <v>0</v>
      </c>
      <c r="O49" s="23">
        <f>0.248*M49</f>
        <v>0</v>
      </c>
      <c r="P49" s="31">
        <f>0.0004*M49</f>
        <v>0</v>
      </c>
      <c r="Q49" s="25"/>
      <c r="R49" s="26"/>
      <c r="S49" s="26" t="s">
        <v>93</v>
      </c>
      <c r="T49" s="6"/>
      <c r="U49" s="6" t="s">
        <v>183</v>
      </c>
      <c r="V49" s="33" t="s">
        <v>35</v>
      </c>
    </row>
    <row r="50" spans="2:22" ht="21" customHeight="1" outlineLevel="3" x14ac:dyDescent="0.2">
      <c r="B50" s="5">
        <v>41</v>
      </c>
      <c r="C50" s="6" t="s">
        <v>184</v>
      </c>
      <c r="D50" s="6" t="s">
        <v>185</v>
      </c>
      <c r="E50" s="7" t="s">
        <v>186</v>
      </c>
      <c r="F50" s="13"/>
      <c r="G50" s="14"/>
      <c r="H50" s="15">
        <v>16</v>
      </c>
      <c r="I50" s="14"/>
      <c r="J50" s="15">
        <v>1</v>
      </c>
      <c r="K50" s="5">
        <v>1</v>
      </c>
      <c r="L50" s="16">
        <v>13.200000000000001</v>
      </c>
      <c r="M50" s="12"/>
      <c r="N50" s="14">
        <f t="shared" si="1"/>
        <v>0</v>
      </c>
      <c r="O50" s="23">
        <f>0.113*M50</f>
        <v>0</v>
      </c>
      <c r="P50" s="24">
        <f>0.00021*M50</f>
        <v>0</v>
      </c>
      <c r="Q50" s="25"/>
      <c r="R50" s="26" t="s">
        <v>187</v>
      </c>
      <c r="S50" s="26" t="s">
        <v>93</v>
      </c>
      <c r="T50" s="6"/>
      <c r="U50" s="6"/>
      <c r="V50" s="33" t="s">
        <v>35</v>
      </c>
    </row>
    <row r="51" spans="2:22" ht="21" customHeight="1" outlineLevel="3" x14ac:dyDescent="0.2">
      <c r="B51" s="2">
        <v>42</v>
      </c>
      <c r="C51" s="3" t="s">
        <v>188</v>
      </c>
      <c r="D51" s="3" t="s">
        <v>189</v>
      </c>
      <c r="E51" s="4" t="s">
        <v>190</v>
      </c>
      <c r="F51" s="8"/>
      <c r="G51" s="9"/>
      <c r="H51" s="9"/>
      <c r="I51" s="10">
        <v>32</v>
      </c>
      <c r="J51" s="10">
        <v>129</v>
      </c>
      <c r="K51" s="2">
        <v>1</v>
      </c>
      <c r="L51" s="18">
        <v>22.92</v>
      </c>
      <c r="M51" s="12"/>
      <c r="N51" s="9">
        <f t="shared" si="1"/>
        <v>0</v>
      </c>
      <c r="O51" s="29">
        <f>0.098*M51</f>
        <v>0</v>
      </c>
      <c r="P51" s="20">
        <f>0.0002*M51</f>
        <v>0</v>
      </c>
      <c r="Q51" s="21"/>
      <c r="R51" s="22" t="s">
        <v>191</v>
      </c>
      <c r="S51" s="22" t="s">
        <v>93</v>
      </c>
      <c r="T51" s="3"/>
      <c r="U51" s="3"/>
      <c r="V51" s="32" t="s">
        <v>30</v>
      </c>
    </row>
    <row r="52" spans="2:22" ht="22.95" customHeight="1" outlineLevel="2" x14ac:dyDescent="0.2">
      <c r="B52" s="80" t="s">
        <v>192</v>
      </c>
      <c r="C52" s="80"/>
      <c r="D52" s="80"/>
      <c r="L52">
        <v>0</v>
      </c>
    </row>
    <row r="53" spans="2:22" ht="21" customHeight="1" outlineLevel="3" x14ac:dyDescent="0.2">
      <c r="B53" s="5">
        <v>43</v>
      </c>
      <c r="C53" s="6" t="s">
        <v>193</v>
      </c>
      <c r="D53" s="6" t="s">
        <v>194</v>
      </c>
      <c r="E53" s="7" t="s">
        <v>195</v>
      </c>
      <c r="F53" s="13"/>
      <c r="G53" s="14"/>
      <c r="H53" s="15">
        <v>30</v>
      </c>
      <c r="I53" s="14"/>
      <c r="J53" s="15">
        <v>163</v>
      </c>
      <c r="K53" s="5">
        <v>1</v>
      </c>
      <c r="L53" s="16">
        <v>38.666666666666664</v>
      </c>
      <c r="M53" s="12"/>
      <c r="N53" s="14">
        <f t="shared" ref="N53:N74" si="2">L53*M53</f>
        <v>0</v>
      </c>
      <c r="O53" s="27">
        <f>0.1*M53</f>
        <v>0</v>
      </c>
      <c r="P53" s="31">
        <f>0.0005*M53</f>
        <v>0</v>
      </c>
      <c r="Q53" s="25"/>
      <c r="R53" s="26"/>
      <c r="S53" s="26" t="s">
        <v>29</v>
      </c>
      <c r="T53" s="6"/>
      <c r="U53" s="6" t="s">
        <v>196</v>
      </c>
      <c r="V53" s="33" t="s">
        <v>35</v>
      </c>
    </row>
    <row r="54" spans="2:22" ht="21" customHeight="1" outlineLevel="3" x14ac:dyDescent="0.2">
      <c r="B54" s="2">
        <v>44</v>
      </c>
      <c r="C54" s="3" t="s">
        <v>197</v>
      </c>
      <c r="D54" s="3" t="s">
        <v>198</v>
      </c>
      <c r="E54" s="4" t="s">
        <v>199</v>
      </c>
      <c r="F54" s="8"/>
      <c r="G54" s="9"/>
      <c r="H54" s="10">
        <v>30</v>
      </c>
      <c r="I54" s="9"/>
      <c r="J54" s="10">
        <v>1</v>
      </c>
      <c r="K54" s="2">
        <v>1</v>
      </c>
      <c r="L54" s="18">
        <v>25.36</v>
      </c>
      <c r="M54" s="12"/>
      <c r="N54" s="9">
        <f t="shared" si="2"/>
        <v>0</v>
      </c>
      <c r="O54" s="11">
        <f>0.05*M54</f>
        <v>0</v>
      </c>
      <c r="P54" s="30">
        <f>0.00014*M54</f>
        <v>0</v>
      </c>
      <c r="Q54" s="21"/>
      <c r="R54" s="22"/>
      <c r="S54" s="22" t="s">
        <v>29</v>
      </c>
      <c r="T54" s="3"/>
      <c r="U54" s="3" t="s">
        <v>200</v>
      </c>
      <c r="V54" s="32" t="s">
        <v>30</v>
      </c>
    </row>
    <row r="55" spans="2:22" ht="21" customHeight="1" outlineLevel="3" x14ac:dyDescent="0.2">
      <c r="B55" s="5">
        <v>45</v>
      </c>
      <c r="C55" s="6" t="s">
        <v>201</v>
      </c>
      <c r="D55" s="6" t="s">
        <v>202</v>
      </c>
      <c r="E55" s="7" t="s">
        <v>203</v>
      </c>
      <c r="F55" s="13"/>
      <c r="G55" s="14"/>
      <c r="H55" s="15">
        <v>50</v>
      </c>
      <c r="I55" s="15">
        <v>10</v>
      </c>
      <c r="J55" s="15">
        <v>760</v>
      </c>
      <c r="K55" s="5">
        <v>10</v>
      </c>
      <c r="L55" s="16">
        <v>18.666666666666668</v>
      </c>
      <c r="M55" s="12"/>
      <c r="N55" s="14">
        <f t="shared" si="2"/>
        <v>0</v>
      </c>
      <c r="O55" s="28">
        <f>0.05*M55</f>
        <v>0</v>
      </c>
      <c r="P55" s="24">
        <f>0.00015*M55</f>
        <v>0</v>
      </c>
      <c r="Q55" s="25"/>
      <c r="R55" s="26"/>
      <c r="S55" s="26" t="s">
        <v>29</v>
      </c>
      <c r="T55" s="6"/>
      <c r="U55" s="6"/>
      <c r="V55" s="33" t="s">
        <v>35</v>
      </c>
    </row>
    <row r="56" spans="2:22" ht="21" customHeight="1" outlineLevel="3" x14ac:dyDescent="0.2">
      <c r="B56" s="5">
        <v>46</v>
      </c>
      <c r="C56" s="6" t="s">
        <v>204</v>
      </c>
      <c r="D56" s="6" t="s">
        <v>205</v>
      </c>
      <c r="E56" s="7" t="s">
        <v>206</v>
      </c>
      <c r="F56" s="13"/>
      <c r="G56" s="14"/>
      <c r="H56" s="15">
        <v>10</v>
      </c>
      <c r="I56" s="14"/>
      <c r="J56" s="15">
        <v>30</v>
      </c>
      <c r="K56" s="5">
        <v>1</v>
      </c>
      <c r="L56" s="16">
        <v>38.666666666666664</v>
      </c>
      <c r="M56" s="12"/>
      <c r="N56" s="14">
        <f t="shared" si="2"/>
        <v>0</v>
      </c>
      <c r="O56" s="23">
        <f>0.272*M56</f>
        <v>0</v>
      </c>
      <c r="P56" s="24">
        <f>0.00008*M56</f>
        <v>0</v>
      </c>
      <c r="Q56" s="25"/>
      <c r="R56" s="26"/>
      <c r="S56" s="26" t="s">
        <v>93</v>
      </c>
      <c r="T56" s="6"/>
      <c r="U56" s="6" t="s">
        <v>207</v>
      </c>
      <c r="V56" s="33" t="s">
        <v>35</v>
      </c>
    </row>
    <row r="57" spans="2:22" ht="21" customHeight="1" outlineLevel="3" x14ac:dyDescent="0.2">
      <c r="B57" s="5">
        <v>47</v>
      </c>
      <c r="C57" s="6" t="s">
        <v>208</v>
      </c>
      <c r="D57" s="6" t="s">
        <v>209</v>
      </c>
      <c r="E57" s="7" t="s">
        <v>210</v>
      </c>
      <c r="F57" s="13"/>
      <c r="G57" s="14"/>
      <c r="H57" s="15">
        <v>9</v>
      </c>
      <c r="I57" s="14"/>
      <c r="J57" s="15">
        <v>9</v>
      </c>
      <c r="K57" s="5">
        <v>2</v>
      </c>
      <c r="L57" s="16">
        <v>279.98666666666668</v>
      </c>
      <c r="M57" s="12"/>
      <c r="N57" s="14">
        <f t="shared" si="2"/>
        <v>0</v>
      </c>
      <c r="O57" s="28">
        <f>0.59*M57</f>
        <v>0</v>
      </c>
      <c r="P57" s="24">
        <f>0.00131*M57</f>
        <v>0</v>
      </c>
      <c r="Q57" s="25"/>
      <c r="R57" s="26"/>
      <c r="S57" s="26" t="s">
        <v>93</v>
      </c>
      <c r="T57" s="6"/>
      <c r="U57" s="6" t="s">
        <v>211</v>
      </c>
      <c r="V57" s="33" t="s">
        <v>35</v>
      </c>
    </row>
    <row r="58" spans="2:22" ht="21" customHeight="1" outlineLevel="3" x14ac:dyDescent="0.2">
      <c r="B58" s="5">
        <v>48</v>
      </c>
      <c r="C58" s="6" t="s">
        <v>212</v>
      </c>
      <c r="D58" s="6" t="s">
        <v>213</v>
      </c>
      <c r="E58" s="7" t="s">
        <v>214</v>
      </c>
      <c r="F58" s="13"/>
      <c r="G58" s="14"/>
      <c r="H58" s="15">
        <v>24</v>
      </c>
      <c r="I58" s="15">
        <v>1</v>
      </c>
      <c r="J58" s="15">
        <v>8</v>
      </c>
      <c r="K58" s="5">
        <v>1</v>
      </c>
      <c r="L58" s="16">
        <v>38.666666666666664</v>
      </c>
      <c r="M58" s="12"/>
      <c r="N58" s="14">
        <f t="shared" si="2"/>
        <v>0</v>
      </c>
      <c r="O58" s="23">
        <f>0.264*M58</f>
        <v>0</v>
      </c>
      <c r="P58" s="24">
        <f>0.00036*M58</f>
        <v>0</v>
      </c>
      <c r="Q58" s="25"/>
      <c r="R58" s="26"/>
      <c r="S58" s="26" t="s">
        <v>93</v>
      </c>
      <c r="T58" s="6"/>
      <c r="U58" s="6" t="s">
        <v>215</v>
      </c>
      <c r="V58" s="33" t="s">
        <v>35</v>
      </c>
    </row>
    <row r="59" spans="2:22" ht="21" customHeight="1" outlineLevel="3" x14ac:dyDescent="0.2">
      <c r="B59" s="5">
        <v>49</v>
      </c>
      <c r="C59" s="6" t="s">
        <v>216</v>
      </c>
      <c r="D59" s="6" t="s">
        <v>217</v>
      </c>
      <c r="E59" s="7" t="s">
        <v>218</v>
      </c>
      <c r="F59" s="13"/>
      <c r="G59" s="14"/>
      <c r="H59" s="15">
        <v>42</v>
      </c>
      <c r="I59" s="14"/>
      <c r="J59" s="15">
        <v>203</v>
      </c>
      <c r="K59" s="5">
        <v>1</v>
      </c>
      <c r="L59" s="16">
        <v>13.200000000000001</v>
      </c>
      <c r="M59" s="12"/>
      <c r="N59" s="14">
        <f t="shared" si="2"/>
        <v>0</v>
      </c>
      <c r="O59" s="28">
        <f>0.11*M59</f>
        <v>0</v>
      </c>
      <c r="P59" s="24">
        <f>0.00004*M59</f>
        <v>0</v>
      </c>
      <c r="Q59" s="25"/>
      <c r="R59" s="26"/>
      <c r="S59" s="26" t="s">
        <v>93</v>
      </c>
      <c r="T59" s="6"/>
      <c r="U59" s="6" t="s">
        <v>219</v>
      </c>
      <c r="V59" s="33" t="s">
        <v>35</v>
      </c>
    </row>
    <row r="60" spans="2:22" ht="21" customHeight="1" outlineLevel="3" x14ac:dyDescent="0.2">
      <c r="B60" s="5">
        <v>50</v>
      </c>
      <c r="C60" s="6" t="s">
        <v>220</v>
      </c>
      <c r="D60" s="6" t="s">
        <v>221</v>
      </c>
      <c r="E60" s="7" t="s">
        <v>222</v>
      </c>
      <c r="F60" s="13"/>
      <c r="G60" s="14"/>
      <c r="H60" s="15">
        <v>120</v>
      </c>
      <c r="I60" s="14"/>
      <c r="J60" s="15">
        <v>120</v>
      </c>
      <c r="K60" s="5">
        <v>12</v>
      </c>
      <c r="L60" s="16">
        <v>53.32</v>
      </c>
      <c r="M60" s="12"/>
      <c r="N60" s="14">
        <f t="shared" si="2"/>
        <v>0</v>
      </c>
      <c r="O60" s="23">
        <f>0.095*M60</f>
        <v>0</v>
      </c>
      <c r="P60" s="24">
        <f>0.00017*M60</f>
        <v>0</v>
      </c>
      <c r="Q60" s="25"/>
      <c r="R60" s="26"/>
      <c r="S60" s="26" t="s">
        <v>93</v>
      </c>
      <c r="T60" s="6"/>
      <c r="U60" s="6" t="s">
        <v>223</v>
      </c>
      <c r="V60" s="33" t="s">
        <v>35</v>
      </c>
    </row>
    <row r="61" spans="2:22" ht="21" customHeight="1" outlineLevel="3" x14ac:dyDescent="0.2">
      <c r="B61" s="5">
        <v>51</v>
      </c>
      <c r="C61" s="6" t="s">
        <v>224</v>
      </c>
      <c r="D61" s="6" t="s">
        <v>225</v>
      </c>
      <c r="E61" s="7" t="s">
        <v>226</v>
      </c>
      <c r="F61" s="13"/>
      <c r="G61" s="14"/>
      <c r="H61" s="15">
        <v>60</v>
      </c>
      <c r="I61" s="15">
        <v>1</v>
      </c>
      <c r="J61" s="15">
        <v>6</v>
      </c>
      <c r="K61" s="5">
        <v>1</v>
      </c>
      <c r="L61" s="16">
        <v>65.333333333333329</v>
      </c>
      <c r="M61" s="12"/>
      <c r="N61" s="14">
        <f t="shared" si="2"/>
        <v>0</v>
      </c>
      <c r="O61" s="28">
        <f>0.07*M61</f>
        <v>0</v>
      </c>
      <c r="P61" s="24">
        <f>0.00005*M61</f>
        <v>0</v>
      </c>
      <c r="Q61" s="25"/>
      <c r="R61" s="26"/>
      <c r="S61" s="26" t="s">
        <v>29</v>
      </c>
      <c r="T61" s="6"/>
      <c r="U61" s="6"/>
      <c r="V61" s="33" t="s">
        <v>35</v>
      </c>
    </row>
    <row r="62" spans="2:22" ht="21" customHeight="1" outlineLevel="3" x14ac:dyDescent="0.2">
      <c r="B62" s="5">
        <v>52</v>
      </c>
      <c r="C62" s="6" t="s">
        <v>227</v>
      </c>
      <c r="D62" s="6" t="s">
        <v>228</v>
      </c>
      <c r="E62" s="7" t="s">
        <v>229</v>
      </c>
      <c r="F62" s="13"/>
      <c r="G62" s="14"/>
      <c r="H62" s="15">
        <v>80</v>
      </c>
      <c r="I62" s="15">
        <v>1</v>
      </c>
      <c r="J62" s="15">
        <v>4</v>
      </c>
      <c r="K62" s="5">
        <v>1</v>
      </c>
      <c r="L62" s="16">
        <v>65.333333333333329</v>
      </c>
      <c r="M62" s="12"/>
      <c r="N62" s="14">
        <f t="shared" si="2"/>
        <v>0</v>
      </c>
      <c r="O62" s="28">
        <f>0.01*M62</f>
        <v>0</v>
      </c>
      <c r="P62" s="24">
        <f>0.00005*M62</f>
        <v>0</v>
      </c>
      <c r="Q62" s="25"/>
      <c r="R62" s="26"/>
      <c r="S62" s="26" t="s">
        <v>29</v>
      </c>
      <c r="T62" s="6"/>
      <c r="U62" s="6"/>
      <c r="V62" s="33" t="s">
        <v>35</v>
      </c>
    </row>
    <row r="63" spans="2:22" ht="21" customHeight="1" outlineLevel="3" x14ac:dyDescent="0.2">
      <c r="B63" s="5">
        <v>53</v>
      </c>
      <c r="C63" s="6" t="s">
        <v>230</v>
      </c>
      <c r="D63" s="6" t="s">
        <v>231</v>
      </c>
      <c r="E63" s="7" t="s">
        <v>232</v>
      </c>
      <c r="F63" s="13"/>
      <c r="G63" s="14"/>
      <c r="H63" s="15">
        <v>100</v>
      </c>
      <c r="I63" s="14"/>
      <c r="J63" s="15">
        <v>120</v>
      </c>
      <c r="K63" s="5">
        <v>1</v>
      </c>
      <c r="L63" s="16">
        <v>35.986666666666665</v>
      </c>
      <c r="M63" s="12"/>
      <c r="N63" s="14">
        <f t="shared" si="2"/>
        <v>0</v>
      </c>
      <c r="O63" s="23">
        <f>0.069*M63</f>
        <v>0</v>
      </c>
      <c r="P63" s="31">
        <f>0.0001*M63</f>
        <v>0</v>
      </c>
      <c r="Q63" s="25"/>
      <c r="R63" s="26"/>
      <c r="S63" s="26" t="s">
        <v>29</v>
      </c>
      <c r="T63" s="6"/>
      <c r="U63" s="6" t="s">
        <v>233</v>
      </c>
      <c r="V63" s="33" t="s">
        <v>35</v>
      </c>
    </row>
    <row r="64" spans="2:22" ht="21" customHeight="1" outlineLevel="3" x14ac:dyDescent="0.2">
      <c r="B64" s="5">
        <v>54</v>
      </c>
      <c r="C64" s="6" t="s">
        <v>234</v>
      </c>
      <c r="D64" s="6" t="s">
        <v>235</v>
      </c>
      <c r="E64" s="7" t="s">
        <v>236</v>
      </c>
      <c r="F64" s="13"/>
      <c r="G64" s="14"/>
      <c r="H64" s="15">
        <v>20</v>
      </c>
      <c r="I64" s="14"/>
      <c r="J64" s="15">
        <v>884</v>
      </c>
      <c r="K64" s="5">
        <v>2</v>
      </c>
      <c r="L64" s="16">
        <v>23.986666666666665</v>
      </c>
      <c r="M64" s="12"/>
      <c r="N64" s="14">
        <f t="shared" si="2"/>
        <v>0</v>
      </c>
      <c r="O64" s="23">
        <f>0.016*M64</f>
        <v>0</v>
      </c>
      <c r="P64" s="24">
        <f>0.00002*M64</f>
        <v>0</v>
      </c>
      <c r="Q64" s="25"/>
      <c r="R64" s="26" t="s">
        <v>237</v>
      </c>
      <c r="S64" s="26" t="s">
        <v>29</v>
      </c>
      <c r="T64" s="6"/>
      <c r="U64" s="6"/>
      <c r="V64" s="33" t="s">
        <v>35</v>
      </c>
    </row>
    <row r="65" spans="2:22" ht="21" customHeight="1" outlineLevel="3" x14ac:dyDescent="0.2">
      <c r="B65" s="5">
        <v>55</v>
      </c>
      <c r="C65" s="6" t="s">
        <v>238</v>
      </c>
      <c r="D65" s="6" t="s">
        <v>239</v>
      </c>
      <c r="E65" s="7" t="s">
        <v>240</v>
      </c>
      <c r="F65" s="13"/>
      <c r="G65" s="14"/>
      <c r="H65" s="15">
        <v>30</v>
      </c>
      <c r="I65" s="14"/>
      <c r="J65" s="15">
        <v>453</v>
      </c>
      <c r="K65" s="5">
        <v>3</v>
      </c>
      <c r="L65" s="16">
        <v>13.200000000000001</v>
      </c>
      <c r="M65" s="12"/>
      <c r="N65" s="14">
        <f t="shared" si="2"/>
        <v>0</v>
      </c>
      <c r="O65" s="23">
        <f>0.051*M65</f>
        <v>0</v>
      </c>
      <c r="P65" s="24">
        <f>0.00047*M65</f>
        <v>0</v>
      </c>
      <c r="Q65" s="25"/>
      <c r="R65" s="26"/>
      <c r="S65" s="26" t="s">
        <v>29</v>
      </c>
      <c r="T65" s="6"/>
      <c r="U65" s="6" t="s">
        <v>241</v>
      </c>
      <c r="V65" s="33" t="s">
        <v>35</v>
      </c>
    </row>
    <row r="66" spans="2:22" ht="21" customHeight="1" outlineLevel="3" x14ac:dyDescent="0.2">
      <c r="B66" s="5">
        <v>56</v>
      </c>
      <c r="C66" s="6" t="s">
        <v>242</v>
      </c>
      <c r="D66" s="6" t="s">
        <v>243</v>
      </c>
      <c r="E66" s="7" t="s">
        <v>244</v>
      </c>
      <c r="F66" s="13"/>
      <c r="G66" s="14"/>
      <c r="H66" s="15">
        <v>60</v>
      </c>
      <c r="I66" s="14"/>
      <c r="J66" s="15">
        <v>120</v>
      </c>
      <c r="K66" s="5">
        <v>1</v>
      </c>
      <c r="L66" s="16">
        <v>13.200000000000001</v>
      </c>
      <c r="M66" s="12"/>
      <c r="N66" s="14">
        <f t="shared" si="2"/>
        <v>0</v>
      </c>
      <c r="O66" s="23">
        <f>0.072*M66</f>
        <v>0</v>
      </c>
      <c r="P66" s="24">
        <f>0.00012*M66</f>
        <v>0</v>
      </c>
      <c r="Q66" s="25"/>
      <c r="R66" s="26"/>
      <c r="S66" s="26" t="s">
        <v>29</v>
      </c>
      <c r="T66" s="6"/>
      <c r="U66" s="6" t="s">
        <v>245</v>
      </c>
      <c r="V66" s="33" t="s">
        <v>35</v>
      </c>
    </row>
    <row r="67" spans="2:22" ht="21" customHeight="1" outlineLevel="3" x14ac:dyDescent="0.2">
      <c r="B67" s="5">
        <v>57</v>
      </c>
      <c r="C67" s="6" t="s">
        <v>246</v>
      </c>
      <c r="D67" s="6" t="s">
        <v>247</v>
      </c>
      <c r="E67" s="7" t="s">
        <v>248</v>
      </c>
      <c r="F67" s="13"/>
      <c r="G67" s="14"/>
      <c r="H67" s="15">
        <v>30</v>
      </c>
      <c r="I67" s="14"/>
      <c r="J67" s="15">
        <v>38</v>
      </c>
      <c r="K67" s="5">
        <v>3</v>
      </c>
      <c r="L67" s="16">
        <v>38.666666666666664</v>
      </c>
      <c r="M67" s="12"/>
      <c r="N67" s="14">
        <f t="shared" si="2"/>
        <v>0</v>
      </c>
      <c r="O67" s="23">
        <f>5.698*M67</f>
        <v>0</v>
      </c>
      <c r="P67" s="24">
        <f>0.02664*M67</f>
        <v>0</v>
      </c>
      <c r="Q67" s="25"/>
      <c r="R67" s="26"/>
      <c r="S67" s="26" t="s">
        <v>29</v>
      </c>
      <c r="T67" s="6"/>
      <c r="U67" s="6"/>
      <c r="V67" s="33" t="s">
        <v>35</v>
      </c>
    </row>
    <row r="68" spans="2:22" ht="21" customHeight="1" outlineLevel="3" x14ac:dyDescent="0.2">
      <c r="B68" s="5">
        <v>58</v>
      </c>
      <c r="C68" s="6" t="s">
        <v>249</v>
      </c>
      <c r="D68" s="6" t="s">
        <v>250</v>
      </c>
      <c r="E68" s="7" t="s">
        <v>251</v>
      </c>
      <c r="F68" s="13"/>
      <c r="G68" s="14"/>
      <c r="H68" s="15">
        <v>60</v>
      </c>
      <c r="I68" s="14"/>
      <c r="J68" s="15">
        <v>19</v>
      </c>
      <c r="K68" s="5">
        <v>1</v>
      </c>
      <c r="L68" s="16">
        <v>13.200000000000001</v>
      </c>
      <c r="M68" s="12"/>
      <c r="N68" s="14">
        <f t="shared" si="2"/>
        <v>0</v>
      </c>
      <c r="O68" s="23">
        <f>0.052*M68</f>
        <v>0</v>
      </c>
      <c r="P68" s="24">
        <f>0.00007*M68</f>
        <v>0</v>
      </c>
      <c r="Q68" s="25"/>
      <c r="R68" s="26"/>
      <c r="S68" s="26" t="s">
        <v>29</v>
      </c>
      <c r="T68" s="6"/>
      <c r="U68" s="6" t="s">
        <v>252</v>
      </c>
      <c r="V68" s="33" t="s">
        <v>35</v>
      </c>
    </row>
    <row r="69" spans="2:22" ht="21" customHeight="1" outlineLevel="3" x14ac:dyDescent="0.2">
      <c r="B69" s="5">
        <v>59</v>
      </c>
      <c r="C69" s="6" t="s">
        <v>253</v>
      </c>
      <c r="D69" s="6" t="s">
        <v>254</v>
      </c>
      <c r="E69" s="7" t="s">
        <v>152</v>
      </c>
      <c r="F69" s="13"/>
      <c r="G69" s="14"/>
      <c r="H69" s="14"/>
      <c r="I69" s="15">
        <v>12</v>
      </c>
      <c r="J69" s="15">
        <v>1</v>
      </c>
      <c r="K69" s="5">
        <v>1</v>
      </c>
      <c r="L69" s="16">
        <v>38.666666666666664</v>
      </c>
      <c r="M69" s="12"/>
      <c r="N69" s="14">
        <f t="shared" si="2"/>
        <v>0</v>
      </c>
      <c r="O69" s="23">
        <f>0.295*M69</f>
        <v>0</v>
      </c>
      <c r="P69" s="24">
        <f>0.00075*M69</f>
        <v>0</v>
      </c>
      <c r="Q69" s="25"/>
      <c r="R69" s="26"/>
      <c r="S69" s="26" t="s">
        <v>29</v>
      </c>
      <c r="T69" s="6"/>
      <c r="U69" s="6" t="s">
        <v>255</v>
      </c>
      <c r="V69" s="33" t="s">
        <v>35</v>
      </c>
    </row>
    <row r="70" spans="2:22" ht="21" customHeight="1" outlineLevel="3" x14ac:dyDescent="0.2">
      <c r="B70" s="5">
        <v>60</v>
      </c>
      <c r="C70" s="6" t="s">
        <v>256</v>
      </c>
      <c r="D70" s="6" t="s">
        <v>257</v>
      </c>
      <c r="E70" s="7" t="s">
        <v>152</v>
      </c>
      <c r="F70" s="13"/>
      <c r="G70" s="14"/>
      <c r="H70" s="14"/>
      <c r="I70" s="15">
        <v>4</v>
      </c>
      <c r="J70" s="15">
        <v>19</v>
      </c>
      <c r="K70" s="5">
        <v>4</v>
      </c>
      <c r="L70" s="16">
        <v>13.200000000000001</v>
      </c>
      <c r="M70" s="12"/>
      <c r="N70" s="14">
        <f t="shared" si="2"/>
        <v>0</v>
      </c>
      <c r="O70" s="23">
        <f>0.064*M70</f>
        <v>0</v>
      </c>
      <c r="P70" s="24">
        <f>0.00016*M70</f>
        <v>0</v>
      </c>
      <c r="Q70" s="25"/>
      <c r="R70" s="26"/>
      <c r="S70" s="26" t="s">
        <v>29</v>
      </c>
      <c r="T70" s="6"/>
      <c r="U70" s="6"/>
      <c r="V70" s="33" t="s">
        <v>35</v>
      </c>
    </row>
    <row r="71" spans="2:22" ht="21" customHeight="1" outlineLevel="3" x14ac:dyDescent="0.2">
      <c r="B71" s="2">
        <v>61</v>
      </c>
      <c r="C71" s="3" t="s">
        <v>258</v>
      </c>
      <c r="D71" s="3" t="s">
        <v>259</v>
      </c>
      <c r="E71" s="4" t="s">
        <v>260</v>
      </c>
      <c r="F71" s="8"/>
      <c r="G71" s="9"/>
      <c r="H71" s="9"/>
      <c r="I71" s="10">
        <v>10</v>
      </c>
      <c r="J71" s="10">
        <v>38</v>
      </c>
      <c r="K71" s="2">
        <v>1</v>
      </c>
      <c r="L71" s="18">
        <v>82.74666666666667</v>
      </c>
      <c r="M71" s="12"/>
      <c r="N71" s="9">
        <f t="shared" si="2"/>
        <v>0</v>
      </c>
      <c r="O71" s="29">
        <f>0.062*M71</f>
        <v>0</v>
      </c>
      <c r="P71" s="30">
        <f>0.00005*M71</f>
        <v>0</v>
      </c>
      <c r="Q71" s="21"/>
      <c r="R71" s="22"/>
      <c r="S71" s="22" t="s">
        <v>29</v>
      </c>
      <c r="T71" s="3"/>
      <c r="U71" s="3"/>
      <c r="V71" s="32" t="s">
        <v>30</v>
      </c>
    </row>
    <row r="72" spans="2:22" ht="21" customHeight="1" outlineLevel="3" x14ac:dyDescent="0.2">
      <c r="B72" s="5">
        <v>62</v>
      </c>
      <c r="C72" s="6" t="s">
        <v>261</v>
      </c>
      <c r="D72" s="6" t="s">
        <v>262</v>
      </c>
      <c r="E72" s="7" t="s">
        <v>263</v>
      </c>
      <c r="F72" s="13"/>
      <c r="G72" s="14"/>
      <c r="H72" s="15">
        <v>30</v>
      </c>
      <c r="I72" s="14"/>
      <c r="J72" s="15">
        <v>2</v>
      </c>
      <c r="K72" s="5">
        <v>2</v>
      </c>
      <c r="L72" s="16">
        <v>26.533333333333331</v>
      </c>
      <c r="M72" s="12"/>
      <c r="N72" s="14">
        <f t="shared" si="2"/>
        <v>0</v>
      </c>
      <c r="O72" s="23">
        <f>0.158*M72</f>
        <v>0</v>
      </c>
      <c r="P72" s="24">
        <f>0.00062*M72</f>
        <v>0</v>
      </c>
      <c r="Q72" s="25"/>
      <c r="R72" s="26"/>
      <c r="S72" s="26" t="s">
        <v>29</v>
      </c>
      <c r="T72" s="6"/>
      <c r="U72" s="6" t="s">
        <v>264</v>
      </c>
      <c r="V72" s="33" t="s">
        <v>35</v>
      </c>
    </row>
    <row r="73" spans="2:22" ht="21" customHeight="1" outlineLevel="3" x14ac:dyDescent="0.2">
      <c r="B73" s="2">
        <v>63</v>
      </c>
      <c r="C73" s="3" t="s">
        <v>265</v>
      </c>
      <c r="D73" s="3" t="s">
        <v>266</v>
      </c>
      <c r="E73" s="4" t="s">
        <v>267</v>
      </c>
      <c r="F73" s="8"/>
      <c r="G73" s="9"/>
      <c r="H73" s="10">
        <v>60</v>
      </c>
      <c r="I73" s="9"/>
      <c r="J73" s="10">
        <v>45</v>
      </c>
      <c r="K73" s="2">
        <v>1</v>
      </c>
      <c r="L73" s="18">
        <v>30.41333333333333</v>
      </c>
      <c r="M73" s="12"/>
      <c r="N73" s="9">
        <f t="shared" si="2"/>
        <v>0</v>
      </c>
      <c r="O73" s="29">
        <f>0.098*M73</f>
        <v>0</v>
      </c>
      <c r="P73" s="30">
        <f>0.00022*M73</f>
        <v>0</v>
      </c>
      <c r="Q73" s="21"/>
      <c r="R73" s="22"/>
      <c r="S73" s="22" t="s">
        <v>29</v>
      </c>
      <c r="T73" s="3"/>
      <c r="U73" s="3" t="s">
        <v>268</v>
      </c>
      <c r="V73" s="32" t="s">
        <v>30</v>
      </c>
    </row>
    <row r="74" spans="2:22" ht="21" customHeight="1" outlineLevel="3" x14ac:dyDescent="0.2">
      <c r="B74" s="2">
        <v>64</v>
      </c>
      <c r="C74" s="3" t="s">
        <v>269</v>
      </c>
      <c r="D74" s="3" t="s">
        <v>270</v>
      </c>
      <c r="E74" s="4" t="s">
        <v>271</v>
      </c>
      <c r="F74" s="8"/>
      <c r="G74" s="9"/>
      <c r="H74" s="10">
        <v>60</v>
      </c>
      <c r="I74" s="9"/>
      <c r="J74" s="10">
        <v>34</v>
      </c>
      <c r="K74" s="2">
        <v>1</v>
      </c>
      <c r="L74" s="18">
        <v>30.41333333333333</v>
      </c>
      <c r="M74" s="12"/>
      <c r="N74" s="9">
        <f t="shared" si="2"/>
        <v>0</v>
      </c>
      <c r="O74" s="29">
        <f>0.096*M74</f>
        <v>0</v>
      </c>
      <c r="P74" s="30">
        <f>0.00018*M74</f>
        <v>0</v>
      </c>
      <c r="Q74" s="21"/>
      <c r="R74" s="22"/>
      <c r="S74" s="22" t="s">
        <v>29</v>
      </c>
      <c r="T74" s="3"/>
      <c r="U74" s="3" t="s">
        <v>272</v>
      </c>
      <c r="V74" s="32" t="s">
        <v>30</v>
      </c>
    </row>
    <row r="75" spans="2:22" ht="22.95" customHeight="1" outlineLevel="3" x14ac:dyDescent="0.2">
      <c r="B75" s="81" t="s">
        <v>273</v>
      </c>
      <c r="C75" s="81"/>
      <c r="D75" s="81"/>
      <c r="L75">
        <v>0</v>
      </c>
    </row>
    <row r="76" spans="2:22" ht="21" customHeight="1" outlineLevel="4" x14ac:dyDescent="0.2">
      <c r="B76" s="5">
        <v>65</v>
      </c>
      <c r="C76" s="6" t="s">
        <v>274</v>
      </c>
      <c r="D76" s="6" t="s">
        <v>275</v>
      </c>
      <c r="E76" s="7" t="s">
        <v>276</v>
      </c>
      <c r="F76" s="13"/>
      <c r="G76" s="14"/>
      <c r="H76" s="15">
        <v>30</v>
      </c>
      <c r="I76" s="14"/>
      <c r="J76" s="15">
        <v>16</v>
      </c>
      <c r="K76" s="5">
        <v>1</v>
      </c>
      <c r="L76" s="16">
        <v>38.666666666666664</v>
      </c>
      <c r="M76" s="12"/>
      <c r="N76" s="14">
        <f>L76*M76</f>
        <v>0</v>
      </c>
      <c r="O76" s="23">
        <f>0.157*M76</f>
        <v>0</v>
      </c>
      <c r="P76" s="24">
        <f>0.00085*M76</f>
        <v>0</v>
      </c>
      <c r="Q76" s="25"/>
      <c r="R76" s="26"/>
      <c r="S76" s="26" t="s">
        <v>29</v>
      </c>
      <c r="T76" s="6"/>
      <c r="U76" s="6" t="s">
        <v>277</v>
      </c>
      <c r="V76" s="33" t="s">
        <v>35</v>
      </c>
    </row>
    <row r="77" spans="2:22" ht="21" customHeight="1" outlineLevel="4" x14ac:dyDescent="0.2">
      <c r="B77" s="5">
        <v>66</v>
      </c>
      <c r="C77" s="6" t="s">
        <v>278</v>
      </c>
      <c r="D77" s="6" t="s">
        <v>279</v>
      </c>
      <c r="E77" s="7" t="s">
        <v>280</v>
      </c>
      <c r="F77" s="13"/>
      <c r="G77" s="14"/>
      <c r="H77" s="15">
        <v>25</v>
      </c>
      <c r="I77" s="14"/>
      <c r="J77" s="15">
        <v>588</v>
      </c>
      <c r="K77" s="5">
        <v>1</v>
      </c>
      <c r="L77" s="16">
        <v>132</v>
      </c>
      <c r="M77" s="12"/>
      <c r="N77" s="14">
        <f>L77*M77</f>
        <v>0</v>
      </c>
      <c r="O77" s="23">
        <f>0.535*M77</f>
        <v>0</v>
      </c>
      <c r="P77" s="24">
        <f>0.00103*M77</f>
        <v>0</v>
      </c>
      <c r="Q77" s="25"/>
      <c r="R77" s="26"/>
      <c r="S77" s="26" t="s">
        <v>29</v>
      </c>
      <c r="T77" s="6"/>
      <c r="U77" s="6" t="s">
        <v>281</v>
      </c>
      <c r="V77" s="33" t="s">
        <v>35</v>
      </c>
    </row>
    <row r="78" spans="2:22" ht="21" customHeight="1" outlineLevel="4" x14ac:dyDescent="0.2">
      <c r="B78" s="5">
        <v>67</v>
      </c>
      <c r="C78" s="6" t="s">
        <v>282</v>
      </c>
      <c r="D78" s="6" t="s">
        <v>283</v>
      </c>
      <c r="E78" s="7" t="s">
        <v>284</v>
      </c>
      <c r="F78" s="13"/>
      <c r="G78" s="14"/>
      <c r="H78" s="15">
        <v>20</v>
      </c>
      <c r="I78" s="14"/>
      <c r="J78" s="15">
        <v>790</v>
      </c>
      <c r="K78" s="5">
        <v>20</v>
      </c>
      <c r="L78" s="16">
        <v>78.666666666666671</v>
      </c>
      <c r="M78" s="12"/>
      <c r="N78" s="14">
        <f>L78*M78</f>
        <v>0</v>
      </c>
      <c r="O78" s="23">
        <f>11.244*M78</f>
        <v>0</v>
      </c>
      <c r="P78" s="24">
        <f>0.02419*M78</f>
        <v>0</v>
      </c>
      <c r="Q78" s="25"/>
      <c r="R78" s="26"/>
      <c r="S78" s="26" t="s">
        <v>29</v>
      </c>
      <c r="T78" s="6"/>
      <c r="U78" s="6"/>
      <c r="V78" s="33" t="s">
        <v>35</v>
      </c>
    </row>
    <row r="79" spans="2:22" ht="21" customHeight="1" outlineLevel="4" x14ac:dyDescent="0.2">
      <c r="B79" s="5">
        <v>68</v>
      </c>
      <c r="C79" s="6" t="s">
        <v>285</v>
      </c>
      <c r="D79" s="6" t="s">
        <v>286</v>
      </c>
      <c r="E79" s="7" t="s">
        <v>287</v>
      </c>
      <c r="F79" s="13"/>
      <c r="G79" s="14"/>
      <c r="H79" s="15">
        <v>20</v>
      </c>
      <c r="I79" s="14"/>
      <c r="J79" s="15">
        <v>4</v>
      </c>
      <c r="K79" s="5">
        <v>1</v>
      </c>
      <c r="L79" s="16">
        <v>65.333333333333329</v>
      </c>
      <c r="M79" s="12"/>
      <c r="N79" s="14">
        <f>L79*M79</f>
        <v>0</v>
      </c>
      <c r="O79" s="27">
        <f>0.4*M79</f>
        <v>0</v>
      </c>
      <c r="P79" s="24">
        <f>0.00057*M79</f>
        <v>0</v>
      </c>
      <c r="Q79" s="25"/>
      <c r="R79" s="26"/>
      <c r="S79" s="26" t="s">
        <v>29</v>
      </c>
      <c r="T79" s="6" t="str">
        <f>HYPERLINK("https://kanzpp.ru/api/getInfo/image/59570dd2-fa6f-11e5-b4aa-5cf3fc4a2490")</f>
        <v>https://kanzpp.ru/api/getInfo/image/59570dd2-fa6f-11e5-b4aa-5cf3fc4a2490</v>
      </c>
      <c r="U79" s="6" t="s">
        <v>288</v>
      </c>
      <c r="V79" s="33" t="s">
        <v>35</v>
      </c>
    </row>
    <row r="80" spans="2:22" ht="21" customHeight="1" outlineLevel="4" x14ac:dyDescent="0.2">
      <c r="B80" s="5">
        <v>69</v>
      </c>
      <c r="C80" s="6" t="s">
        <v>289</v>
      </c>
      <c r="D80" s="6" t="s">
        <v>290</v>
      </c>
      <c r="E80" s="7" t="s">
        <v>291</v>
      </c>
      <c r="F80" s="13"/>
      <c r="G80" s="14"/>
      <c r="H80" s="15">
        <v>50</v>
      </c>
      <c r="I80" s="14"/>
      <c r="J80" s="15">
        <v>230</v>
      </c>
      <c r="K80" s="5">
        <v>1</v>
      </c>
      <c r="L80" s="16">
        <v>33.333333333333336</v>
      </c>
      <c r="M80" s="12"/>
      <c r="N80" s="14">
        <f>L80*M80</f>
        <v>0</v>
      </c>
      <c r="O80" s="23">
        <f>0.403*M80</f>
        <v>0</v>
      </c>
      <c r="P80" s="31">
        <f>0.0005*M80</f>
        <v>0</v>
      </c>
      <c r="Q80" s="25"/>
      <c r="R80" s="26"/>
      <c r="S80" s="26" t="s">
        <v>29</v>
      </c>
      <c r="T80" s="6"/>
      <c r="U80" s="6" t="s">
        <v>292</v>
      </c>
      <c r="V80" s="33" t="s">
        <v>35</v>
      </c>
    </row>
    <row r="81" spans="2:22" ht="22.95" customHeight="1" outlineLevel="3" x14ac:dyDescent="0.2">
      <c r="B81" s="81" t="s">
        <v>293</v>
      </c>
      <c r="C81" s="81"/>
      <c r="D81" s="81"/>
      <c r="L81">
        <v>0</v>
      </c>
    </row>
    <row r="82" spans="2:22" ht="21" customHeight="1" outlineLevel="4" x14ac:dyDescent="0.2">
      <c r="B82" s="5">
        <v>70</v>
      </c>
      <c r="C82" s="6" t="s">
        <v>294</v>
      </c>
      <c r="D82" s="6" t="s">
        <v>295</v>
      </c>
      <c r="E82" s="7" t="s">
        <v>152</v>
      </c>
      <c r="F82" s="13"/>
      <c r="G82" s="14"/>
      <c r="H82" s="15">
        <v>80</v>
      </c>
      <c r="I82" s="15">
        <v>8</v>
      </c>
      <c r="J82" s="14" t="s">
        <v>144</v>
      </c>
      <c r="K82" s="5">
        <v>8</v>
      </c>
      <c r="L82" s="16">
        <v>38.666666666666664</v>
      </c>
      <c r="M82" s="12"/>
      <c r="N82" s="14">
        <f>L82*M82</f>
        <v>0</v>
      </c>
      <c r="O82" s="23">
        <f>0.095*M82</f>
        <v>0</v>
      </c>
      <c r="P82" s="24">
        <f>0.00011*M82</f>
        <v>0</v>
      </c>
      <c r="Q82" s="25"/>
      <c r="R82" s="26"/>
      <c r="S82" s="26" t="s">
        <v>29</v>
      </c>
      <c r="T82" s="6"/>
      <c r="U82" s="6"/>
      <c r="V82" s="33" t="s">
        <v>35</v>
      </c>
    </row>
    <row r="83" spans="2:22" ht="21" customHeight="1" outlineLevel="4" x14ac:dyDescent="0.2">
      <c r="B83" s="5">
        <v>71</v>
      </c>
      <c r="C83" s="6" t="s">
        <v>296</v>
      </c>
      <c r="D83" s="6" t="s">
        <v>297</v>
      </c>
      <c r="E83" s="7" t="s">
        <v>298</v>
      </c>
      <c r="F83" s="13"/>
      <c r="G83" s="14"/>
      <c r="H83" s="15">
        <v>50</v>
      </c>
      <c r="I83" s="15">
        <v>1</v>
      </c>
      <c r="J83" s="15">
        <v>197</v>
      </c>
      <c r="K83" s="5">
        <v>1</v>
      </c>
      <c r="L83" s="16">
        <v>46.76</v>
      </c>
      <c r="M83" s="12"/>
      <c r="N83" s="14">
        <f>L83*M83</f>
        <v>0</v>
      </c>
      <c r="O83" s="28">
        <f>0.04*M83</f>
        <v>0</v>
      </c>
      <c r="P83" s="24">
        <f>0.00006*M83</f>
        <v>0</v>
      </c>
      <c r="Q83" s="25"/>
      <c r="R83" s="26"/>
      <c r="S83" s="26" t="s">
        <v>29</v>
      </c>
      <c r="T83" s="6"/>
      <c r="U83" s="6" t="s">
        <v>299</v>
      </c>
      <c r="V83" s="33" t="s">
        <v>35</v>
      </c>
    </row>
    <row r="84" spans="2:22" ht="21" customHeight="1" outlineLevel="4" x14ac:dyDescent="0.2">
      <c r="B84" s="2">
        <v>72</v>
      </c>
      <c r="C84" s="3" t="s">
        <v>300</v>
      </c>
      <c r="D84" s="3" t="s">
        <v>301</v>
      </c>
      <c r="E84" s="4" t="s">
        <v>302</v>
      </c>
      <c r="F84" s="8"/>
      <c r="G84" s="9"/>
      <c r="H84" s="10">
        <v>25</v>
      </c>
      <c r="I84" s="10">
        <v>4</v>
      </c>
      <c r="J84" s="10">
        <v>29</v>
      </c>
      <c r="K84" s="2">
        <v>1</v>
      </c>
      <c r="L84" s="19">
        <v>37.06666666666667</v>
      </c>
      <c r="M84" s="12"/>
      <c r="N84" s="9">
        <f>L84*M84</f>
        <v>0</v>
      </c>
      <c r="O84" s="11">
        <f>0.04*M84</f>
        <v>0</v>
      </c>
      <c r="P84" s="30">
        <f>0.00006*M84</f>
        <v>0</v>
      </c>
      <c r="Q84" s="21"/>
      <c r="R84" s="22"/>
      <c r="S84" s="22" t="s">
        <v>29</v>
      </c>
      <c r="T84" s="3"/>
      <c r="U84" s="3"/>
      <c r="V84" s="32" t="s">
        <v>30</v>
      </c>
    </row>
    <row r="85" spans="2:22" ht="21" customHeight="1" outlineLevel="4" x14ac:dyDescent="0.2">
      <c r="B85" s="5">
        <v>73</v>
      </c>
      <c r="C85" s="6" t="s">
        <v>303</v>
      </c>
      <c r="D85" s="6" t="s">
        <v>304</v>
      </c>
      <c r="E85" s="7" t="s">
        <v>305</v>
      </c>
      <c r="F85" s="13"/>
      <c r="G85" s="14"/>
      <c r="H85" s="15">
        <v>50</v>
      </c>
      <c r="I85" s="14"/>
      <c r="J85" s="15">
        <v>261</v>
      </c>
      <c r="K85" s="5">
        <v>8</v>
      </c>
      <c r="L85" s="16">
        <v>26.533333333333331</v>
      </c>
      <c r="M85" s="12"/>
      <c r="N85" s="14">
        <f>L85*M85</f>
        <v>0</v>
      </c>
      <c r="O85" s="23">
        <f>0.047*M85</f>
        <v>0</v>
      </c>
      <c r="P85" s="24">
        <f>0.00004*M85</f>
        <v>0</v>
      </c>
      <c r="Q85" s="25"/>
      <c r="R85" s="26"/>
      <c r="S85" s="26" t="s">
        <v>29</v>
      </c>
      <c r="T85" s="6" t="str">
        <f>HYPERLINK("https://kanzpp.ru/api/getInfo/image/40a8735d-ae96-11ed-a230-00155d82e902")</f>
        <v>https://kanzpp.ru/api/getInfo/image/40a8735d-ae96-11ed-a230-00155d82e902</v>
      </c>
      <c r="U85" s="6" t="s">
        <v>306</v>
      </c>
      <c r="V85" s="33" t="s">
        <v>35</v>
      </c>
    </row>
    <row r="86" spans="2:22" ht="21" customHeight="1" outlineLevel="4" x14ac:dyDescent="0.2">
      <c r="B86" s="5">
        <v>74</v>
      </c>
      <c r="C86" s="6" t="s">
        <v>307</v>
      </c>
      <c r="D86" s="6" t="s">
        <v>254</v>
      </c>
      <c r="E86" s="7" t="s">
        <v>152</v>
      </c>
      <c r="F86" s="13"/>
      <c r="G86" s="14"/>
      <c r="H86" s="15">
        <v>12</v>
      </c>
      <c r="I86" s="15">
        <v>12</v>
      </c>
      <c r="J86" s="15">
        <v>82</v>
      </c>
      <c r="K86" s="5">
        <v>1</v>
      </c>
      <c r="L86" s="16">
        <v>154.09333333333333</v>
      </c>
      <c r="M86" s="12"/>
      <c r="N86" s="14">
        <f>L86*M86</f>
        <v>0</v>
      </c>
      <c r="O86" s="23">
        <f>0.295*M86</f>
        <v>0</v>
      </c>
      <c r="P86" s="24">
        <f>0.00075*M86</f>
        <v>0</v>
      </c>
      <c r="Q86" s="25"/>
      <c r="R86" s="26"/>
      <c r="S86" s="26" t="s">
        <v>29</v>
      </c>
      <c r="T86" s="6"/>
      <c r="U86" s="6"/>
      <c r="V86" s="33" t="s">
        <v>35</v>
      </c>
    </row>
    <row r="87" spans="2:22" ht="22.95" customHeight="1" outlineLevel="3" x14ac:dyDescent="0.2">
      <c r="B87" s="81" t="s">
        <v>308</v>
      </c>
      <c r="C87" s="81"/>
      <c r="D87" s="81"/>
      <c r="L87">
        <v>0</v>
      </c>
    </row>
    <row r="88" spans="2:22" ht="21" customHeight="1" outlineLevel="4" x14ac:dyDescent="0.2">
      <c r="B88" s="5">
        <v>75</v>
      </c>
      <c r="C88" s="6" t="s">
        <v>309</v>
      </c>
      <c r="D88" s="6" t="s">
        <v>310</v>
      </c>
      <c r="E88" s="7" t="s">
        <v>311</v>
      </c>
      <c r="F88" s="13"/>
      <c r="G88" s="14"/>
      <c r="H88" s="15">
        <v>50</v>
      </c>
      <c r="I88" s="15">
        <v>1</v>
      </c>
      <c r="J88" s="15">
        <v>400</v>
      </c>
      <c r="K88" s="5">
        <v>1</v>
      </c>
      <c r="L88" s="16">
        <v>92</v>
      </c>
      <c r="M88" s="12"/>
      <c r="N88" s="14">
        <f t="shared" ref="N88:N93" si="3">L88*M88</f>
        <v>0</v>
      </c>
      <c r="O88" s="28">
        <f>0.21*M88</f>
        <v>0</v>
      </c>
      <c r="P88" s="24">
        <f>0.00016*M88</f>
        <v>0</v>
      </c>
      <c r="Q88" s="25"/>
      <c r="R88" s="26"/>
      <c r="S88" s="26" t="s">
        <v>93</v>
      </c>
      <c r="T88" s="6"/>
      <c r="U88" s="6"/>
      <c r="V88" s="33" t="s">
        <v>35</v>
      </c>
    </row>
    <row r="89" spans="2:22" ht="21" customHeight="1" outlineLevel="4" x14ac:dyDescent="0.2">
      <c r="B89" s="5">
        <v>76</v>
      </c>
      <c r="C89" s="6" t="s">
        <v>312</v>
      </c>
      <c r="D89" s="6" t="s">
        <v>313</v>
      </c>
      <c r="E89" s="7" t="s">
        <v>314</v>
      </c>
      <c r="F89" s="13"/>
      <c r="G89" s="14"/>
      <c r="H89" s="15">
        <v>48</v>
      </c>
      <c r="I89" s="15">
        <v>8</v>
      </c>
      <c r="J89" s="15">
        <v>48</v>
      </c>
      <c r="K89" s="5">
        <v>8</v>
      </c>
      <c r="L89" s="16">
        <v>7.8266666666666671</v>
      </c>
      <c r="M89" s="12"/>
      <c r="N89" s="14">
        <f t="shared" si="3"/>
        <v>0</v>
      </c>
      <c r="O89" s="28">
        <f>0.04*M89</f>
        <v>0</v>
      </c>
      <c r="P89" s="24">
        <f>0.00018*M89</f>
        <v>0</v>
      </c>
      <c r="Q89" s="25"/>
      <c r="R89" s="26"/>
      <c r="S89" s="26" t="s">
        <v>93</v>
      </c>
      <c r="T89" s="6"/>
      <c r="U89" s="6"/>
      <c r="V89" s="33" t="s">
        <v>35</v>
      </c>
    </row>
    <row r="90" spans="2:22" ht="21" customHeight="1" outlineLevel="4" x14ac:dyDescent="0.2">
      <c r="B90" s="5">
        <v>77</v>
      </c>
      <c r="C90" s="6" t="s">
        <v>315</v>
      </c>
      <c r="D90" s="6" t="s">
        <v>316</v>
      </c>
      <c r="E90" s="7" t="s">
        <v>317</v>
      </c>
      <c r="F90" s="13"/>
      <c r="G90" s="14"/>
      <c r="H90" s="15">
        <v>48</v>
      </c>
      <c r="I90" s="15">
        <v>8</v>
      </c>
      <c r="J90" s="15">
        <v>48</v>
      </c>
      <c r="K90" s="5">
        <v>8</v>
      </c>
      <c r="L90" s="16">
        <v>56.986666666666672</v>
      </c>
      <c r="M90" s="12"/>
      <c r="N90" s="14">
        <f t="shared" si="3"/>
        <v>0</v>
      </c>
      <c r="O90" s="23">
        <f>0.115*M90</f>
        <v>0</v>
      </c>
      <c r="P90" s="24">
        <f>0.00046*M90</f>
        <v>0</v>
      </c>
      <c r="Q90" s="25"/>
      <c r="R90" s="26" t="s">
        <v>318</v>
      </c>
      <c r="S90" s="26" t="s">
        <v>93</v>
      </c>
      <c r="T90" s="6" t="str">
        <f>HYPERLINK("https://kanzpp.ru/api/getInfo/image/93e2bcdb-3c63-11f0-a27c-00155d82e908")</f>
        <v>https://kanzpp.ru/api/getInfo/image/93e2bcdb-3c63-11f0-a27c-00155d82e908</v>
      </c>
      <c r="U90" s="6"/>
      <c r="V90" s="33" t="s">
        <v>35</v>
      </c>
    </row>
    <row r="91" spans="2:22" ht="21" customHeight="1" outlineLevel="4" x14ac:dyDescent="0.2">
      <c r="B91" s="5">
        <v>78</v>
      </c>
      <c r="C91" s="6" t="s">
        <v>319</v>
      </c>
      <c r="D91" s="6" t="s">
        <v>320</v>
      </c>
      <c r="E91" s="7" t="s">
        <v>321</v>
      </c>
      <c r="F91" s="13"/>
      <c r="G91" s="14"/>
      <c r="H91" s="15">
        <v>28</v>
      </c>
      <c r="I91" s="14"/>
      <c r="J91" s="15">
        <v>3</v>
      </c>
      <c r="K91" s="5">
        <v>1</v>
      </c>
      <c r="L91" s="16">
        <v>38.666666666666664</v>
      </c>
      <c r="M91" s="12"/>
      <c r="N91" s="14">
        <f t="shared" si="3"/>
        <v>0</v>
      </c>
      <c r="O91" s="28">
        <f>0.28*M91</f>
        <v>0</v>
      </c>
      <c r="P91" s="24">
        <f>0.00029*M91</f>
        <v>0</v>
      </c>
      <c r="Q91" s="25"/>
      <c r="R91" s="26" t="s">
        <v>322</v>
      </c>
      <c r="S91" s="26" t="s">
        <v>93</v>
      </c>
      <c r="T91" s="6"/>
      <c r="U91" s="6"/>
      <c r="V91" s="33" t="s">
        <v>35</v>
      </c>
    </row>
    <row r="92" spans="2:22" ht="21" customHeight="1" outlineLevel="4" x14ac:dyDescent="0.2">
      <c r="B92" s="5">
        <v>79</v>
      </c>
      <c r="C92" s="6" t="s">
        <v>323</v>
      </c>
      <c r="D92" s="6" t="s">
        <v>324</v>
      </c>
      <c r="E92" s="7" t="s">
        <v>325</v>
      </c>
      <c r="F92" s="13"/>
      <c r="G92" s="14"/>
      <c r="H92" s="15">
        <v>50</v>
      </c>
      <c r="I92" s="15">
        <v>1</v>
      </c>
      <c r="J92" s="15">
        <v>1</v>
      </c>
      <c r="K92" s="5">
        <v>1</v>
      </c>
      <c r="L92" s="16">
        <v>79.706666666666663</v>
      </c>
      <c r="M92" s="12"/>
      <c r="N92" s="14">
        <f t="shared" si="3"/>
        <v>0</v>
      </c>
      <c r="O92" s="28">
        <f>0.08*M92</f>
        <v>0</v>
      </c>
      <c r="P92" s="14">
        <v>0</v>
      </c>
      <c r="Q92" s="25"/>
      <c r="R92" s="26"/>
      <c r="S92" s="26" t="s">
        <v>93</v>
      </c>
      <c r="T92" s="6" t="str">
        <f>HYPERLINK("https://kanzpp.ru/api/getInfo/image/a0fdb093-a405-11eb-a201-ac1f6b442185")</f>
        <v>https://kanzpp.ru/api/getInfo/image/a0fdb093-a405-11eb-a201-ac1f6b442185</v>
      </c>
      <c r="U92" s="6"/>
      <c r="V92" s="33" t="s">
        <v>35</v>
      </c>
    </row>
    <row r="93" spans="2:22" ht="21" customHeight="1" outlineLevel="4" x14ac:dyDescent="0.2">
      <c r="B93" s="5">
        <v>80</v>
      </c>
      <c r="C93" s="6" t="s">
        <v>326</v>
      </c>
      <c r="D93" s="6" t="s">
        <v>327</v>
      </c>
      <c r="E93" s="7" t="s">
        <v>328</v>
      </c>
      <c r="F93" s="13"/>
      <c r="G93" s="14"/>
      <c r="H93" s="15">
        <v>25</v>
      </c>
      <c r="I93" s="15">
        <v>1</v>
      </c>
      <c r="J93" s="15">
        <v>4</v>
      </c>
      <c r="K93" s="5">
        <v>1</v>
      </c>
      <c r="L93" s="16">
        <v>25.333333333333332</v>
      </c>
      <c r="M93" s="12"/>
      <c r="N93" s="14">
        <f t="shared" si="3"/>
        <v>0</v>
      </c>
      <c r="O93" s="23">
        <f>0.135*M93</f>
        <v>0</v>
      </c>
      <c r="P93" s="24">
        <f>0.00028*M93</f>
        <v>0</v>
      </c>
      <c r="Q93" s="25"/>
      <c r="R93" s="26"/>
      <c r="S93" s="26" t="s">
        <v>93</v>
      </c>
      <c r="T93" s="6"/>
      <c r="U93" s="6"/>
      <c r="V93" s="33" t="s">
        <v>35</v>
      </c>
    </row>
    <row r="94" spans="2:22" ht="22.95" customHeight="1" outlineLevel="2" x14ac:dyDescent="0.2">
      <c r="B94" s="80" t="s">
        <v>329</v>
      </c>
      <c r="C94" s="80"/>
      <c r="D94" s="80"/>
      <c r="L94">
        <v>0</v>
      </c>
    </row>
    <row r="95" spans="2:22" ht="21" customHeight="1" outlineLevel="3" x14ac:dyDescent="0.2">
      <c r="B95" s="5">
        <v>81</v>
      </c>
      <c r="C95" s="6" t="s">
        <v>330</v>
      </c>
      <c r="D95" s="6" t="s">
        <v>331</v>
      </c>
      <c r="E95" s="7" t="s">
        <v>332</v>
      </c>
      <c r="F95" s="13"/>
      <c r="G95" s="14"/>
      <c r="H95" s="14"/>
      <c r="I95" s="15">
        <v>24</v>
      </c>
      <c r="J95" s="15">
        <v>24</v>
      </c>
      <c r="K95" s="5">
        <v>6</v>
      </c>
      <c r="L95" s="16">
        <v>66.653333333333336</v>
      </c>
      <c r="M95" s="12"/>
      <c r="N95" s="14">
        <f t="shared" ref="N95:N104" si="4">L95*M95</f>
        <v>0</v>
      </c>
      <c r="O95" s="23">
        <f>0.173*M95</f>
        <v>0</v>
      </c>
      <c r="P95" s="24">
        <f>0.00019*M95</f>
        <v>0</v>
      </c>
      <c r="Q95" s="25"/>
      <c r="R95" s="26"/>
      <c r="S95" s="26" t="s">
        <v>29</v>
      </c>
      <c r="T95" s="6" t="str">
        <f>HYPERLINK("https://kanzpp.ru/api/getInfo/image/df536dd8-6089-11ef-a262-00155d82e908")</f>
        <v>https://kanzpp.ru/api/getInfo/image/df536dd8-6089-11ef-a262-00155d82e908</v>
      </c>
      <c r="U95" s="6"/>
      <c r="V95" s="33" t="s">
        <v>35</v>
      </c>
    </row>
    <row r="96" spans="2:22" ht="21" customHeight="1" outlineLevel="3" x14ac:dyDescent="0.2">
      <c r="B96" s="5">
        <v>82</v>
      </c>
      <c r="C96" s="6" t="s">
        <v>333</v>
      </c>
      <c r="D96" s="6" t="s">
        <v>334</v>
      </c>
      <c r="E96" s="7" t="s">
        <v>335</v>
      </c>
      <c r="F96" s="13"/>
      <c r="G96" s="14"/>
      <c r="H96" s="15">
        <v>24</v>
      </c>
      <c r="I96" s="15">
        <v>24</v>
      </c>
      <c r="J96" s="15">
        <v>5</v>
      </c>
      <c r="K96" s="5">
        <v>3</v>
      </c>
      <c r="L96" s="16">
        <v>27.986666666666665</v>
      </c>
      <c r="M96" s="12"/>
      <c r="N96" s="14">
        <f t="shared" si="4"/>
        <v>0</v>
      </c>
      <c r="O96" s="23">
        <f>0.177*M96</f>
        <v>0</v>
      </c>
      <c r="P96" s="24">
        <f>0.00026*M96</f>
        <v>0</v>
      </c>
      <c r="Q96" s="25"/>
      <c r="R96" s="26" t="s">
        <v>336</v>
      </c>
      <c r="S96" s="26" t="s">
        <v>29</v>
      </c>
      <c r="T96" s="6" t="str">
        <f>HYPERLINK("https://kanzpp.ru/api/getInfo/image/e717e4ea-25e9-11ec-a20f-ac1f6b442185")</f>
        <v>https://kanzpp.ru/api/getInfo/image/e717e4ea-25e9-11ec-a20f-ac1f6b442185</v>
      </c>
      <c r="U96" s="6"/>
      <c r="V96" s="33" t="s">
        <v>35</v>
      </c>
    </row>
    <row r="97" spans="2:22" ht="21" customHeight="1" outlineLevel="3" x14ac:dyDescent="0.2">
      <c r="B97" s="5">
        <v>83</v>
      </c>
      <c r="C97" s="6" t="s">
        <v>337</v>
      </c>
      <c r="D97" s="6" t="s">
        <v>338</v>
      </c>
      <c r="E97" s="7" t="s">
        <v>339</v>
      </c>
      <c r="F97" s="13"/>
      <c r="G97" s="14"/>
      <c r="H97" s="15">
        <v>48</v>
      </c>
      <c r="I97" s="15">
        <v>8</v>
      </c>
      <c r="J97" s="15">
        <v>48</v>
      </c>
      <c r="K97" s="5">
        <v>1</v>
      </c>
      <c r="L97" s="16">
        <v>92.013333333333335</v>
      </c>
      <c r="M97" s="12"/>
      <c r="N97" s="14">
        <f t="shared" si="4"/>
        <v>0</v>
      </c>
      <c r="O97" s="23">
        <f>0.205*M97</f>
        <v>0</v>
      </c>
      <c r="P97" s="24">
        <f>0.00023*M97</f>
        <v>0</v>
      </c>
      <c r="Q97" s="25"/>
      <c r="R97" s="26" t="s">
        <v>340</v>
      </c>
      <c r="S97" s="26" t="s">
        <v>29</v>
      </c>
      <c r="T97" s="6" t="str">
        <f>HYPERLINK("https://kanzpp.ru/api/getInfo/image/1857225b-955a-11f0-a285-00155d82e908")</f>
        <v>https://kanzpp.ru/api/getInfo/image/1857225b-955a-11f0-a285-00155d82e908</v>
      </c>
      <c r="U97" s="6"/>
      <c r="V97" s="33" t="s">
        <v>35</v>
      </c>
    </row>
    <row r="98" spans="2:22" ht="21" customHeight="1" outlineLevel="3" x14ac:dyDescent="0.2">
      <c r="B98" s="5">
        <v>84</v>
      </c>
      <c r="C98" s="6" t="s">
        <v>341</v>
      </c>
      <c r="D98" s="6" t="s">
        <v>342</v>
      </c>
      <c r="E98" s="7" t="s">
        <v>343</v>
      </c>
      <c r="F98" s="13"/>
      <c r="G98" s="14"/>
      <c r="H98" s="15">
        <v>48</v>
      </c>
      <c r="I98" s="15">
        <v>8</v>
      </c>
      <c r="J98" s="15">
        <v>48</v>
      </c>
      <c r="K98" s="5">
        <v>24</v>
      </c>
      <c r="L98" s="16">
        <v>51.493333333333332</v>
      </c>
      <c r="M98" s="12"/>
      <c r="N98" s="14">
        <f t="shared" si="4"/>
        <v>0</v>
      </c>
      <c r="O98" s="23">
        <f>0.175*M98</f>
        <v>0</v>
      </c>
      <c r="P98" s="24">
        <f>0.00021*M98</f>
        <v>0</v>
      </c>
      <c r="Q98" s="25" t="s">
        <v>344</v>
      </c>
      <c r="R98" s="26" t="s">
        <v>345</v>
      </c>
      <c r="S98" s="26" t="s">
        <v>29</v>
      </c>
      <c r="T98" s="6" t="str">
        <f>HYPERLINK("https://kanzpp.ru/api/getInfo/image/9dd46b8a-9481-11f0-a284-00155d82e908")</f>
        <v>https://kanzpp.ru/api/getInfo/image/9dd46b8a-9481-11f0-a284-00155d82e908</v>
      </c>
      <c r="U98" s="6"/>
      <c r="V98" s="33" t="s">
        <v>35</v>
      </c>
    </row>
    <row r="99" spans="2:22" ht="21" customHeight="1" outlineLevel="3" x14ac:dyDescent="0.2">
      <c r="B99" s="2">
        <v>85</v>
      </c>
      <c r="C99" s="3" t="s">
        <v>346</v>
      </c>
      <c r="D99" s="3" t="s">
        <v>347</v>
      </c>
      <c r="E99" s="4" t="s">
        <v>348</v>
      </c>
      <c r="F99" s="8"/>
      <c r="G99" s="9"/>
      <c r="H99" s="9"/>
      <c r="I99" s="10">
        <v>40</v>
      </c>
      <c r="J99" s="10">
        <v>50</v>
      </c>
      <c r="K99" s="2">
        <v>40</v>
      </c>
      <c r="L99" s="18">
        <v>11.813333333333333</v>
      </c>
      <c r="M99" s="12"/>
      <c r="N99" s="9">
        <f t="shared" si="4"/>
        <v>0</v>
      </c>
      <c r="O99" s="29">
        <f>0.102*M99</f>
        <v>0</v>
      </c>
      <c r="P99" s="30">
        <f>0.00014*M99</f>
        <v>0</v>
      </c>
      <c r="Q99" s="21"/>
      <c r="R99" s="22" t="s">
        <v>349</v>
      </c>
      <c r="S99" s="22" t="s">
        <v>29</v>
      </c>
      <c r="T99" s="3" t="str">
        <f>HYPERLINK("https://kanzpp.ru/api/getInfo/image/cdd94d8f-f4e5-11eb-a20d-ac1f6b442185")</f>
        <v>https://kanzpp.ru/api/getInfo/image/cdd94d8f-f4e5-11eb-a20d-ac1f6b442185</v>
      </c>
      <c r="U99" s="3"/>
      <c r="V99" s="32" t="s">
        <v>30</v>
      </c>
    </row>
    <row r="100" spans="2:22" ht="21" customHeight="1" outlineLevel="3" x14ac:dyDescent="0.2">
      <c r="B100" s="2">
        <v>86</v>
      </c>
      <c r="C100" s="3" t="s">
        <v>350</v>
      </c>
      <c r="D100" s="3" t="s">
        <v>351</v>
      </c>
      <c r="E100" s="4" t="s">
        <v>352</v>
      </c>
      <c r="F100" s="8"/>
      <c r="G100" s="9"/>
      <c r="H100" s="10">
        <v>36</v>
      </c>
      <c r="I100" s="9"/>
      <c r="J100" s="10">
        <v>8</v>
      </c>
      <c r="K100" s="2">
        <v>1</v>
      </c>
      <c r="L100" s="18">
        <v>17.613333333333333</v>
      </c>
      <c r="M100" s="12"/>
      <c r="N100" s="9">
        <f t="shared" si="4"/>
        <v>0</v>
      </c>
      <c r="O100" s="11">
        <f>0.21*M100</f>
        <v>0</v>
      </c>
      <c r="P100" s="30">
        <f>0.00026*M100</f>
        <v>0</v>
      </c>
      <c r="Q100" s="21"/>
      <c r="R100" s="22"/>
      <c r="S100" s="22" t="s">
        <v>29</v>
      </c>
      <c r="T100" s="3"/>
      <c r="U100" s="3"/>
      <c r="V100" s="32" t="s">
        <v>30</v>
      </c>
    </row>
    <row r="101" spans="2:22" ht="21" customHeight="1" outlineLevel="3" x14ac:dyDescent="0.2">
      <c r="B101" s="5">
        <v>87</v>
      </c>
      <c r="C101" s="6" t="s">
        <v>353</v>
      </c>
      <c r="D101" s="6" t="s">
        <v>354</v>
      </c>
      <c r="E101" s="7" t="s">
        <v>355</v>
      </c>
      <c r="F101" s="13"/>
      <c r="G101" s="14"/>
      <c r="H101" s="15">
        <v>10</v>
      </c>
      <c r="I101" s="14"/>
      <c r="J101" s="15">
        <v>216</v>
      </c>
      <c r="K101" s="5">
        <v>1</v>
      </c>
      <c r="L101" s="16">
        <v>66.533333333333331</v>
      </c>
      <c r="M101" s="12"/>
      <c r="N101" s="14">
        <f t="shared" si="4"/>
        <v>0</v>
      </c>
      <c r="O101" s="23">
        <f>0.263*M101</f>
        <v>0</v>
      </c>
      <c r="P101" s="24">
        <f>0.00034*M101</f>
        <v>0</v>
      </c>
      <c r="Q101" s="25"/>
      <c r="R101" s="26"/>
      <c r="S101" s="26" t="s">
        <v>29</v>
      </c>
      <c r="T101" s="6"/>
      <c r="U101" s="6" t="s">
        <v>356</v>
      </c>
      <c r="V101" s="33" t="s">
        <v>35</v>
      </c>
    </row>
    <row r="102" spans="2:22" ht="21" customHeight="1" outlineLevel="3" x14ac:dyDescent="0.2">
      <c r="B102" s="5">
        <v>88</v>
      </c>
      <c r="C102" s="6" t="s">
        <v>357</v>
      </c>
      <c r="D102" s="6" t="s">
        <v>358</v>
      </c>
      <c r="E102" s="7" t="s">
        <v>359</v>
      </c>
      <c r="F102" s="13"/>
      <c r="G102" s="14"/>
      <c r="H102" s="15">
        <v>10</v>
      </c>
      <c r="I102" s="14"/>
      <c r="J102" s="15">
        <v>211</v>
      </c>
      <c r="K102" s="5">
        <v>1</v>
      </c>
      <c r="L102" s="16">
        <v>66.533333333333331</v>
      </c>
      <c r="M102" s="12"/>
      <c r="N102" s="14">
        <f t="shared" si="4"/>
        <v>0</v>
      </c>
      <c r="O102" s="23">
        <f>0.265*M102</f>
        <v>0</v>
      </c>
      <c r="P102" s="24">
        <f>0.00061*M102</f>
        <v>0</v>
      </c>
      <c r="Q102" s="25"/>
      <c r="R102" s="26"/>
      <c r="S102" s="26" t="s">
        <v>29</v>
      </c>
      <c r="T102" s="6"/>
      <c r="U102" s="6" t="s">
        <v>360</v>
      </c>
      <c r="V102" s="33" t="s">
        <v>35</v>
      </c>
    </row>
    <row r="103" spans="2:22" ht="21" customHeight="1" outlineLevel="3" x14ac:dyDescent="0.2">
      <c r="B103" s="5">
        <v>89</v>
      </c>
      <c r="C103" s="6" t="s">
        <v>361</v>
      </c>
      <c r="D103" s="6" t="s">
        <v>362</v>
      </c>
      <c r="E103" s="7" t="s">
        <v>363</v>
      </c>
      <c r="F103" s="13"/>
      <c r="G103" s="14"/>
      <c r="H103" s="15">
        <v>10</v>
      </c>
      <c r="I103" s="14"/>
      <c r="J103" s="15">
        <v>100</v>
      </c>
      <c r="K103" s="5">
        <v>1</v>
      </c>
      <c r="L103" s="16">
        <v>66.533333333333331</v>
      </c>
      <c r="M103" s="12"/>
      <c r="N103" s="14">
        <f t="shared" si="4"/>
        <v>0</v>
      </c>
      <c r="O103" s="23">
        <f>0.261*M103</f>
        <v>0</v>
      </c>
      <c r="P103" s="24">
        <f>0.00035*M103</f>
        <v>0</v>
      </c>
      <c r="Q103" s="25"/>
      <c r="R103" s="26"/>
      <c r="S103" s="26" t="s">
        <v>29</v>
      </c>
      <c r="T103" s="6"/>
      <c r="U103" s="6" t="s">
        <v>364</v>
      </c>
      <c r="V103" s="33" t="s">
        <v>35</v>
      </c>
    </row>
    <row r="104" spans="2:22" ht="21" customHeight="1" outlineLevel="3" x14ac:dyDescent="0.2">
      <c r="B104" s="5">
        <v>90</v>
      </c>
      <c r="C104" s="6" t="s">
        <v>365</v>
      </c>
      <c r="D104" s="6" t="s">
        <v>366</v>
      </c>
      <c r="E104" s="7" t="s">
        <v>367</v>
      </c>
      <c r="F104" s="13"/>
      <c r="G104" s="14"/>
      <c r="H104" s="15">
        <v>10</v>
      </c>
      <c r="I104" s="14"/>
      <c r="J104" s="15">
        <v>326</v>
      </c>
      <c r="K104" s="5">
        <v>1</v>
      </c>
      <c r="L104" s="16">
        <v>66.533333333333331</v>
      </c>
      <c r="M104" s="12"/>
      <c r="N104" s="14">
        <f t="shared" si="4"/>
        <v>0</v>
      </c>
      <c r="O104" s="23">
        <f>0.263*M104</f>
        <v>0</v>
      </c>
      <c r="P104" s="24">
        <f>0.00035*M104</f>
        <v>0</v>
      </c>
      <c r="Q104" s="25"/>
      <c r="R104" s="26"/>
      <c r="S104" s="26" t="s">
        <v>29</v>
      </c>
      <c r="T104" s="6"/>
      <c r="U104" s="6" t="s">
        <v>368</v>
      </c>
      <c r="V104" s="33" t="s">
        <v>35</v>
      </c>
    </row>
    <row r="105" spans="2:22" ht="22.95" customHeight="1" outlineLevel="2" x14ac:dyDescent="0.2">
      <c r="B105" s="80" t="s">
        <v>369</v>
      </c>
      <c r="C105" s="80"/>
      <c r="D105" s="80"/>
      <c r="L105">
        <v>0</v>
      </c>
    </row>
    <row r="106" spans="2:22" ht="22.95" customHeight="1" outlineLevel="3" x14ac:dyDescent="0.2">
      <c r="B106" s="81" t="s">
        <v>370</v>
      </c>
      <c r="C106" s="81"/>
      <c r="D106" s="81"/>
      <c r="L106">
        <v>0</v>
      </c>
    </row>
    <row r="107" spans="2:22" ht="21" customHeight="1" outlineLevel="4" x14ac:dyDescent="0.2">
      <c r="B107" s="5">
        <v>91</v>
      </c>
      <c r="C107" s="6" t="s">
        <v>371</v>
      </c>
      <c r="D107" s="6" t="s">
        <v>372</v>
      </c>
      <c r="E107" s="7" t="s">
        <v>373</v>
      </c>
      <c r="F107" s="13"/>
      <c r="G107" s="14"/>
      <c r="H107" s="15">
        <v>60</v>
      </c>
      <c r="I107" s="14"/>
      <c r="J107" s="15">
        <v>10</v>
      </c>
      <c r="K107" s="5">
        <v>2</v>
      </c>
      <c r="L107" s="16">
        <v>66.653333333333336</v>
      </c>
      <c r="M107" s="12"/>
      <c r="N107" s="14">
        <f>L107*M107</f>
        <v>0</v>
      </c>
      <c r="O107" s="28">
        <f>0.06*M107</f>
        <v>0</v>
      </c>
      <c r="P107" s="24">
        <f>0.00014*M107</f>
        <v>0</v>
      </c>
      <c r="Q107" s="25"/>
      <c r="R107" s="26"/>
      <c r="S107" s="26" t="s">
        <v>93</v>
      </c>
      <c r="T107" s="6"/>
      <c r="U107" s="6" t="s">
        <v>374</v>
      </c>
      <c r="V107" s="33" t="s">
        <v>35</v>
      </c>
    </row>
    <row r="108" spans="2:22" ht="22.95" customHeight="1" outlineLevel="3" x14ac:dyDescent="0.2">
      <c r="B108" s="81" t="s">
        <v>375</v>
      </c>
      <c r="C108" s="81"/>
      <c r="D108" s="81"/>
      <c r="L108">
        <v>0</v>
      </c>
    </row>
    <row r="109" spans="2:22" ht="21" customHeight="1" outlineLevel="4" x14ac:dyDescent="0.2">
      <c r="B109" s="5">
        <v>92</v>
      </c>
      <c r="C109" s="6" t="s">
        <v>376</v>
      </c>
      <c r="D109" s="6" t="s">
        <v>377</v>
      </c>
      <c r="E109" s="7" t="s">
        <v>378</v>
      </c>
      <c r="F109" s="13"/>
      <c r="G109" s="14"/>
      <c r="H109" s="15">
        <v>10</v>
      </c>
      <c r="I109" s="15">
        <v>1</v>
      </c>
      <c r="J109" s="15">
        <v>50</v>
      </c>
      <c r="K109" s="5">
        <v>1</v>
      </c>
      <c r="L109" s="16">
        <v>226.65333333333334</v>
      </c>
      <c r="M109" s="12"/>
      <c r="N109" s="14">
        <f>L109*M109</f>
        <v>0</v>
      </c>
      <c r="O109" s="23">
        <f>0.132*M109</f>
        <v>0</v>
      </c>
      <c r="P109" s="24">
        <f>0.00022*M109</f>
        <v>0</v>
      </c>
      <c r="Q109" s="25"/>
      <c r="R109" s="26"/>
      <c r="S109" s="26" t="s">
        <v>29</v>
      </c>
      <c r="T109" s="6"/>
      <c r="U109" s="6"/>
      <c r="V109" s="33" t="s">
        <v>35</v>
      </c>
    </row>
    <row r="110" spans="2:22" ht="22.95" customHeight="1" outlineLevel="3" x14ac:dyDescent="0.2">
      <c r="B110" s="81" t="s">
        <v>379</v>
      </c>
      <c r="C110" s="81"/>
      <c r="D110" s="81"/>
      <c r="L110">
        <v>0</v>
      </c>
    </row>
    <row r="111" spans="2:22" ht="21" customHeight="1" outlineLevel="4" x14ac:dyDescent="0.2">
      <c r="B111" s="5">
        <v>93</v>
      </c>
      <c r="C111" s="6" t="s">
        <v>380</v>
      </c>
      <c r="D111" s="6" t="s">
        <v>381</v>
      </c>
      <c r="E111" s="7" t="s">
        <v>382</v>
      </c>
      <c r="F111" s="13"/>
      <c r="G111" s="14"/>
      <c r="H111" s="15">
        <v>40</v>
      </c>
      <c r="I111" s="14"/>
      <c r="J111" s="15">
        <v>15</v>
      </c>
      <c r="K111" s="5">
        <v>10</v>
      </c>
      <c r="L111" s="16">
        <v>13.200000000000001</v>
      </c>
      <c r="M111" s="12"/>
      <c r="N111" s="14">
        <f>L111*M111</f>
        <v>0</v>
      </c>
      <c r="O111" s="28">
        <f>0.15*M111</f>
        <v>0</v>
      </c>
      <c r="P111" s="24">
        <f>0.00036*M111</f>
        <v>0</v>
      </c>
      <c r="Q111" s="25"/>
      <c r="R111" s="26" t="s">
        <v>383</v>
      </c>
      <c r="S111" s="26" t="s">
        <v>93</v>
      </c>
      <c r="T111" s="6" t="str">
        <f>HYPERLINK("https://kanzpp.ru/api/getInfo/image/7468319e-9355-11ee-a250-00155d82e908")</f>
        <v>https://kanzpp.ru/api/getInfo/image/7468319e-9355-11ee-a250-00155d82e908</v>
      </c>
      <c r="U111" s="6"/>
      <c r="V111" s="33" t="s">
        <v>35</v>
      </c>
    </row>
    <row r="112" spans="2:22" ht="21" customHeight="1" outlineLevel="4" x14ac:dyDescent="0.2">
      <c r="B112" s="5">
        <v>94</v>
      </c>
      <c r="C112" s="6" t="s">
        <v>384</v>
      </c>
      <c r="D112" s="6" t="s">
        <v>385</v>
      </c>
      <c r="E112" s="7" t="s">
        <v>386</v>
      </c>
      <c r="F112" s="13"/>
      <c r="G112" s="14"/>
      <c r="H112" s="15">
        <v>288</v>
      </c>
      <c r="I112" s="15">
        <v>12</v>
      </c>
      <c r="J112" s="17">
        <v>5423</v>
      </c>
      <c r="K112" s="5">
        <v>24</v>
      </c>
      <c r="L112" s="16">
        <v>3.9866666666666668</v>
      </c>
      <c r="M112" s="12"/>
      <c r="N112" s="14">
        <f>L112*M112</f>
        <v>0</v>
      </c>
      <c r="O112" s="28">
        <f>0.06*M112</f>
        <v>0</v>
      </c>
      <c r="P112" s="24">
        <f>0.00008*M112</f>
        <v>0</v>
      </c>
      <c r="Q112" s="25"/>
      <c r="R112" s="26" t="s">
        <v>387</v>
      </c>
      <c r="S112" s="26" t="s">
        <v>93</v>
      </c>
      <c r="T112" s="6" t="str">
        <f>HYPERLINK("https://kanzpp.ru/api/getInfo/image/840498c3-f8b3-11ea-a254-ac1f6b442184")</f>
        <v>https://kanzpp.ru/api/getInfo/image/840498c3-f8b3-11ea-a254-ac1f6b442184</v>
      </c>
      <c r="U112" s="6"/>
      <c r="V112" s="33" t="s">
        <v>35</v>
      </c>
    </row>
    <row r="113" spans="2:22" ht="22.95" customHeight="1" outlineLevel="3" x14ac:dyDescent="0.2">
      <c r="B113" s="81" t="s">
        <v>388</v>
      </c>
      <c r="C113" s="81"/>
      <c r="D113" s="81"/>
      <c r="L113">
        <v>0</v>
      </c>
    </row>
    <row r="114" spans="2:22" ht="21" customHeight="1" outlineLevel="4" x14ac:dyDescent="0.2">
      <c r="B114" s="5">
        <v>95</v>
      </c>
      <c r="C114" s="6" t="s">
        <v>389</v>
      </c>
      <c r="D114" s="6" t="s">
        <v>390</v>
      </c>
      <c r="E114" s="7" t="s">
        <v>391</v>
      </c>
      <c r="F114" s="13"/>
      <c r="G114" s="14"/>
      <c r="H114" s="15">
        <v>400</v>
      </c>
      <c r="I114" s="15">
        <v>4</v>
      </c>
      <c r="J114" s="17">
        <v>2281</v>
      </c>
      <c r="K114" s="5">
        <v>4</v>
      </c>
      <c r="L114" s="16">
        <v>18.653333333333332</v>
      </c>
      <c r="M114" s="12"/>
      <c r="N114" s="14">
        <f>L114*M114</f>
        <v>0</v>
      </c>
      <c r="O114" s="28">
        <f>0.02*M114</f>
        <v>0</v>
      </c>
      <c r="P114" s="24">
        <f>0.00003*M114</f>
        <v>0</v>
      </c>
      <c r="Q114" s="25"/>
      <c r="R114" s="26"/>
      <c r="S114" s="26" t="s">
        <v>93</v>
      </c>
      <c r="T114" s="6"/>
      <c r="U114" s="6" t="s">
        <v>392</v>
      </c>
      <c r="V114" s="33" t="s">
        <v>35</v>
      </c>
    </row>
    <row r="115" spans="2:22" ht="22.95" customHeight="1" outlineLevel="3" x14ac:dyDescent="0.2">
      <c r="B115" s="81" t="s">
        <v>393</v>
      </c>
      <c r="C115" s="81"/>
      <c r="D115" s="81"/>
      <c r="L115">
        <v>0</v>
      </c>
    </row>
    <row r="116" spans="2:22" ht="21" customHeight="1" outlineLevel="4" x14ac:dyDescent="0.2">
      <c r="B116" s="5">
        <v>96</v>
      </c>
      <c r="C116" s="6" t="s">
        <v>394</v>
      </c>
      <c r="D116" s="6" t="s">
        <v>395</v>
      </c>
      <c r="E116" s="7" t="s">
        <v>396</v>
      </c>
      <c r="F116" s="13"/>
      <c r="G116" s="14"/>
      <c r="H116" s="15">
        <v>24</v>
      </c>
      <c r="I116" s="14"/>
      <c r="J116" s="15">
        <v>720</v>
      </c>
      <c r="K116" s="5">
        <v>12</v>
      </c>
      <c r="L116" s="16">
        <v>78.653333333333336</v>
      </c>
      <c r="M116" s="12"/>
      <c r="N116" s="14">
        <f>L116*M116</f>
        <v>0</v>
      </c>
      <c r="O116" s="27">
        <f>0.7*M116</f>
        <v>0</v>
      </c>
      <c r="P116" s="24">
        <f>0.00021*M116</f>
        <v>0</v>
      </c>
      <c r="Q116" s="25"/>
      <c r="R116" s="26"/>
      <c r="S116" s="26" t="s">
        <v>93</v>
      </c>
      <c r="T116" s="6" t="str">
        <f>HYPERLINK("https://kanzpp.ru/api/getInfo/image/11abea9b-31c3-11ee-a23e-00155d82e902")</f>
        <v>https://kanzpp.ru/api/getInfo/image/11abea9b-31c3-11ee-a23e-00155d82e902</v>
      </c>
      <c r="U116" s="6" t="s">
        <v>397</v>
      </c>
      <c r="V116" s="33" t="s">
        <v>35</v>
      </c>
    </row>
    <row r="117" spans="2:22" ht="22.95" customHeight="1" outlineLevel="3" x14ac:dyDescent="0.2">
      <c r="B117" s="81" t="s">
        <v>398</v>
      </c>
      <c r="C117" s="81"/>
      <c r="D117" s="81"/>
      <c r="L117">
        <v>0</v>
      </c>
    </row>
    <row r="118" spans="2:22" ht="21" customHeight="1" outlineLevel="4" x14ac:dyDescent="0.2">
      <c r="B118" s="5">
        <v>97</v>
      </c>
      <c r="C118" s="6" t="s">
        <v>399</v>
      </c>
      <c r="D118" s="6" t="s">
        <v>400</v>
      </c>
      <c r="E118" s="7" t="s">
        <v>401</v>
      </c>
      <c r="F118" s="13"/>
      <c r="G118" s="14"/>
      <c r="H118" s="15">
        <v>44</v>
      </c>
      <c r="I118" s="15">
        <v>11</v>
      </c>
      <c r="J118" s="15">
        <v>220</v>
      </c>
      <c r="K118" s="5">
        <v>25</v>
      </c>
      <c r="L118" s="16">
        <v>20.599999999999998</v>
      </c>
      <c r="M118" s="12"/>
      <c r="N118" s="14">
        <f>L118*M118</f>
        <v>0</v>
      </c>
      <c r="O118" s="23">
        <f>0.046*M118</f>
        <v>0</v>
      </c>
      <c r="P118" s="24">
        <f>0.00034*M118</f>
        <v>0</v>
      </c>
      <c r="Q118" s="25"/>
      <c r="R118" s="26"/>
      <c r="S118" s="26" t="s">
        <v>93</v>
      </c>
      <c r="T118" s="6" t="str">
        <f>HYPERLINK("https://kanzpp.ru/api/getInfo/image/ea5bf814-8bbb-11e7-8697-5cf3fc4a2490")</f>
        <v>https://kanzpp.ru/api/getInfo/image/ea5bf814-8bbb-11e7-8697-5cf3fc4a2490</v>
      </c>
      <c r="U118" s="6"/>
      <c r="V118" s="33" t="s">
        <v>35</v>
      </c>
    </row>
    <row r="119" spans="2:22" ht="22.95" customHeight="1" outlineLevel="3" x14ac:dyDescent="0.2">
      <c r="B119" s="81" t="s">
        <v>402</v>
      </c>
      <c r="C119" s="81"/>
      <c r="D119" s="81"/>
      <c r="L119">
        <v>0</v>
      </c>
    </row>
    <row r="120" spans="2:22" ht="21" customHeight="1" outlineLevel="4" x14ac:dyDescent="0.2">
      <c r="B120" s="5">
        <v>98</v>
      </c>
      <c r="C120" s="6" t="s">
        <v>403</v>
      </c>
      <c r="D120" s="6" t="s">
        <v>404</v>
      </c>
      <c r="E120" s="7" t="s">
        <v>152</v>
      </c>
      <c r="F120" s="13"/>
      <c r="G120" s="14"/>
      <c r="H120" s="15">
        <v>50</v>
      </c>
      <c r="I120" s="14"/>
      <c r="J120" s="15">
        <v>120</v>
      </c>
      <c r="K120" s="5">
        <v>2</v>
      </c>
      <c r="L120" s="16">
        <v>113.33333333333333</v>
      </c>
      <c r="M120" s="12"/>
      <c r="N120" s="14">
        <f>L120*M120</f>
        <v>0</v>
      </c>
      <c r="O120" s="23">
        <f>0.094*M120</f>
        <v>0</v>
      </c>
      <c r="P120" s="24">
        <f>0.00158*M120</f>
        <v>0</v>
      </c>
      <c r="Q120" s="25"/>
      <c r="R120" s="26"/>
      <c r="S120" s="26" t="s">
        <v>29</v>
      </c>
      <c r="T120" s="6" t="str">
        <f>HYPERLINK("https://kanzpp.ru/api/getInfo/image/0016c5b5-243f-11ed-a216-ac1f6b442185")</f>
        <v>https://kanzpp.ru/api/getInfo/image/0016c5b5-243f-11ed-a216-ac1f6b442185</v>
      </c>
      <c r="U120" s="6"/>
      <c r="V120" s="33" t="s">
        <v>35</v>
      </c>
    </row>
    <row r="121" spans="2:22" ht="21" customHeight="1" outlineLevel="4" x14ac:dyDescent="0.2">
      <c r="B121" s="5">
        <v>99</v>
      </c>
      <c r="C121" s="6" t="s">
        <v>405</v>
      </c>
      <c r="D121" s="6" t="s">
        <v>406</v>
      </c>
      <c r="E121" s="7" t="s">
        <v>407</v>
      </c>
      <c r="F121" s="13"/>
      <c r="G121" s="14"/>
      <c r="H121" s="15">
        <v>10</v>
      </c>
      <c r="I121" s="14"/>
      <c r="J121" s="15">
        <v>22</v>
      </c>
      <c r="K121" s="5">
        <v>1</v>
      </c>
      <c r="L121" s="16">
        <v>189.34666666666666</v>
      </c>
      <c r="M121" s="12"/>
      <c r="N121" s="14">
        <f>L121*M121</f>
        <v>0</v>
      </c>
      <c r="O121" s="27">
        <f>1.3*M121</f>
        <v>0</v>
      </c>
      <c r="P121" s="24">
        <f>0.00019*M121</f>
        <v>0</v>
      </c>
      <c r="Q121" s="25"/>
      <c r="R121" s="26" t="s">
        <v>408</v>
      </c>
      <c r="S121" s="26" t="s">
        <v>93</v>
      </c>
      <c r="T121" s="6"/>
      <c r="U121" s="6"/>
      <c r="V121" s="33" t="s">
        <v>35</v>
      </c>
    </row>
    <row r="122" spans="2:22" ht="21" customHeight="1" outlineLevel="4" x14ac:dyDescent="0.2">
      <c r="B122" s="2">
        <v>100</v>
      </c>
      <c r="C122" s="3" t="s">
        <v>409</v>
      </c>
      <c r="D122" s="3" t="s">
        <v>410</v>
      </c>
      <c r="E122" s="4" t="s">
        <v>411</v>
      </c>
      <c r="F122" s="8"/>
      <c r="G122" s="9"/>
      <c r="H122" s="10">
        <v>600</v>
      </c>
      <c r="I122" s="10">
        <v>3</v>
      </c>
      <c r="J122" s="10">
        <v>111</v>
      </c>
      <c r="K122" s="2">
        <v>3</v>
      </c>
      <c r="L122" s="18">
        <v>8.84</v>
      </c>
      <c r="M122" s="12"/>
      <c r="N122" s="9">
        <f>L122*M122</f>
        <v>0</v>
      </c>
      <c r="O122" s="11">
        <f>0.07*M122</f>
        <v>0</v>
      </c>
      <c r="P122" s="30">
        <f>0.00022*M122</f>
        <v>0</v>
      </c>
      <c r="Q122" s="21"/>
      <c r="R122" s="22"/>
      <c r="S122" s="22" t="s">
        <v>93</v>
      </c>
      <c r="T122" s="3"/>
      <c r="U122" s="3"/>
      <c r="V122" s="32" t="s">
        <v>30</v>
      </c>
    </row>
    <row r="123" spans="2:22" ht="22.95" customHeight="1" outlineLevel="3" x14ac:dyDescent="0.2">
      <c r="B123" s="81" t="s">
        <v>412</v>
      </c>
      <c r="C123" s="81"/>
      <c r="D123" s="81"/>
      <c r="L123">
        <v>0</v>
      </c>
    </row>
    <row r="124" spans="2:22" ht="21" customHeight="1" outlineLevel="4" x14ac:dyDescent="0.2">
      <c r="B124" s="5">
        <v>101</v>
      </c>
      <c r="C124" s="6" t="s">
        <v>413</v>
      </c>
      <c r="D124" s="6" t="s">
        <v>414</v>
      </c>
      <c r="E124" s="7" t="s">
        <v>415</v>
      </c>
      <c r="F124" s="13"/>
      <c r="G124" s="14"/>
      <c r="H124" s="15">
        <v>600</v>
      </c>
      <c r="I124" s="15">
        <v>12</v>
      </c>
      <c r="J124" s="15">
        <v>564</v>
      </c>
      <c r="K124" s="5">
        <v>150</v>
      </c>
      <c r="L124" s="16">
        <v>1.32</v>
      </c>
      <c r="M124" s="12"/>
      <c r="N124" s="14">
        <f t="shared" ref="N124:N133" si="5">L124*M124</f>
        <v>0</v>
      </c>
      <c r="O124" s="28">
        <f>0.02*M124</f>
        <v>0</v>
      </c>
      <c r="P124" s="24">
        <f>0.00001*M124</f>
        <v>0</v>
      </c>
      <c r="Q124" s="25"/>
      <c r="R124" s="26"/>
      <c r="S124" s="26" t="s">
        <v>93</v>
      </c>
      <c r="T124" s="6" t="str">
        <f>HYPERLINK("https://kanzpp.ru/api/getInfo/image/64439749-4b07-11ee-a244-00155d82e902")</f>
        <v>https://kanzpp.ru/api/getInfo/image/64439749-4b07-11ee-a244-00155d82e902</v>
      </c>
      <c r="U124" s="6"/>
      <c r="V124" s="33" t="s">
        <v>35</v>
      </c>
    </row>
    <row r="125" spans="2:22" ht="21" customHeight="1" outlineLevel="4" x14ac:dyDescent="0.2">
      <c r="B125" s="5">
        <v>102</v>
      </c>
      <c r="C125" s="6" t="s">
        <v>416</v>
      </c>
      <c r="D125" s="6" t="s">
        <v>417</v>
      </c>
      <c r="E125" s="7" t="s">
        <v>418</v>
      </c>
      <c r="F125" s="13"/>
      <c r="G125" s="14"/>
      <c r="H125" s="15">
        <v>720</v>
      </c>
      <c r="I125" s="15">
        <v>36</v>
      </c>
      <c r="J125" s="17">
        <v>3196</v>
      </c>
      <c r="K125" s="5">
        <v>72</v>
      </c>
      <c r="L125" s="16">
        <v>3.9866666666666668</v>
      </c>
      <c r="M125" s="12"/>
      <c r="N125" s="14">
        <f t="shared" si="5"/>
        <v>0</v>
      </c>
      <c r="O125" s="23">
        <f>0.007*M125</f>
        <v>0</v>
      </c>
      <c r="P125" s="24">
        <f>0.00001*M125</f>
        <v>0</v>
      </c>
      <c r="Q125" s="25"/>
      <c r="R125" s="26"/>
      <c r="S125" s="26" t="s">
        <v>93</v>
      </c>
      <c r="T125" s="6" t="str">
        <f>HYPERLINK("https://kanzpp.ru/api/getInfo/image/5e6ee34d-ee65-11e9-a235-ac1f6b442184")</f>
        <v>https://kanzpp.ru/api/getInfo/image/5e6ee34d-ee65-11e9-a235-ac1f6b442184</v>
      </c>
      <c r="U125" s="6" t="s">
        <v>419</v>
      </c>
      <c r="V125" s="33" t="s">
        <v>35</v>
      </c>
    </row>
    <row r="126" spans="2:22" ht="21" customHeight="1" outlineLevel="4" x14ac:dyDescent="0.2">
      <c r="B126" s="2">
        <v>103</v>
      </c>
      <c r="C126" s="3" t="s">
        <v>420</v>
      </c>
      <c r="D126" s="3" t="s">
        <v>421</v>
      </c>
      <c r="E126" s="4" t="s">
        <v>422</v>
      </c>
      <c r="F126" s="8"/>
      <c r="G126" s="9"/>
      <c r="H126" s="34">
        <v>1728</v>
      </c>
      <c r="I126" s="10">
        <v>48</v>
      </c>
      <c r="J126" s="10">
        <v>204</v>
      </c>
      <c r="K126" s="2">
        <v>12</v>
      </c>
      <c r="L126" s="18">
        <v>21.373333333333335</v>
      </c>
      <c r="M126" s="12"/>
      <c r="N126" s="9">
        <f t="shared" si="5"/>
        <v>0</v>
      </c>
      <c r="O126" s="29">
        <f>0.018*M126</f>
        <v>0</v>
      </c>
      <c r="P126" s="30">
        <f>0.00005*M126</f>
        <v>0</v>
      </c>
      <c r="Q126" s="21"/>
      <c r="R126" s="22" t="s">
        <v>423</v>
      </c>
      <c r="S126" s="22" t="s">
        <v>93</v>
      </c>
      <c r="T126" s="3"/>
      <c r="U126" s="3"/>
      <c r="V126" s="32" t="s">
        <v>30</v>
      </c>
    </row>
    <row r="127" spans="2:22" ht="21" customHeight="1" outlineLevel="4" x14ac:dyDescent="0.2">
      <c r="B127" s="5">
        <v>104</v>
      </c>
      <c r="C127" s="6" t="s">
        <v>424</v>
      </c>
      <c r="D127" s="6" t="s">
        <v>425</v>
      </c>
      <c r="E127" s="7" t="s">
        <v>426</v>
      </c>
      <c r="F127" s="13"/>
      <c r="G127" s="14"/>
      <c r="H127" s="15">
        <v>200</v>
      </c>
      <c r="I127" s="15">
        <v>50</v>
      </c>
      <c r="J127" s="15">
        <v>250</v>
      </c>
      <c r="K127" s="5">
        <v>50</v>
      </c>
      <c r="L127" s="16">
        <v>11.986666666666666</v>
      </c>
      <c r="M127" s="12"/>
      <c r="N127" s="14">
        <f t="shared" si="5"/>
        <v>0</v>
      </c>
      <c r="O127" s="23">
        <f>0.047*M127</f>
        <v>0</v>
      </c>
      <c r="P127" s="24">
        <f>0.00021*M127</f>
        <v>0</v>
      </c>
      <c r="Q127" s="25"/>
      <c r="R127" s="26" t="s">
        <v>427</v>
      </c>
      <c r="S127" s="26" t="s">
        <v>93</v>
      </c>
      <c r="T127" s="6" t="str">
        <f>HYPERLINK("https://kanzpp.ru/api/getInfo/image/c1f7d295-20cf-11ea-a237-ac1f6b442184")</f>
        <v>https://kanzpp.ru/api/getInfo/image/c1f7d295-20cf-11ea-a237-ac1f6b442184</v>
      </c>
      <c r="U127" s="6"/>
      <c r="V127" s="33" t="s">
        <v>35</v>
      </c>
    </row>
    <row r="128" spans="2:22" ht="21" customHeight="1" outlineLevel="4" x14ac:dyDescent="0.2">
      <c r="B128" s="5">
        <v>105</v>
      </c>
      <c r="C128" s="6" t="s">
        <v>428</v>
      </c>
      <c r="D128" s="6" t="s">
        <v>429</v>
      </c>
      <c r="E128" s="7" t="s">
        <v>430</v>
      </c>
      <c r="F128" s="13"/>
      <c r="G128" s="14"/>
      <c r="H128" s="15">
        <v>288</v>
      </c>
      <c r="I128" s="14"/>
      <c r="J128" s="15">
        <v>1</v>
      </c>
      <c r="K128" s="5">
        <v>1</v>
      </c>
      <c r="L128" s="16">
        <v>6.6533333333333333</v>
      </c>
      <c r="M128" s="12"/>
      <c r="N128" s="14">
        <f t="shared" si="5"/>
        <v>0</v>
      </c>
      <c r="O128" s="23">
        <f>0.037*M128</f>
        <v>0</v>
      </c>
      <c r="P128" s="24">
        <f>0.00014*M128</f>
        <v>0</v>
      </c>
      <c r="Q128" s="25"/>
      <c r="R128" s="26"/>
      <c r="S128" s="26" t="s">
        <v>93</v>
      </c>
      <c r="T128" s="6" t="str">
        <f>HYPERLINK("https://kanzpp.ru/api/getInfo/image/3cc3a49c-601f-11ed-a229-00155d82e902")</f>
        <v>https://kanzpp.ru/api/getInfo/image/3cc3a49c-601f-11ed-a229-00155d82e902</v>
      </c>
      <c r="U128" s="6" t="s">
        <v>431</v>
      </c>
      <c r="V128" s="33" t="s">
        <v>35</v>
      </c>
    </row>
    <row r="129" spans="2:22" ht="21" customHeight="1" outlineLevel="4" x14ac:dyDescent="0.2">
      <c r="B129" s="5">
        <v>106</v>
      </c>
      <c r="C129" s="6" t="s">
        <v>432</v>
      </c>
      <c r="D129" s="6" t="s">
        <v>433</v>
      </c>
      <c r="E129" s="7" t="s">
        <v>434</v>
      </c>
      <c r="F129" s="13"/>
      <c r="G129" s="14"/>
      <c r="H129" s="15">
        <v>576</v>
      </c>
      <c r="I129" s="15">
        <v>12</v>
      </c>
      <c r="J129" s="14" t="s">
        <v>144</v>
      </c>
      <c r="K129" s="5">
        <v>1</v>
      </c>
      <c r="L129" s="16">
        <v>5.32</v>
      </c>
      <c r="M129" s="12"/>
      <c r="N129" s="14">
        <f t="shared" si="5"/>
        <v>0</v>
      </c>
      <c r="O129" s="23">
        <f>0.019*M129</f>
        <v>0</v>
      </c>
      <c r="P129" s="24">
        <f>0.00005*M129</f>
        <v>0</v>
      </c>
      <c r="Q129" s="25"/>
      <c r="R129" s="26"/>
      <c r="S129" s="26" t="s">
        <v>93</v>
      </c>
      <c r="T129" s="6"/>
      <c r="U129" s="6" t="s">
        <v>435</v>
      </c>
      <c r="V129" s="33" t="s">
        <v>35</v>
      </c>
    </row>
    <row r="130" spans="2:22" ht="21" customHeight="1" outlineLevel="4" x14ac:dyDescent="0.2">
      <c r="B130" s="5">
        <v>107</v>
      </c>
      <c r="C130" s="6" t="s">
        <v>436</v>
      </c>
      <c r="D130" s="6" t="s">
        <v>437</v>
      </c>
      <c r="E130" s="7" t="s">
        <v>438</v>
      </c>
      <c r="F130" s="13"/>
      <c r="G130" s="14"/>
      <c r="H130" s="15">
        <v>576</v>
      </c>
      <c r="I130" s="15">
        <v>12</v>
      </c>
      <c r="J130" s="15">
        <v>16</v>
      </c>
      <c r="K130" s="5">
        <v>12</v>
      </c>
      <c r="L130" s="16">
        <v>10.533333333333333</v>
      </c>
      <c r="M130" s="12"/>
      <c r="N130" s="14">
        <f t="shared" si="5"/>
        <v>0</v>
      </c>
      <c r="O130" s="23">
        <f>0.019*M130</f>
        <v>0</v>
      </c>
      <c r="P130" s="24">
        <f>0.00005*M130</f>
        <v>0</v>
      </c>
      <c r="Q130" s="25"/>
      <c r="R130" s="26"/>
      <c r="S130" s="26" t="s">
        <v>93</v>
      </c>
      <c r="T130" s="6"/>
      <c r="U130" s="6" t="s">
        <v>439</v>
      </c>
      <c r="V130" s="33" t="s">
        <v>35</v>
      </c>
    </row>
    <row r="131" spans="2:22" ht="21" customHeight="1" outlineLevel="4" x14ac:dyDescent="0.2">
      <c r="B131" s="5">
        <v>108</v>
      </c>
      <c r="C131" s="6" t="s">
        <v>440</v>
      </c>
      <c r="D131" s="6" t="s">
        <v>441</v>
      </c>
      <c r="E131" s="7" t="s">
        <v>442</v>
      </c>
      <c r="F131" s="13"/>
      <c r="G131" s="14"/>
      <c r="H131" s="15">
        <v>48</v>
      </c>
      <c r="I131" s="15">
        <v>12</v>
      </c>
      <c r="J131" s="17">
        <v>3362</v>
      </c>
      <c r="K131" s="5">
        <v>12</v>
      </c>
      <c r="L131" s="16">
        <v>213.32000000000002</v>
      </c>
      <c r="M131" s="12"/>
      <c r="N131" s="14">
        <f t="shared" si="5"/>
        <v>0</v>
      </c>
      <c r="O131" s="23">
        <f>11.132*M131</f>
        <v>0</v>
      </c>
      <c r="P131" s="31">
        <f>0.0439*M131</f>
        <v>0</v>
      </c>
      <c r="Q131" s="25"/>
      <c r="R131" s="26"/>
      <c r="S131" s="26" t="s">
        <v>93</v>
      </c>
      <c r="T131" s="6" t="str">
        <f>HYPERLINK("https://kanzpp.ru/api/getInfo/image/513b746b-803c-11ec-a211-ac1f6b442185")</f>
        <v>https://kanzpp.ru/api/getInfo/image/513b746b-803c-11ec-a211-ac1f6b442185</v>
      </c>
      <c r="U131" s="6" t="s">
        <v>443</v>
      </c>
      <c r="V131" s="33" t="s">
        <v>35</v>
      </c>
    </row>
    <row r="132" spans="2:22" ht="21" customHeight="1" outlineLevel="4" x14ac:dyDescent="0.2">
      <c r="B132" s="5">
        <v>109</v>
      </c>
      <c r="C132" s="6" t="s">
        <v>444</v>
      </c>
      <c r="D132" s="6" t="s">
        <v>445</v>
      </c>
      <c r="E132" s="7" t="s">
        <v>446</v>
      </c>
      <c r="F132" s="13"/>
      <c r="G132" s="14"/>
      <c r="H132" s="15">
        <v>36</v>
      </c>
      <c r="I132" s="14"/>
      <c r="J132" s="15">
        <v>3</v>
      </c>
      <c r="K132" s="5">
        <v>1</v>
      </c>
      <c r="L132" s="16">
        <v>343.98666666666668</v>
      </c>
      <c r="M132" s="12"/>
      <c r="N132" s="14">
        <f t="shared" si="5"/>
        <v>0</v>
      </c>
      <c r="O132" s="23">
        <f>0.271*M132</f>
        <v>0</v>
      </c>
      <c r="P132" s="24">
        <f>0.00122*M132</f>
        <v>0</v>
      </c>
      <c r="Q132" s="25"/>
      <c r="R132" s="26"/>
      <c r="S132" s="26" t="s">
        <v>93</v>
      </c>
      <c r="T132" s="6"/>
      <c r="U132" s="6" t="s">
        <v>447</v>
      </c>
      <c r="V132" s="33" t="s">
        <v>35</v>
      </c>
    </row>
    <row r="133" spans="2:22" ht="21" customHeight="1" outlineLevel="4" x14ac:dyDescent="0.2">
      <c r="B133" s="5">
        <v>110</v>
      </c>
      <c r="C133" s="6" t="s">
        <v>448</v>
      </c>
      <c r="D133" s="6" t="s">
        <v>449</v>
      </c>
      <c r="E133" s="7" t="s">
        <v>450</v>
      </c>
      <c r="F133" s="13"/>
      <c r="G133" s="14"/>
      <c r="H133" s="15">
        <v>960</v>
      </c>
      <c r="I133" s="15">
        <v>12</v>
      </c>
      <c r="J133" s="15">
        <v>72</v>
      </c>
      <c r="K133" s="5">
        <v>12</v>
      </c>
      <c r="L133" s="16">
        <v>13.200000000000001</v>
      </c>
      <c r="M133" s="12"/>
      <c r="N133" s="14">
        <f t="shared" si="5"/>
        <v>0</v>
      </c>
      <c r="O133" s="23">
        <f>0.008*M133</f>
        <v>0</v>
      </c>
      <c r="P133" s="14">
        <v>0</v>
      </c>
      <c r="Q133" s="25"/>
      <c r="R133" s="26"/>
      <c r="S133" s="26" t="s">
        <v>93</v>
      </c>
      <c r="T133" s="6" t="str">
        <f>HYPERLINK("https://kanzpp.ru/api/getInfo/image/9d086069-cd39-11ed-a230-00155d82e902")</f>
        <v>https://kanzpp.ru/api/getInfo/image/9d086069-cd39-11ed-a230-00155d82e902</v>
      </c>
      <c r="U133" s="6"/>
      <c r="V133" s="33" t="s">
        <v>35</v>
      </c>
    </row>
    <row r="134" spans="2:22" ht="22.95" customHeight="1" outlineLevel="3" x14ac:dyDescent="0.2">
      <c r="B134" s="81" t="s">
        <v>451</v>
      </c>
      <c r="C134" s="81"/>
      <c r="D134" s="81"/>
      <c r="L134">
        <v>0</v>
      </c>
    </row>
    <row r="135" spans="2:22" ht="21" customHeight="1" outlineLevel="4" x14ac:dyDescent="0.2">
      <c r="B135" s="2">
        <v>111</v>
      </c>
      <c r="C135" s="3" t="s">
        <v>452</v>
      </c>
      <c r="D135" s="3" t="s">
        <v>453</v>
      </c>
      <c r="E135" s="4" t="s">
        <v>454</v>
      </c>
      <c r="F135" s="8"/>
      <c r="G135" s="9"/>
      <c r="H135" s="10">
        <v>45</v>
      </c>
      <c r="I135" s="9"/>
      <c r="J135" s="10">
        <v>3</v>
      </c>
      <c r="K135" s="2">
        <v>1</v>
      </c>
      <c r="L135" s="19">
        <v>15.6</v>
      </c>
      <c r="M135" s="12"/>
      <c r="N135" s="9">
        <f>L135*M135</f>
        <v>0</v>
      </c>
      <c r="O135" s="29">
        <f>0.028*M135</f>
        <v>0</v>
      </c>
      <c r="P135" s="30">
        <f>0.00047*M135</f>
        <v>0</v>
      </c>
      <c r="Q135" s="21"/>
      <c r="R135" s="22"/>
      <c r="S135" s="22" t="s">
        <v>93</v>
      </c>
      <c r="T135" s="3" t="str">
        <f>HYPERLINK("https://kanzpp.ru/api/getInfo/image/c87ff14a-7c31-11e7-8697-5cf3fc4a2490")</f>
        <v>https://kanzpp.ru/api/getInfo/image/c87ff14a-7c31-11e7-8697-5cf3fc4a2490</v>
      </c>
      <c r="U135" s="3" t="s">
        <v>455</v>
      </c>
      <c r="V135" s="32" t="s">
        <v>30</v>
      </c>
    </row>
    <row r="136" spans="2:22" ht="22.95" customHeight="1" outlineLevel="3" x14ac:dyDescent="0.2">
      <c r="B136" s="81" t="s">
        <v>456</v>
      </c>
      <c r="C136" s="81"/>
      <c r="D136" s="81"/>
      <c r="L136">
        <v>0</v>
      </c>
    </row>
    <row r="137" spans="2:22" ht="21" customHeight="1" outlineLevel="4" x14ac:dyDescent="0.2">
      <c r="B137" s="5">
        <v>112</v>
      </c>
      <c r="C137" s="6" t="s">
        <v>457</v>
      </c>
      <c r="D137" s="6" t="s">
        <v>458</v>
      </c>
      <c r="E137" s="7" t="s">
        <v>459</v>
      </c>
      <c r="F137" s="13"/>
      <c r="G137" s="14"/>
      <c r="H137" s="15">
        <v>200</v>
      </c>
      <c r="I137" s="15">
        <v>4</v>
      </c>
      <c r="J137" s="15">
        <v>508</v>
      </c>
      <c r="K137" s="5">
        <v>20</v>
      </c>
      <c r="L137" s="16">
        <v>106.65333333333332</v>
      </c>
      <c r="M137" s="12"/>
      <c r="N137" s="14">
        <f>L137*M137</f>
        <v>0</v>
      </c>
      <c r="O137" s="23">
        <f>0.015*M137</f>
        <v>0</v>
      </c>
      <c r="P137" s="24">
        <f>0.00003*M137</f>
        <v>0</v>
      </c>
      <c r="Q137" s="25"/>
      <c r="R137" s="26"/>
      <c r="S137" s="26" t="s">
        <v>93</v>
      </c>
      <c r="T137" s="6" t="str">
        <f>HYPERLINK("https://kanzpp.ru/api/getInfo/image/2c5e1743-a9e6-11e9-a22d-ac1f6b442184")</f>
        <v>https://kanzpp.ru/api/getInfo/image/2c5e1743-a9e6-11e9-a22d-ac1f6b442184</v>
      </c>
      <c r="U137" s="6" t="s">
        <v>460</v>
      </c>
      <c r="V137" s="33" t="s">
        <v>35</v>
      </c>
    </row>
    <row r="138" spans="2:22" ht="21" customHeight="1" outlineLevel="4" x14ac:dyDescent="0.2">
      <c r="B138" s="5">
        <v>113</v>
      </c>
      <c r="C138" s="6" t="s">
        <v>461</v>
      </c>
      <c r="D138" s="6" t="s">
        <v>462</v>
      </c>
      <c r="E138" s="7" t="s">
        <v>463</v>
      </c>
      <c r="F138" s="13"/>
      <c r="G138" s="14"/>
      <c r="H138" s="15">
        <v>100</v>
      </c>
      <c r="I138" s="15">
        <v>4</v>
      </c>
      <c r="J138" s="17">
        <v>1476</v>
      </c>
      <c r="K138" s="5">
        <v>20</v>
      </c>
      <c r="L138" s="16">
        <v>59.986666666666672</v>
      </c>
      <c r="M138" s="12"/>
      <c r="N138" s="14">
        <f>L138*M138</f>
        <v>0</v>
      </c>
      <c r="O138" s="23">
        <f>0.022*M138</f>
        <v>0</v>
      </c>
      <c r="P138" s="24">
        <f>0.00055*M138</f>
        <v>0</v>
      </c>
      <c r="Q138" s="25"/>
      <c r="R138" s="26"/>
      <c r="S138" s="26" t="s">
        <v>93</v>
      </c>
      <c r="T138" s="6" t="str">
        <f>HYPERLINK("https://kanzpp.ru/api/getInfo/image/733b55bf-a963-11e9-a22d-ac1f6b442184")</f>
        <v>https://kanzpp.ru/api/getInfo/image/733b55bf-a963-11e9-a22d-ac1f6b442184</v>
      </c>
      <c r="U138" s="6" t="s">
        <v>464</v>
      </c>
      <c r="V138" s="33" t="s">
        <v>35</v>
      </c>
    </row>
    <row r="139" spans="2:22" ht="21" customHeight="1" outlineLevel="4" x14ac:dyDescent="0.2">
      <c r="B139" s="5">
        <v>114</v>
      </c>
      <c r="C139" s="6" t="s">
        <v>465</v>
      </c>
      <c r="D139" s="6" t="s">
        <v>466</v>
      </c>
      <c r="E139" s="7" t="s">
        <v>467</v>
      </c>
      <c r="F139" s="13"/>
      <c r="G139" s="14"/>
      <c r="H139" s="15">
        <v>480</v>
      </c>
      <c r="I139" s="15">
        <v>4</v>
      </c>
      <c r="J139" s="17">
        <v>1259</v>
      </c>
      <c r="K139" s="5">
        <v>1</v>
      </c>
      <c r="L139" s="16">
        <v>43.986666666666672</v>
      </c>
      <c r="M139" s="12"/>
      <c r="N139" s="14">
        <f>L139*M139</f>
        <v>0</v>
      </c>
      <c r="O139" s="23">
        <f>0.004*M139</f>
        <v>0</v>
      </c>
      <c r="P139" s="24">
        <f>0.00001*M139</f>
        <v>0</v>
      </c>
      <c r="Q139" s="25"/>
      <c r="R139" s="26"/>
      <c r="S139" s="26" t="s">
        <v>93</v>
      </c>
      <c r="T139" s="6" t="str">
        <f>HYPERLINK("https://kanzpp.ru/api/getInfo/image/1603859a-a961-11e9-a22d-ac1f6b442184")</f>
        <v>https://kanzpp.ru/api/getInfo/image/1603859a-a961-11e9-a22d-ac1f6b442184</v>
      </c>
      <c r="U139" s="6"/>
      <c r="V139" s="33" t="s">
        <v>35</v>
      </c>
    </row>
    <row r="140" spans="2:22" ht="21" customHeight="1" outlineLevel="4" x14ac:dyDescent="0.2">
      <c r="B140" s="5">
        <v>115</v>
      </c>
      <c r="C140" s="6" t="s">
        <v>468</v>
      </c>
      <c r="D140" s="6" t="s">
        <v>469</v>
      </c>
      <c r="E140" s="7" t="s">
        <v>470</v>
      </c>
      <c r="F140" s="13"/>
      <c r="G140" s="14"/>
      <c r="H140" s="15">
        <v>400</v>
      </c>
      <c r="I140" s="15">
        <v>4</v>
      </c>
      <c r="J140" s="15">
        <v>12</v>
      </c>
      <c r="K140" s="5">
        <v>4</v>
      </c>
      <c r="L140" s="16">
        <v>79.986666666666665</v>
      </c>
      <c r="M140" s="12"/>
      <c r="N140" s="14">
        <f>L140*M140</f>
        <v>0</v>
      </c>
      <c r="O140" s="23">
        <f>0.045*M140</f>
        <v>0</v>
      </c>
      <c r="P140" s="24">
        <f>0.00003*M140</f>
        <v>0</v>
      </c>
      <c r="Q140" s="25"/>
      <c r="R140" s="26"/>
      <c r="S140" s="26" t="s">
        <v>93</v>
      </c>
      <c r="T140" s="6" t="str">
        <f>HYPERLINK("https://kanzpp.ru/api/getInfo/image/f85707b0-a962-11e9-a22d-ac1f6b442184")</f>
        <v>https://kanzpp.ru/api/getInfo/image/f85707b0-a962-11e9-a22d-ac1f6b442184</v>
      </c>
      <c r="U140" s="6" t="s">
        <v>471</v>
      </c>
      <c r="V140" s="33" t="s">
        <v>35</v>
      </c>
    </row>
    <row r="141" spans="2:22" ht="21" customHeight="1" outlineLevel="4" x14ac:dyDescent="0.2">
      <c r="B141" s="5">
        <v>116</v>
      </c>
      <c r="C141" s="6" t="s">
        <v>472</v>
      </c>
      <c r="D141" s="6" t="s">
        <v>473</v>
      </c>
      <c r="E141" s="7" t="s">
        <v>474</v>
      </c>
      <c r="F141" s="13"/>
      <c r="G141" s="14"/>
      <c r="H141" s="15">
        <v>320</v>
      </c>
      <c r="I141" s="15">
        <v>4</v>
      </c>
      <c r="J141" s="15">
        <v>112</v>
      </c>
      <c r="K141" s="5">
        <v>1</v>
      </c>
      <c r="L141" s="16">
        <v>79.986666666666665</v>
      </c>
      <c r="M141" s="12"/>
      <c r="N141" s="14">
        <f>L141*M141</f>
        <v>0</v>
      </c>
      <c r="O141" s="27">
        <f>2.3*M141</f>
        <v>0</v>
      </c>
      <c r="P141" s="23">
        <f>0.009*M141</f>
        <v>0</v>
      </c>
      <c r="Q141" s="25"/>
      <c r="R141" s="26"/>
      <c r="S141" s="26" t="s">
        <v>93</v>
      </c>
      <c r="T141" s="6" t="str">
        <f>HYPERLINK("https://kanzpp.ru/api/getInfo/image/434f2841-a964-11e9-a22d-ac1f6b442184")</f>
        <v>https://kanzpp.ru/api/getInfo/image/434f2841-a964-11e9-a22d-ac1f6b442184</v>
      </c>
      <c r="U141" s="6"/>
      <c r="V141" s="33" t="s">
        <v>35</v>
      </c>
    </row>
    <row r="142" spans="2:22" ht="22.95" customHeight="1" outlineLevel="2" x14ac:dyDescent="0.2">
      <c r="B142" s="80" t="s">
        <v>475</v>
      </c>
      <c r="C142" s="80"/>
      <c r="D142" s="80"/>
      <c r="L142">
        <v>0</v>
      </c>
    </row>
    <row r="143" spans="2:22" ht="21" customHeight="1" outlineLevel="3" x14ac:dyDescent="0.2">
      <c r="B143" s="5">
        <v>117</v>
      </c>
      <c r="C143" s="6" t="s">
        <v>476</v>
      </c>
      <c r="D143" s="6" t="s">
        <v>477</v>
      </c>
      <c r="E143" s="7" t="s">
        <v>478</v>
      </c>
      <c r="F143" s="13"/>
      <c r="G143" s="14"/>
      <c r="H143" s="15">
        <v>40</v>
      </c>
      <c r="I143" s="14"/>
      <c r="J143" s="15">
        <v>65</v>
      </c>
      <c r="K143" s="5">
        <v>2</v>
      </c>
      <c r="L143" s="16">
        <v>67.986666666666665</v>
      </c>
      <c r="M143" s="12"/>
      <c r="N143" s="14">
        <f t="shared" ref="N143:N149" si="6">L143*M143</f>
        <v>0</v>
      </c>
      <c r="O143" s="23">
        <f>0.229*M143</f>
        <v>0</v>
      </c>
      <c r="P143" s="24">
        <f>0.00062*M143</f>
        <v>0</v>
      </c>
      <c r="Q143" s="25"/>
      <c r="R143" s="26"/>
      <c r="S143" s="26" t="s">
        <v>93</v>
      </c>
      <c r="T143" s="6"/>
      <c r="U143" s="6"/>
      <c r="V143" s="33" t="s">
        <v>35</v>
      </c>
    </row>
    <row r="144" spans="2:22" ht="21" customHeight="1" outlineLevel="3" x14ac:dyDescent="0.2">
      <c r="B144" s="2">
        <v>118</v>
      </c>
      <c r="C144" s="3" t="s">
        <v>479</v>
      </c>
      <c r="D144" s="3" t="s">
        <v>480</v>
      </c>
      <c r="E144" s="4" t="s">
        <v>481</v>
      </c>
      <c r="F144" s="8"/>
      <c r="G144" s="9"/>
      <c r="H144" s="10">
        <v>20</v>
      </c>
      <c r="I144" s="9"/>
      <c r="J144" s="10">
        <v>20</v>
      </c>
      <c r="K144" s="2">
        <v>1</v>
      </c>
      <c r="L144" s="18">
        <v>44.879999999999995</v>
      </c>
      <c r="M144" s="12"/>
      <c r="N144" s="9">
        <f t="shared" si="6"/>
        <v>0</v>
      </c>
      <c r="O144" s="29">
        <f>0.224*M144</f>
        <v>0</v>
      </c>
      <c r="P144" s="30">
        <f>0.00019*M144</f>
        <v>0</v>
      </c>
      <c r="Q144" s="21"/>
      <c r="R144" s="22"/>
      <c r="S144" s="22" t="s">
        <v>93</v>
      </c>
      <c r="T144" s="3"/>
      <c r="U144" s="3" t="s">
        <v>482</v>
      </c>
      <c r="V144" s="32" t="s">
        <v>30</v>
      </c>
    </row>
    <row r="145" spans="2:22" ht="21" customHeight="1" outlineLevel="3" x14ac:dyDescent="0.2">
      <c r="B145" s="5">
        <v>119</v>
      </c>
      <c r="C145" s="6" t="s">
        <v>483</v>
      </c>
      <c r="D145" s="6" t="s">
        <v>484</v>
      </c>
      <c r="E145" s="7" t="s">
        <v>485</v>
      </c>
      <c r="F145" s="13"/>
      <c r="G145" s="14"/>
      <c r="H145" s="15">
        <v>24</v>
      </c>
      <c r="I145" s="14"/>
      <c r="J145" s="15">
        <v>53</v>
      </c>
      <c r="K145" s="5">
        <v>1</v>
      </c>
      <c r="L145" s="16">
        <v>194.22666666666666</v>
      </c>
      <c r="M145" s="12"/>
      <c r="N145" s="14">
        <f t="shared" si="6"/>
        <v>0</v>
      </c>
      <c r="O145" s="23">
        <f>0.329*M145</f>
        <v>0</v>
      </c>
      <c r="P145" s="31">
        <f>0.0004*M145</f>
        <v>0</v>
      </c>
      <c r="Q145" s="25"/>
      <c r="R145" s="26" t="s">
        <v>486</v>
      </c>
      <c r="S145" s="26" t="s">
        <v>93</v>
      </c>
      <c r="T145" s="6" t="str">
        <f>HYPERLINK("https://kanzpp.ru/api/getInfo/image/d9a1df59-391d-11eb-a25e-ac1f6b442184")</f>
        <v>https://kanzpp.ru/api/getInfo/image/d9a1df59-391d-11eb-a25e-ac1f6b442184</v>
      </c>
      <c r="U145" s="6"/>
      <c r="V145" s="33" t="s">
        <v>35</v>
      </c>
    </row>
    <row r="146" spans="2:22" ht="21" customHeight="1" outlineLevel="3" x14ac:dyDescent="0.2">
      <c r="B146" s="5">
        <v>120</v>
      </c>
      <c r="C146" s="6" t="s">
        <v>487</v>
      </c>
      <c r="D146" s="6" t="s">
        <v>488</v>
      </c>
      <c r="E146" s="7" t="s">
        <v>489</v>
      </c>
      <c r="F146" s="13"/>
      <c r="G146" s="14"/>
      <c r="H146" s="15">
        <v>24</v>
      </c>
      <c r="I146" s="14"/>
      <c r="J146" s="15">
        <v>38</v>
      </c>
      <c r="K146" s="5">
        <v>1</v>
      </c>
      <c r="L146" s="16">
        <v>159.86666666666667</v>
      </c>
      <c r="M146" s="12"/>
      <c r="N146" s="14">
        <f t="shared" si="6"/>
        <v>0</v>
      </c>
      <c r="O146" s="23">
        <f>0.329*M146</f>
        <v>0</v>
      </c>
      <c r="P146" s="31">
        <f>0.0004*M146</f>
        <v>0</v>
      </c>
      <c r="Q146" s="25"/>
      <c r="R146" s="26" t="s">
        <v>490</v>
      </c>
      <c r="S146" s="26" t="s">
        <v>93</v>
      </c>
      <c r="T146" s="6" t="str">
        <f>HYPERLINK("https://kanzpp.ru/api/getInfo/image/fcf39f53-391c-11eb-a25e-ac1f6b442184")</f>
        <v>https://kanzpp.ru/api/getInfo/image/fcf39f53-391c-11eb-a25e-ac1f6b442184</v>
      </c>
      <c r="U146" s="6"/>
      <c r="V146" s="33" t="s">
        <v>35</v>
      </c>
    </row>
    <row r="147" spans="2:22" ht="21" customHeight="1" outlineLevel="3" x14ac:dyDescent="0.2">
      <c r="B147" s="5">
        <v>121</v>
      </c>
      <c r="C147" s="6" t="s">
        <v>491</v>
      </c>
      <c r="D147" s="6" t="s">
        <v>492</v>
      </c>
      <c r="E147" s="7" t="s">
        <v>493</v>
      </c>
      <c r="F147" s="13"/>
      <c r="G147" s="14"/>
      <c r="H147" s="15">
        <v>40</v>
      </c>
      <c r="I147" s="14"/>
      <c r="J147" s="15">
        <v>200</v>
      </c>
      <c r="K147" s="5">
        <v>1</v>
      </c>
      <c r="L147" s="16">
        <v>26.653333333333332</v>
      </c>
      <c r="M147" s="12"/>
      <c r="N147" s="14">
        <f t="shared" si="6"/>
        <v>0</v>
      </c>
      <c r="O147" s="23">
        <f>0.085*M147</f>
        <v>0</v>
      </c>
      <c r="P147" s="24">
        <f>0.00015*M147</f>
        <v>0</v>
      </c>
      <c r="Q147" s="25"/>
      <c r="R147" s="26"/>
      <c r="S147" s="26" t="s">
        <v>93</v>
      </c>
      <c r="T147" s="6" t="str">
        <f>HYPERLINK("https://kanzpp.ru/api/getInfo/image/f5c4127c-cecb-11ed-a230-00155d82e902")</f>
        <v>https://kanzpp.ru/api/getInfo/image/f5c4127c-cecb-11ed-a230-00155d82e902</v>
      </c>
      <c r="U147" s="6" t="s">
        <v>494</v>
      </c>
      <c r="V147" s="33" t="s">
        <v>35</v>
      </c>
    </row>
    <row r="148" spans="2:22" ht="21" customHeight="1" outlineLevel="3" x14ac:dyDescent="0.2">
      <c r="B148" s="2">
        <v>122</v>
      </c>
      <c r="C148" s="3" t="s">
        <v>495</v>
      </c>
      <c r="D148" s="3" t="s">
        <v>496</v>
      </c>
      <c r="E148" s="4" t="s">
        <v>497</v>
      </c>
      <c r="F148" s="8"/>
      <c r="G148" s="9"/>
      <c r="H148" s="10">
        <v>40</v>
      </c>
      <c r="I148" s="9"/>
      <c r="J148" s="10">
        <v>168</v>
      </c>
      <c r="K148" s="2">
        <v>1</v>
      </c>
      <c r="L148" s="18">
        <v>48.76</v>
      </c>
      <c r="M148" s="12"/>
      <c r="N148" s="9">
        <f t="shared" si="6"/>
        <v>0</v>
      </c>
      <c r="O148" s="29">
        <f>0.085*M148</f>
        <v>0</v>
      </c>
      <c r="P148" s="30">
        <f>0.00015*M148</f>
        <v>0</v>
      </c>
      <c r="Q148" s="21"/>
      <c r="R148" s="22"/>
      <c r="S148" s="22" t="s">
        <v>93</v>
      </c>
      <c r="T148" s="3" t="str">
        <f>HYPERLINK("https://kanzpp.ru/api/getInfo/image/39d92246-cecc-11ed-a230-00155d82e902")</f>
        <v>https://kanzpp.ru/api/getInfo/image/39d92246-cecc-11ed-a230-00155d82e902</v>
      </c>
      <c r="U148" s="3" t="s">
        <v>498</v>
      </c>
      <c r="V148" s="32" t="s">
        <v>30</v>
      </c>
    </row>
    <row r="149" spans="2:22" ht="21" customHeight="1" outlineLevel="3" x14ac:dyDescent="0.2">
      <c r="B149" s="5">
        <v>123</v>
      </c>
      <c r="C149" s="6" t="s">
        <v>499</v>
      </c>
      <c r="D149" s="6" t="s">
        <v>500</v>
      </c>
      <c r="E149" s="7" t="s">
        <v>501</v>
      </c>
      <c r="F149" s="13"/>
      <c r="G149" s="14"/>
      <c r="H149" s="15">
        <v>20</v>
      </c>
      <c r="I149" s="14"/>
      <c r="J149" s="15">
        <v>93</v>
      </c>
      <c r="K149" s="5">
        <v>1</v>
      </c>
      <c r="L149" s="16">
        <v>106.53333333333335</v>
      </c>
      <c r="M149" s="12"/>
      <c r="N149" s="14">
        <f t="shared" si="6"/>
        <v>0</v>
      </c>
      <c r="O149" s="23">
        <f>0.217*M149</f>
        <v>0</v>
      </c>
      <c r="P149" s="24">
        <f>0.00032*M149</f>
        <v>0</v>
      </c>
      <c r="Q149" s="25"/>
      <c r="R149" s="26"/>
      <c r="S149" s="26" t="s">
        <v>93</v>
      </c>
      <c r="T149" s="6"/>
      <c r="U149" s="6" t="s">
        <v>502</v>
      </c>
      <c r="V149" s="33" t="s">
        <v>35</v>
      </c>
    </row>
    <row r="150" spans="2:22" ht="22.95" customHeight="1" outlineLevel="2" x14ac:dyDescent="0.2">
      <c r="B150" s="80" t="s">
        <v>503</v>
      </c>
      <c r="C150" s="80"/>
      <c r="D150" s="80"/>
      <c r="L150">
        <v>0</v>
      </c>
    </row>
    <row r="151" spans="2:22" ht="21" customHeight="1" outlineLevel="3" x14ac:dyDescent="0.2">
      <c r="B151" s="2">
        <v>124</v>
      </c>
      <c r="C151" s="3" t="s">
        <v>504</v>
      </c>
      <c r="D151" s="3" t="s">
        <v>505</v>
      </c>
      <c r="E151" s="4" t="s">
        <v>506</v>
      </c>
      <c r="F151" s="8"/>
      <c r="G151" s="9"/>
      <c r="H151" s="10">
        <v>100</v>
      </c>
      <c r="I151" s="10">
        <v>10</v>
      </c>
      <c r="J151" s="10">
        <v>90</v>
      </c>
      <c r="K151" s="2">
        <v>10</v>
      </c>
      <c r="L151" s="18">
        <v>1.8399999999999999</v>
      </c>
      <c r="M151" s="12"/>
      <c r="N151" s="9">
        <f>L151*M151</f>
        <v>0</v>
      </c>
      <c r="O151" s="29">
        <f>0.019*M151</f>
        <v>0</v>
      </c>
      <c r="P151" s="30">
        <f>0.00006*M151</f>
        <v>0</v>
      </c>
      <c r="Q151" s="21"/>
      <c r="R151" s="22" t="s">
        <v>507</v>
      </c>
      <c r="S151" s="22" t="s">
        <v>93</v>
      </c>
      <c r="T151" s="3"/>
      <c r="U151" s="3" t="s">
        <v>508</v>
      </c>
      <c r="V151" s="32" t="s">
        <v>30</v>
      </c>
    </row>
    <row r="152" spans="2:22" ht="21" customHeight="1" outlineLevel="3" x14ac:dyDescent="0.2">
      <c r="B152" s="2">
        <v>125</v>
      </c>
      <c r="C152" s="3" t="s">
        <v>509</v>
      </c>
      <c r="D152" s="3" t="s">
        <v>510</v>
      </c>
      <c r="E152" s="4" t="s">
        <v>511</v>
      </c>
      <c r="F152" s="8"/>
      <c r="G152" s="9"/>
      <c r="H152" s="10">
        <v>864</v>
      </c>
      <c r="I152" s="10">
        <v>1</v>
      </c>
      <c r="J152" s="9" t="s">
        <v>144</v>
      </c>
      <c r="K152" s="2">
        <v>1</v>
      </c>
      <c r="L152" s="18">
        <v>12.066666666666668</v>
      </c>
      <c r="M152" s="12"/>
      <c r="N152" s="9">
        <f>L152*M152</f>
        <v>0</v>
      </c>
      <c r="O152" s="29">
        <f>0.017*M152</f>
        <v>0</v>
      </c>
      <c r="P152" s="30">
        <f>0.00027*M152</f>
        <v>0</v>
      </c>
      <c r="Q152" s="21"/>
      <c r="R152" s="22" t="s">
        <v>512</v>
      </c>
      <c r="S152" s="22" t="s">
        <v>93</v>
      </c>
      <c r="T152" s="3"/>
      <c r="U152" s="3"/>
      <c r="V152" s="32" t="s">
        <v>30</v>
      </c>
    </row>
    <row r="153" spans="2:22" ht="21" customHeight="1" outlineLevel="3" x14ac:dyDescent="0.2">
      <c r="B153" s="5">
        <v>126</v>
      </c>
      <c r="C153" s="6" t="s">
        <v>513</v>
      </c>
      <c r="D153" s="6" t="s">
        <v>514</v>
      </c>
      <c r="E153" s="7" t="s">
        <v>515</v>
      </c>
      <c r="F153" s="13"/>
      <c r="G153" s="14"/>
      <c r="H153" s="14"/>
      <c r="I153" s="15">
        <v>100</v>
      </c>
      <c r="J153" s="14" t="s">
        <v>144</v>
      </c>
      <c r="K153" s="5">
        <v>100</v>
      </c>
      <c r="L153" s="16">
        <v>5.32</v>
      </c>
      <c r="M153" s="12"/>
      <c r="N153" s="14">
        <f>L153*M153</f>
        <v>0</v>
      </c>
      <c r="O153" s="23">
        <f>0.035*M153</f>
        <v>0</v>
      </c>
      <c r="P153" s="24">
        <f>0.00008*M153</f>
        <v>0</v>
      </c>
      <c r="Q153" s="25"/>
      <c r="R153" s="26"/>
      <c r="S153" s="26" t="s">
        <v>29</v>
      </c>
      <c r="T153" s="6" t="str">
        <f>HYPERLINK("https://kanzpp.ru/api/getInfo/image/b4d83a29-46a1-11eb-a25e-ac1f6b442184")</f>
        <v>https://kanzpp.ru/api/getInfo/image/b4d83a29-46a1-11eb-a25e-ac1f6b442184</v>
      </c>
      <c r="U153" s="6"/>
      <c r="V153" s="33" t="s">
        <v>35</v>
      </c>
    </row>
    <row r="154" spans="2:22" ht="22.95" customHeight="1" outlineLevel="2" x14ac:dyDescent="0.2">
      <c r="B154" s="80" t="s">
        <v>516</v>
      </c>
      <c r="C154" s="80"/>
      <c r="D154" s="80"/>
      <c r="L154">
        <v>0</v>
      </c>
    </row>
    <row r="155" spans="2:22" ht="22.95" customHeight="1" outlineLevel="3" x14ac:dyDescent="0.2">
      <c r="B155" s="81" t="s">
        <v>517</v>
      </c>
      <c r="C155" s="81"/>
      <c r="D155" s="81"/>
      <c r="L155">
        <v>0</v>
      </c>
    </row>
    <row r="156" spans="2:22" ht="21" customHeight="1" outlineLevel="4" x14ac:dyDescent="0.2">
      <c r="B156" s="5">
        <v>127</v>
      </c>
      <c r="C156" s="6" t="s">
        <v>518</v>
      </c>
      <c r="D156" s="6" t="s">
        <v>519</v>
      </c>
      <c r="E156" s="7" t="s">
        <v>520</v>
      </c>
      <c r="F156" s="13"/>
      <c r="G156" s="14"/>
      <c r="H156" s="15">
        <v>50</v>
      </c>
      <c r="I156" s="14"/>
      <c r="J156" s="15">
        <v>136</v>
      </c>
      <c r="K156" s="5">
        <v>1</v>
      </c>
      <c r="L156" s="16">
        <v>265.33333333333331</v>
      </c>
      <c r="M156" s="12"/>
      <c r="N156" s="14">
        <f t="shared" ref="N156:N168" si="7">L156*M156</f>
        <v>0</v>
      </c>
      <c r="O156" s="23">
        <f>0.214*M156</f>
        <v>0</v>
      </c>
      <c r="P156" s="24">
        <f>0.00557*M156</f>
        <v>0</v>
      </c>
      <c r="Q156" s="25"/>
      <c r="R156" s="26"/>
      <c r="S156" s="26" t="s">
        <v>93</v>
      </c>
      <c r="T156" s="6"/>
      <c r="U156" s="6" t="s">
        <v>521</v>
      </c>
      <c r="V156" s="33" t="s">
        <v>35</v>
      </c>
    </row>
    <row r="157" spans="2:22" ht="21" customHeight="1" outlineLevel="4" x14ac:dyDescent="0.2">
      <c r="B157" s="5">
        <v>128</v>
      </c>
      <c r="C157" s="6" t="s">
        <v>522</v>
      </c>
      <c r="D157" s="6" t="s">
        <v>523</v>
      </c>
      <c r="E157" s="7" t="s">
        <v>524</v>
      </c>
      <c r="F157" s="13"/>
      <c r="G157" s="14"/>
      <c r="H157" s="15">
        <v>50</v>
      </c>
      <c r="I157" s="14"/>
      <c r="J157" s="15">
        <v>179</v>
      </c>
      <c r="K157" s="5">
        <v>1</v>
      </c>
      <c r="L157" s="16">
        <v>198.66666666666666</v>
      </c>
      <c r="M157" s="12"/>
      <c r="N157" s="14">
        <f t="shared" si="7"/>
        <v>0</v>
      </c>
      <c r="O157" s="28">
        <f>0.19*M157</f>
        <v>0</v>
      </c>
      <c r="P157" s="24">
        <f>0.00687*M157</f>
        <v>0</v>
      </c>
      <c r="Q157" s="25"/>
      <c r="R157" s="26"/>
      <c r="S157" s="26" t="s">
        <v>93</v>
      </c>
      <c r="T157" s="6"/>
      <c r="U157" s="6" t="s">
        <v>525</v>
      </c>
      <c r="V157" s="33" t="s">
        <v>35</v>
      </c>
    </row>
    <row r="158" spans="2:22" ht="21" customHeight="1" outlineLevel="4" x14ac:dyDescent="0.2">
      <c r="B158" s="5">
        <v>129</v>
      </c>
      <c r="C158" s="6" t="s">
        <v>526</v>
      </c>
      <c r="D158" s="6" t="s">
        <v>527</v>
      </c>
      <c r="E158" s="7" t="s">
        <v>528</v>
      </c>
      <c r="F158" s="13"/>
      <c r="G158" s="14"/>
      <c r="H158" s="15">
        <v>50</v>
      </c>
      <c r="I158" s="14"/>
      <c r="J158" s="15">
        <v>562</v>
      </c>
      <c r="K158" s="5">
        <v>1</v>
      </c>
      <c r="L158" s="16">
        <v>132</v>
      </c>
      <c r="M158" s="12"/>
      <c r="N158" s="14">
        <f t="shared" si="7"/>
        <v>0</v>
      </c>
      <c r="O158" s="23">
        <f>0.234*M158</f>
        <v>0</v>
      </c>
      <c r="P158" s="24">
        <f>0.00108*M158</f>
        <v>0</v>
      </c>
      <c r="Q158" s="25"/>
      <c r="R158" s="26" t="s">
        <v>529</v>
      </c>
      <c r="S158" s="26" t="s">
        <v>93</v>
      </c>
      <c r="T158" s="6" t="str">
        <f>HYPERLINK("https://kanzpp.ru/api/getInfo/image/693d4c00-fd83-11ee-a25d-00155d82e908")</f>
        <v>https://kanzpp.ru/api/getInfo/image/693d4c00-fd83-11ee-a25d-00155d82e908</v>
      </c>
      <c r="U158" s="6"/>
      <c r="V158" s="33" t="s">
        <v>35</v>
      </c>
    </row>
    <row r="159" spans="2:22" ht="21" customHeight="1" outlineLevel="4" x14ac:dyDescent="0.2">
      <c r="B159" s="5">
        <v>130</v>
      </c>
      <c r="C159" s="6" t="s">
        <v>530</v>
      </c>
      <c r="D159" s="6" t="s">
        <v>531</v>
      </c>
      <c r="E159" s="7" t="s">
        <v>532</v>
      </c>
      <c r="F159" s="13"/>
      <c r="G159" s="14"/>
      <c r="H159" s="15">
        <v>50</v>
      </c>
      <c r="I159" s="14"/>
      <c r="J159" s="15">
        <v>531</v>
      </c>
      <c r="K159" s="5">
        <v>1</v>
      </c>
      <c r="L159" s="16">
        <v>132</v>
      </c>
      <c r="M159" s="12"/>
      <c r="N159" s="14">
        <f t="shared" si="7"/>
        <v>0</v>
      </c>
      <c r="O159" s="23">
        <f>0.234*M159</f>
        <v>0</v>
      </c>
      <c r="P159" s="24">
        <f>0.00108*M159</f>
        <v>0</v>
      </c>
      <c r="Q159" s="25"/>
      <c r="R159" s="26" t="s">
        <v>533</v>
      </c>
      <c r="S159" s="26" t="s">
        <v>93</v>
      </c>
      <c r="T159" s="6" t="str">
        <f>HYPERLINK("https://kanzpp.ru/api/getInfo/image/891e6ad8-fd83-11ee-a25d-00155d82e908")</f>
        <v>https://kanzpp.ru/api/getInfo/image/891e6ad8-fd83-11ee-a25d-00155d82e908</v>
      </c>
      <c r="U159" s="6"/>
      <c r="V159" s="33" t="s">
        <v>35</v>
      </c>
    </row>
    <row r="160" spans="2:22" ht="21" customHeight="1" outlineLevel="4" x14ac:dyDescent="0.2">
      <c r="B160" s="5">
        <v>131</v>
      </c>
      <c r="C160" s="6" t="s">
        <v>534</v>
      </c>
      <c r="D160" s="6" t="s">
        <v>535</v>
      </c>
      <c r="E160" s="7" t="s">
        <v>536</v>
      </c>
      <c r="F160" s="13"/>
      <c r="G160" s="14"/>
      <c r="H160" s="15">
        <v>50</v>
      </c>
      <c r="I160" s="14"/>
      <c r="J160" s="15">
        <v>442</v>
      </c>
      <c r="K160" s="5">
        <v>1</v>
      </c>
      <c r="L160" s="16">
        <v>132</v>
      </c>
      <c r="M160" s="12"/>
      <c r="N160" s="14">
        <f t="shared" si="7"/>
        <v>0</v>
      </c>
      <c r="O160" s="23">
        <f>0.234*M160</f>
        <v>0</v>
      </c>
      <c r="P160" s="24">
        <f>0.00108*M160</f>
        <v>0</v>
      </c>
      <c r="Q160" s="25"/>
      <c r="R160" s="26" t="s">
        <v>537</v>
      </c>
      <c r="S160" s="26" t="s">
        <v>93</v>
      </c>
      <c r="T160" s="6" t="str">
        <f>HYPERLINK("https://kanzpp.ru/api/getInfo/image/afb8eed4-fd83-11ee-a25d-00155d82e908")</f>
        <v>https://kanzpp.ru/api/getInfo/image/afb8eed4-fd83-11ee-a25d-00155d82e908</v>
      </c>
      <c r="U160" s="6"/>
      <c r="V160" s="33" t="s">
        <v>35</v>
      </c>
    </row>
    <row r="161" spans="2:22" ht="21" customHeight="1" outlineLevel="4" x14ac:dyDescent="0.2">
      <c r="B161" s="5">
        <v>132</v>
      </c>
      <c r="C161" s="6" t="s">
        <v>538</v>
      </c>
      <c r="D161" s="6" t="s">
        <v>539</v>
      </c>
      <c r="E161" s="7" t="s">
        <v>540</v>
      </c>
      <c r="F161" s="13"/>
      <c r="G161" s="14"/>
      <c r="H161" s="15">
        <v>50</v>
      </c>
      <c r="I161" s="14"/>
      <c r="J161" s="15">
        <v>471</v>
      </c>
      <c r="K161" s="5">
        <v>1</v>
      </c>
      <c r="L161" s="16">
        <v>132</v>
      </c>
      <c r="M161" s="12"/>
      <c r="N161" s="14">
        <f t="shared" si="7"/>
        <v>0</v>
      </c>
      <c r="O161" s="23">
        <f>0.234*M161</f>
        <v>0</v>
      </c>
      <c r="P161" s="24">
        <f>0.00108*M161</f>
        <v>0</v>
      </c>
      <c r="Q161" s="25"/>
      <c r="R161" s="26" t="s">
        <v>541</v>
      </c>
      <c r="S161" s="26" t="s">
        <v>93</v>
      </c>
      <c r="T161" s="6" t="str">
        <f>HYPERLINK("https://kanzpp.ru/api/getInfo/image/1e90c5e4-fd83-11ee-a25d-00155d82e908")</f>
        <v>https://kanzpp.ru/api/getInfo/image/1e90c5e4-fd83-11ee-a25d-00155d82e908</v>
      </c>
      <c r="U161" s="6"/>
      <c r="V161" s="33" t="s">
        <v>35</v>
      </c>
    </row>
    <row r="162" spans="2:22" ht="21" customHeight="1" outlineLevel="4" x14ac:dyDescent="0.2">
      <c r="B162" s="5">
        <v>133</v>
      </c>
      <c r="C162" s="6" t="s">
        <v>542</v>
      </c>
      <c r="D162" s="6" t="s">
        <v>543</v>
      </c>
      <c r="E162" s="7" t="s">
        <v>544</v>
      </c>
      <c r="F162" s="13"/>
      <c r="G162" s="14"/>
      <c r="H162" s="15">
        <v>20</v>
      </c>
      <c r="I162" s="14"/>
      <c r="J162" s="15">
        <v>75</v>
      </c>
      <c r="K162" s="5">
        <v>1</v>
      </c>
      <c r="L162" s="16">
        <v>132</v>
      </c>
      <c r="M162" s="12"/>
      <c r="N162" s="14">
        <f t="shared" si="7"/>
        <v>0</v>
      </c>
      <c r="O162" s="23">
        <f>0.348*M162</f>
        <v>0</v>
      </c>
      <c r="P162" s="24">
        <f>0.00113*M162</f>
        <v>0</v>
      </c>
      <c r="Q162" s="25"/>
      <c r="R162" s="26"/>
      <c r="S162" s="26" t="s">
        <v>93</v>
      </c>
      <c r="T162" s="6"/>
      <c r="U162" s="6" t="s">
        <v>545</v>
      </c>
      <c r="V162" s="33" t="s">
        <v>35</v>
      </c>
    </row>
    <row r="163" spans="2:22" ht="21" customHeight="1" outlineLevel="4" x14ac:dyDescent="0.2">
      <c r="B163" s="5">
        <v>134</v>
      </c>
      <c r="C163" s="6" t="s">
        <v>546</v>
      </c>
      <c r="D163" s="6" t="s">
        <v>547</v>
      </c>
      <c r="E163" s="7" t="s">
        <v>548</v>
      </c>
      <c r="F163" s="13"/>
      <c r="G163" s="14"/>
      <c r="H163" s="15">
        <v>50</v>
      </c>
      <c r="I163" s="14"/>
      <c r="J163" s="15">
        <v>98</v>
      </c>
      <c r="K163" s="5">
        <v>1</v>
      </c>
      <c r="L163" s="16">
        <v>132</v>
      </c>
      <c r="M163" s="12"/>
      <c r="N163" s="14">
        <f t="shared" si="7"/>
        <v>0</v>
      </c>
      <c r="O163" s="23">
        <f>0.201*M163</f>
        <v>0</v>
      </c>
      <c r="P163" s="24">
        <f>0.00026*M163</f>
        <v>0</v>
      </c>
      <c r="Q163" s="25"/>
      <c r="R163" s="26"/>
      <c r="S163" s="26" t="s">
        <v>93</v>
      </c>
      <c r="T163" s="6"/>
      <c r="U163" s="6" t="s">
        <v>549</v>
      </c>
      <c r="V163" s="33" t="s">
        <v>35</v>
      </c>
    </row>
    <row r="164" spans="2:22" ht="21" customHeight="1" outlineLevel="4" x14ac:dyDescent="0.2">
      <c r="B164" s="5">
        <v>135</v>
      </c>
      <c r="C164" s="6" t="s">
        <v>550</v>
      </c>
      <c r="D164" s="6" t="s">
        <v>551</v>
      </c>
      <c r="E164" s="7" t="s">
        <v>552</v>
      </c>
      <c r="F164" s="13"/>
      <c r="G164" s="14"/>
      <c r="H164" s="15">
        <v>20</v>
      </c>
      <c r="I164" s="14"/>
      <c r="J164" s="15">
        <v>125</v>
      </c>
      <c r="K164" s="5">
        <v>1</v>
      </c>
      <c r="L164" s="16">
        <v>132</v>
      </c>
      <c r="M164" s="12"/>
      <c r="N164" s="14">
        <f t="shared" si="7"/>
        <v>0</v>
      </c>
      <c r="O164" s="23">
        <f>0.385*M164</f>
        <v>0</v>
      </c>
      <c r="P164" s="24">
        <f>0.00235*M164</f>
        <v>0</v>
      </c>
      <c r="Q164" s="25"/>
      <c r="R164" s="26"/>
      <c r="S164" s="26" t="s">
        <v>93</v>
      </c>
      <c r="T164" s="6"/>
      <c r="U164" s="6" t="s">
        <v>553</v>
      </c>
      <c r="V164" s="33" t="s">
        <v>35</v>
      </c>
    </row>
    <row r="165" spans="2:22" ht="21" customHeight="1" outlineLevel="4" x14ac:dyDescent="0.2">
      <c r="B165" s="5">
        <v>136</v>
      </c>
      <c r="C165" s="6" t="s">
        <v>554</v>
      </c>
      <c r="D165" s="6" t="s">
        <v>555</v>
      </c>
      <c r="E165" s="7" t="s">
        <v>556</v>
      </c>
      <c r="F165" s="13"/>
      <c r="G165" s="14"/>
      <c r="H165" s="15">
        <v>20</v>
      </c>
      <c r="I165" s="14"/>
      <c r="J165" s="15">
        <v>75</v>
      </c>
      <c r="K165" s="5">
        <v>1</v>
      </c>
      <c r="L165" s="16">
        <v>132</v>
      </c>
      <c r="M165" s="12"/>
      <c r="N165" s="14">
        <f t="shared" si="7"/>
        <v>0</v>
      </c>
      <c r="O165" s="23">
        <f>0.431*M165</f>
        <v>0</v>
      </c>
      <c r="P165" s="24">
        <f>0.00136*M165</f>
        <v>0</v>
      </c>
      <c r="Q165" s="25"/>
      <c r="R165" s="26"/>
      <c r="S165" s="26" t="s">
        <v>93</v>
      </c>
      <c r="T165" s="6"/>
      <c r="U165" s="6" t="s">
        <v>557</v>
      </c>
      <c r="V165" s="33" t="s">
        <v>35</v>
      </c>
    </row>
    <row r="166" spans="2:22" ht="21" customHeight="1" outlineLevel="4" x14ac:dyDescent="0.2">
      <c r="B166" s="5">
        <v>137</v>
      </c>
      <c r="C166" s="6" t="s">
        <v>558</v>
      </c>
      <c r="D166" s="6" t="s">
        <v>559</v>
      </c>
      <c r="E166" s="7" t="s">
        <v>560</v>
      </c>
      <c r="F166" s="13"/>
      <c r="G166" s="14"/>
      <c r="H166" s="15">
        <v>50</v>
      </c>
      <c r="I166" s="14"/>
      <c r="J166" s="15">
        <v>77</v>
      </c>
      <c r="K166" s="5">
        <v>1</v>
      </c>
      <c r="L166" s="16">
        <v>132</v>
      </c>
      <c r="M166" s="12"/>
      <c r="N166" s="14">
        <f t="shared" si="7"/>
        <v>0</v>
      </c>
      <c r="O166" s="23">
        <f>0.201*M166</f>
        <v>0</v>
      </c>
      <c r="P166" s="24">
        <f>0.00026*M166</f>
        <v>0</v>
      </c>
      <c r="Q166" s="25"/>
      <c r="R166" s="26"/>
      <c r="S166" s="26" t="s">
        <v>93</v>
      </c>
      <c r="T166" s="6"/>
      <c r="U166" s="6" t="s">
        <v>561</v>
      </c>
      <c r="V166" s="33" t="s">
        <v>35</v>
      </c>
    </row>
    <row r="167" spans="2:22" ht="21" customHeight="1" outlineLevel="4" x14ac:dyDescent="0.2">
      <c r="B167" s="5">
        <v>138</v>
      </c>
      <c r="C167" s="6" t="s">
        <v>562</v>
      </c>
      <c r="D167" s="6" t="s">
        <v>563</v>
      </c>
      <c r="E167" s="7" t="s">
        <v>564</v>
      </c>
      <c r="F167" s="13"/>
      <c r="G167" s="14"/>
      <c r="H167" s="15">
        <v>20</v>
      </c>
      <c r="I167" s="14"/>
      <c r="J167" s="15">
        <v>28</v>
      </c>
      <c r="K167" s="5">
        <v>1</v>
      </c>
      <c r="L167" s="16">
        <v>132</v>
      </c>
      <c r="M167" s="12"/>
      <c r="N167" s="14">
        <f t="shared" si="7"/>
        <v>0</v>
      </c>
      <c r="O167" s="23">
        <f>0.352*M167</f>
        <v>0</v>
      </c>
      <c r="P167" s="24">
        <f>0.00191*M167</f>
        <v>0</v>
      </c>
      <c r="Q167" s="25"/>
      <c r="R167" s="26"/>
      <c r="S167" s="26" t="s">
        <v>93</v>
      </c>
      <c r="T167" s="6"/>
      <c r="U167" s="6" t="s">
        <v>565</v>
      </c>
      <c r="V167" s="33" t="s">
        <v>35</v>
      </c>
    </row>
    <row r="168" spans="2:22" ht="21" customHeight="1" outlineLevel="4" x14ac:dyDescent="0.2">
      <c r="B168" s="5">
        <v>139</v>
      </c>
      <c r="C168" s="6" t="s">
        <v>566</v>
      </c>
      <c r="D168" s="6" t="s">
        <v>567</v>
      </c>
      <c r="E168" s="7" t="s">
        <v>152</v>
      </c>
      <c r="F168" s="13"/>
      <c r="G168" s="14"/>
      <c r="H168" s="15">
        <v>50</v>
      </c>
      <c r="I168" s="14"/>
      <c r="J168" s="15">
        <v>1</v>
      </c>
      <c r="K168" s="5">
        <v>1</v>
      </c>
      <c r="L168" s="16">
        <v>38.666666666666664</v>
      </c>
      <c r="M168" s="12"/>
      <c r="N168" s="14">
        <f t="shared" si="7"/>
        <v>0</v>
      </c>
      <c r="O168" s="23">
        <f>0.045*M168</f>
        <v>0</v>
      </c>
      <c r="P168" s="24">
        <f>0.00026*M168</f>
        <v>0</v>
      </c>
      <c r="Q168" s="25"/>
      <c r="R168" s="26"/>
      <c r="S168" s="26" t="s">
        <v>93</v>
      </c>
      <c r="T168" s="6"/>
      <c r="U168" s="6"/>
      <c r="V168" s="33" t="s">
        <v>35</v>
      </c>
    </row>
    <row r="169" spans="2:22" ht="22.95" customHeight="1" outlineLevel="3" x14ac:dyDescent="0.2">
      <c r="B169" s="81" t="s">
        <v>402</v>
      </c>
      <c r="C169" s="81"/>
      <c r="D169" s="81"/>
      <c r="L169">
        <v>0</v>
      </c>
    </row>
    <row r="170" spans="2:22" ht="21" customHeight="1" outlineLevel="4" x14ac:dyDescent="0.2">
      <c r="B170" s="2">
        <v>140</v>
      </c>
      <c r="C170" s="3" t="s">
        <v>568</v>
      </c>
      <c r="D170" s="3" t="s">
        <v>569</v>
      </c>
      <c r="E170" s="4" t="s">
        <v>570</v>
      </c>
      <c r="F170" s="8"/>
      <c r="G170" s="9"/>
      <c r="H170" s="10">
        <v>50</v>
      </c>
      <c r="I170" s="9"/>
      <c r="J170" s="10">
        <v>4</v>
      </c>
      <c r="K170" s="2">
        <v>1</v>
      </c>
      <c r="L170" s="18">
        <v>48.16</v>
      </c>
      <c r="M170" s="12"/>
      <c r="N170" s="9">
        <f t="shared" ref="N170:N176" si="8">L170*M170</f>
        <v>0</v>
      </c>
      <c r="O170" s="29">
        <f>0.094*M170</f>
        <v>0</v>
      </c>
      <c r="P170" s="30">
        <f>0.00158*M170</f>
        <v>0</v>
      </c>
      <c r="Q170" s="21"/>
      <c r="R170" s="22" t="s">
        <v>571</v>
      </c>
      <c r="S170" s="22" t="s">
        <v>29</v>
      </c>
      <c r="T170" s="3" t="str">
        <f>HYPERLINK("https://kanzpp.ru/api/getInfo/image/65801adc-0009-11ec-a20e-ac1f6b442185")</f>
        <v>https://kanzpp.ru/api/getInfo/image/65801adc-0009-11ec-a20e-ac1f6b442185</v>
      </c>
      <c r="U170" s="3"/>
      <c r="V170" s="32" t="s">
        <v>30</v>
      </c>
    </row>
    <row r="171" spans="2:22" ht="21" customHeight="1" outlineLevel="4" x14ac:dyDescent="0.2">
      <c r="B171" s="5">
        <v>141</v>
      </c>
      <c r="C171" s="6" t="s">
        <v>572</v>
      </c>
      <c r="D171" s="6" t="s">
        <v>404</v>
      </c>
      <c r="E171" s="7" t="s">
        <v>152</v>
      </c>
      <c r="F171" s="13"/>
      <c r="G171" s="14"/>
      <c r="H171" s="15">
        <v>20</v>
      </c>
      <c r="I171" s="14"/>
      <c r="J171" s="15">
        <v>56</v>
      </c>
      <c r="K171" s="5">
        <v>20</v>
      </c>
      <c r="L171" s="16">
        <v>78.666666666666671</v>
      </c>
      <c r="M171" s="12"/>
      <c r="N171" s="14">
        <f t="shared" si="8"/>
        <v>0</v>
      </c>
      <c r="O171" s="23">
        <f>0.094*M171</f>
        <v>0</v>
      </c>
      <c r="P171" s="24">
        <f>0.00158*M171</f>
        <v>0</v>
      </c>
      <c r="Q171" s="25"/>
      <c r="R171" s="26"/>
      <c r="S171" s="26" t="s">
        <v>29</v>
      </c>
      <c r="T171" s="6"/>
      <c r="U171" s="6"/>
      <c r="V171" s="33" t="s">
        <v>35</v>
      </c>
    </row>
    <row r="172" spans="2:22" ht="21" customHeight="1" outlineLevel="4" x14ac:dyDescent="0.2">
      <c r="B172" s="5">
        <v>142</v>
      </c>
      <c r="C172" s="6" t="s">
        <v>573</v>
      </c>
      <c r="D172" s="6" t="s">
        <v>574</v>
      </c>
      <c r="E172" s="7" t="s">
        <v>575</v>
      </c>
      <c r="F172" s="13"/>
      <c r="G172" s="14"/>
      <c r="H172" s="15">
        <v>25</v>
      </c>
      <c r="I172" s="14"/>
      <c r="J172" s="15">
        <v>780</v>
      </c>
      <c r="K172" s="5">
        <v>1</v>
      </c>
      <c r="L172" s="16">
        <v>39.32</v>
      </c>
      <c r="M172" s="12"/>
      <c r="N172" s="14">
        <f t="shared" si="8"/>
        <v>0</v>
      </c>
      <c r="O172" s="23">
        <f>0.144*M172</f>
        <v>0</v>
      </c>
      <c r="P172" s="24">
        <f>0.00078*M172</f>
        <v>0</v>
      </c>
      <c r="Q172" s="25"/>
      <c r="R172" s="26"/>
      <c r="S172" s="26" t="s">
        <v>29</v>
      </c>
      <c r="T172" s="6"/>
      <c r="U172" s="6" t="s">
        <v>576</v>
      </c>
      <c r="V172" s="33" t="s">
        <v>35</v>
      </c>
    </row>
    <row r="173" spans="2:22" ht="21" customHeight="1" outlineLevel="4" x14ac:dyDescent="0.2">
      <c r="B173" s="5">
        <v>143</v>
      </c>
      <c r="C173" s="6" t="s">
        <v>577</v>
      </c>
      <c r="D173" s="6" t="s">
        <v>578</v>
      </c>
      <c r="E173" s="7" t="s">
        <v>579</v>
      </c>
      <c r="F173" s="13"/>
      <c r="G173" s="14"/>
      <c r="H173" s="15">
        <v>40</v>
      </c>
      <c r="I173" s="14"/>
      <c r="J173" s="15">
        <v>130</v>
      </c>
      <c r="K173" s="5">
        <v>1</v>
      </c>
      <c r="L173" s="16">
        <v>132</v>
      </c>
      <c r="M173" s="12"/>
      <c r="N173" s="14">
        <f t="shared" si="8"/>
        <v>0</v>
      </c>
      <c r="O173" s="23">
        <f>0.109*M173</f>
        <v>0</v>
      </c>
      <c r="P173" s="31">
        <f>0.0004*M173</f>
        <v>0</v>
      </c>
      <c r="Q173" s="25"/>
      <c r="R173" s="26"/>
      <c r="S173" s="26" t="s">
        <v>29</v>
      </c>
      <c r="T173" s="6"/>
      <c r="U173" s="6" t="s">
        <v>580</v>
      </c>
      <c r="V173" s="33" t="s">
        <v>35</v>
      </c>
    </row>
    <row r="174" spans="2:22" ht="21" customHeight="1" outlineLevel="4" x14ac:dyDescent="0.2">
      <c r="B174" s="5">
        <v>144</v>
      </c>
      <c r="C174" s="6" t="s">
        <v>581</v>
      </c>
      <c r="D174" s="6" t="s">
        <v>582</v>
      </c>
      <c r="E174" s="7" t="s">
        <v>583</v>
      </c>
      <c r="F174" s="13"/>
      <c r="G174" s="14"/>
      <c r="H174" s="15">
        <v>40</v>
      </c>
      <c r="I174" s="14"/>
      <c r="J174" s="15">
        <v>76</v>
      </c>
      <c r="K174" s="5">
        <v>1</v>
      </c>
      <c r="L174" s="16">
        <v>132</v>
      </c>
      <c r="M174" s="12"/>
      <c r="N174" s="14">
        <f t="shared" si="8"/>
        <v>0</v>
      </c>
      <c r="O174" s="23">
        <f>0.109*M174</f>
        <v>0</v>
      </c>
      <c r="P174" s="24">
        <f>0.00016*M174</f>
        <v>0</v>
      </c>
      <c r="Q174" s="25"/>
      <c r="R174" s="26"/>
      <c r="S174" s="26" t="s">
        <v>29</v>
      </c>
      <c r="T174" s="6"/>
      <c r="U174" s="6" t="s">
        <v>584</v>
      </c>
      <c r="V174" s="33" t="s">
        <v>35</v>
      </c>
    </row>
    <row r="175" spans="2:22" ht="21" customHeight="1" outlineLevel="4" x14ac:dyDescent="0.2">
      <c r="B175" s="5">
        <v>145</v>
      </c>
      <c r="C175" s="6" t="s">
        <v>585</v>
      </c>
      <c r="D175" s="6" t="s">
        <v>586</v>
      </c>
      <c r="E175" s="7" t="s">
        <v>587</v>
      </c>
      <c r="F175" s="13"/>
      <c r="G175" s="14"/>
      <c r="H175" s="15">
        <v>30</v>
      </c>
      <c r="I175" s="14"/>
      <c r="J175" s="15">
        <v>60</v>
      </c>
      <c r="K175" s="5">
        <v>30</v>
      </c>
      <c r="L175" s="16">
        <v>78.666666666666671</v>
      </c>
      <c r="M175" s="12"/>
      <c r="N175" s="14">
        <f t="shared" si="8"/>
        <v>0</v>
      </c>
      <c r="O175" s="28">
        <f>0.11*M175</f>
        <v>0</v>
      </c>
      <c r="P175" s="24">
        <f>0.00038*M175</f>
        <v>0</v>
      </c>
      <c r="Q175" s="25"/>
      <c r="R175" s="26"/>
      <c r="S175" s="26" t="s">
        <v>29</v>
      </c>
      <c r="T175" s="6"/>
      <c r="U175" s="6"/>
      <c r="V175" s="33" t="s">
        <v>35</v>
      </c>
    </row>
    <row r="176" spans="2:22" ht="21" customHeight="1" outlineLevel="4" x14ac:dyDescent="0.2">
      <c r="B176" s="5">
        <v>146</v>
      </c>
      <c r="C176" s="6" t="s">
        <v>588</v>
      </c>
      <c r="D176" s="6" t="s">
        <v>589</v>
      </c>
      <c r="E176" s="7" t="s">
        <v>590</v>
      </c>
      <c r="F176" s="13"/>
      <c r="G176" s="14"/>
      <c r="H176" s="15">
        <v>30</v>
      </c>
      <c r="I176" s="14"/>
      <c r="J176" s="15">
        <v>30</v>
      </c>
      <c r="K176" s="5">
        <v>30</v>
      </c>
      <c r="L176" s="16">
        <v>52</v>
      </c>
      <c r="M176" s="12"/>
      <c r="N176" s="14">
        <f t="shared" si="8"/>
        <v>0</v>
      </c>
      <c r="O176" s="28">
        <f>0.07*M176</f>
        <v>0</v>
      </c>
      <c r="P176" s="24">
        <f>0.00024*M176</f>
        <v>0</v>
      </c>
      <c r="Q176" s="25"/>
      <c r="R176" s="26"/>
      <c r="S176" s="26" t="s">
        <v>29</v>
      </c>
      <c r="T176" s="6"/>
      <c r="U176" s="6"/>
      <c r="V176" s="33" t="s">
        <v>35</v>
      </c>
    </row>
    <row r="177" spans="2:22" ht="22.95" customHeight="1" outlineLevel="3" x14ac:dyDescent="0.2">
      <c r="B177" s="81" t="s">
        <v>591</v>
      </c>
      <c r="C177" s="81"/>
      <c r="D177" s="81"/>
      <c r="L177">
        <v>0</v>
      </c>
    </row>
    <row r="178" spans="2:22" ht="21" customHeight="1" outlineLevel="4" x14ac:dyDescent="0.2">
      <c r="B178" s="5">
        <v>147</v>
      </c>
      <c r="C178" s="6" t="s">
        <v>592</v>
      </c>
      <c r="D178" s="6" t="s">
        <v>593</v>
      </c>
      <c r="E178" s="7" t="s">
        <v>594</v>
      </c>
      <c r="F178" s="13"/>
      <c r="G178" s="14"/>
      <c r="H178" s="15">
        <v>40</v>
      </c>
      <c r="I178" s="14"/>
      <c r="J178" s="15">
        <v>58</v>
      </c>
      <c r="K178" s="5">
        <v>2</v>
      </c>
      <c r="L178" s="16">
        <v>38.666666666666664</v>
      </c>
      <c r="M178" s="12"/>
      <c r="N178" s="14">
        <f t="shared" ref="N178:N209" si="9">L178*M178</f>
        <v>0</v>
      </c>
      <c r="O178" s="28">
        <f>0.07*M178</f>
        <v>0</v>
      </c>
      <c r="P178" s="24">
        <f>0.00043*M178</f>
        <v>0</v>
      </c>
      <c r="Q178" s="25"/>
      <c r="R178" s="26"/>
      <c r="S178" s="26" t="s">
        <v>29</v>
      </c>
      <c r="T178" s="6"/>
      <c r="U178" s="6" t="s">
        <v>595</v>
      </c>
      <c r="V178" s="33" t="s">
        <v>35</v>
      </c>
    </row>
    <row r="179" spans="2:22" ht="21" customHeight="1" outlineLevel="4" x14ac:dyDescent="0.2">
      <c r="B179" s="5">
        <v>148</v>
      </c>
      <c r="C179" s="6" t="s">
        <v>596</v>
      </c>
      <c r="D179" s="6" t="s">
        <v>597</v>
      </c>
      <c r="E179" s="7" t="s">
        <v>598</v>
      </c>
      <c r="F179" s="13"/>
      <c r="G179" s="14"/>
      <c r="H179" s="15">
        <v>40</v>
      </c>
      <c r="I179" s="14"/>
      <c r="J179" s="15">
        <v>43</v>
      </c>
      <c r="K179" s="5">
        <v>2</v>
      </c>
      <c r="L179" s="16">
        <v>38.666666666666664</v>
      </c>
      <c r="M179" s="12"/>
      <c r="N179" s="14">
        <f t="shared" si="9"/>
        <v>0</v>
      </c>
      <c r="O179" s="28">
        <f>0.07*M179</f>
        <v>0</v>
      </c>
      <c r="P179" s="24">
        <f>0.00043*M179</f>
        <v>0</v>
      </c>
      <c r="Q179" s="25"/>
      <c r="R179" s="26"/>
      <c r="S179" s="26" t="s">
        <v>29</v>
      </c>
      <c r="T179" s="6"/>
      <c r="U179" s="6" t="s">
        <v>599</v>
      </c>
      <c r="V179" s="33" t="s">
        <v>35</v>
      </c>
    </row>
    <row r="180" spans="2:22" ht="21" customHeight="1" outlineLevel="4" x14ac:dyDescent="0.2">
      <c r="B180" s="5">
        <v>149</v>
      </c>
      <c r="C180" s="6" t="s">
        <v>600</v>
      </c>
      <c r="D180" s="6" t="s">
        <v>601</v>
      </c>
      <c r="E180" s="7" t="s">
        <v>602</v>
      </c>
      <c r="F180" s="13"/>
      <c r="G180" s="14"/>
      <c r="H180" s="15">
        <v>40</v>
      </c>
      <c r="I180" s="14"/>
      <c r="J180" s="15">
        <v>26</v>
      </c>
      <c r="K180" s="5">
        <v>2</v>
      </c>
      <c r="L180" s="16">
        <v>38.666666666666664</v>
      </c>
      <c r="M180" s="12"/>
      <c r="N180" s="14">
        <f t="shared" si="9"/>
        <v>0</v>
      </c>
      <c r="O180" s="28">
        <f>0.07*M180</f>
        <v>0</v>
      </c>
      <c r="P180" s="24">
        <f>0.00043*M180</f>
        <v>0</v>
      </c>
      <c r="Q180" s="25"/>
      <c r="R180" s="26"/>
      <c r="S180" s="26" t="s">
        <v>29</v>
      </c>
      <c r="T180" s="6"/>
      <c r="U180" s="6" t="s">
        <v>603</v>
      </c>
      <c r="V180" s="33" t="s">
        <v>35</v>
      </c>
    </row>
    <row r="181" spans="2:22" ht="21" customHeight="1" outlineLevel="4" x14ac:dyDescent="0.2">
      <c r="B181" s="5">
        <v>150</v>
      </c>
      <c r="C181" s="6" t="s">
        <v>604</v>
      </c>
      <c r="D181" s="6" t="s">
        <v>605</v>
      </c>
      <c r="E181" s="7" t="s">
        <v>606</v>
      </c>
      <c r="F181" s="13"/>
      <c r="G181" s="14"/>
      <c r="H181" s="15">
        <v>32</v>
      </c>
      <c r="I181" s="15">
        <v>1</v>
      </c>
      <c r="J181" s="15">
        <v>46</v>
      </c>
      <c r="K181" s="5">
        <v>1</v>
      </c>
      <c r="L181" s="16">
        <v>212</v>
      </c>
      <c r="M181" s="12"/>
      <c r="N181" s="14">
        <f t="shared" si="9"/>
        <v>0</v>
      </c>
      <c r="O181" s="28">
        <f>0.13*M181</f>
        <v>0</v>
      </c>
      <c r="P181" s="31">
        <f>0.0008*M181</f>
        <v>0</v>
      </c>
      <c r="Q181" s="25"/>
      <c r="R181" s="26" t="s">
        <v>607</v>
      </c>
      <c r="S181" s="26" t="s">
        <v>29</v>
      </c>
      <c r="T181" s="6" t="str">
        <f>HYPERLINK("https://kanzpp.ru/api/getInfo/image/eddc22ae-efef-11e9-a235-ac1f6b442184")</f>
        <v>https://kanzpp.ru/api/getInfo/image/eddc22ae-efef-11e9-a235-ac1f6b442184</v>
      </c>
      <c r="U181" s="6"/>
      <c r="V181" s="33" t="s">
        <v>35</v>
      </c>
    </row>
    <row r="182" spans="2:22" ht="21" customHeight="1" outlineLevel="4" x14ac:dyDescent="0.2">
      <c r="B182" s="5">
        <v>151</v>
      </c>
      <c r="C182" s="6" t="s">
        <v>608</v>
      </c>
      <c r="D182" s="6" t="s">
        <v>609</v>
      </c>
      <c r="E182" s="7" t="s">
        <v>610</v>
      </c>
      <c r="F182" s="13"/>
      <c r="G182" s="14"/>
      <c r="H182" s="15">
        <v>40</v>
      </c>
      <c r="I182" s="14"/>
      <c r="J182" s="15">
        <v>5</v>
      </c>
      <c r="K182" s="5">
        <v>1</v>
      </c>
      <c r="L182" s="16">
        <v>20</v>
      </c>
      <c r="M182" s="12"/>
      <c r="N182" s="14">
        <f t="shared" si="9"/>
        <v>0</v>
      </c>
      <c r="O182" s="23">
        <f>0.094*M182</f>
        <v>0</v>
      </c>
      <c r="P182" s="24">
        <f>0.00055*M182</f>
        <v>0</v>
      </c>
      <c r="Q182" s="25"/>
      <c r="R182" s="26" t="s">
        <v>611</v>
      </c>
      <c r="S182" s="26" t="s">
        <v>29</v>
      </c>
      <c r="T182" s="6"/>
      <c r="U182" s="6"/>
      <c r="V182" s="33" t="s">
        <v>35</v>
      </c>
    </row>
    <row r="183" spans="2:22" ht="21" customHeight="1" outlineLevel="4" x14ac:dyDescent="0.2">
      <c r="B183" s="5">
        <v>152</v>
      </c>
      <c r="C183" s="6" t="s">
        <v>612</v>
      </c>
      <c r="D183" s="6" t="s">
        <v>613</v>
      </c>
      <c r="E183" s="7" t="s">
        <v>614</v>
      </c>
      <c r="F183" s="13"/>
      <c r="G183" s="14"/>
      <c r="H183" s="15">
        <v>32</v>
      </c>
      <c r="I183" s="14"/>
      <c r="J183" s="15">
        <v>1</v>
      </c>
      <c r="K183" s="5">
        <v>1</v>
      </c>
      <c r="L183" s="16">
        <v>92</v>
      </c>
      <c r="M183" s="12"/>
      <c r="N183" s="14">
        <f t="shared" si="9"/>
        <v>0</v>
      </c>
      <c r="O183" s="27">
        <f>0.1*M183</f>
        <v>0</v>
      </c>
      <c r="P183" s="24">
        <f>0.00091*M183</f>
        <v>0</v>
      </c>
      <c r="Q183" s="25"/>
      <c r="R183" s="26"/>
      <c r="S183" s="26" t="s">
        <v>29</v>
      </c>
      <c r="T183" s="6"/>
      <c r="U183" s="6" t="s">
        <v>615</v>
      </c>
      <c r="V183" s="33" t="s">
        <v>35</v>
      </c>
    </row>
    <row r="184" spans="2:22" ht="21" customHeight="1" outlineLevel="4" x14ac:dyDescent="0.2">
      <c r="B184" s="5">
        <v>153</v>
      </c>
      <c r="C184" s="6" t="s">
        <v>616</v>
      </c>
      <c r="D184" s="6" t="s">
        <v>617</v>
      </c>
      <c r="E184" s="7" t="s">
        <v>618</v>
      </c>
      <c r="F184" s="13"/>
      <c r="G184" s="14"/>
      <c r="H184" s="15">
        <v>250</v>
      </c>
      <c r="I184" s="15">
        <v>25</v>
      </c>
      <c r="J184" s="15">
        <v>48</v>
      </c>
      <c r="K184" s="5">
        <v>1</v>
      </c>
      <c r="L184" s="16">
        <v>38.666666666666664</v>
      </c>
      <c r="M184" s="12"/>
      <c r="N184" s="14">
        <f t="shared" si="9"/>
        <v>0</v>
      </c>
      <c r="O184" s="23">
        <f>0.082*M184</f>
        <v>0</v>
      </c>
      <c r="P184" s="24">
        <f>0.00041*M184</f>
        <v>0</v>
      </c>
      <c r="Q184" s="25"/>
      <c r="R184" s="26" t="s">
        <v>619</v>
      </c>
      <c r="S184" s="26" t="s">
        <v>29</v>
      </c>
      <c r="T184" s="6" t="str">
        <f>HYPERLINK("https://kanzpp.ru/api/getInfo/image/56cac723-22ad-11ec-a20f-ac1f6b442185")</f>
        <v>https://kanzpp.ru/api/getInfo/image/56cac723-22ad-11ec-a20f-ac1f6b442185</v>
      </c>
      <c r="U184" s="6"/>
      <c r="V184" s="33" t="s">
        <v>35</v>
      </c>
    </row>
    <row r="185" spans="2:22" ht="21" customHeight="1" outlineLevel="4" x14ac:dyDescent="0.2">
      <c r="B185" s="5">
        <v>154</v>
      </c>
      <c r="C185" s="6" t="s">
        <v>620</v>
      </c>
      <c r="D185" s="6" t="s">
        <v>621</v>
      </c>
      <c r="E185" s="7" t="s">
        <v>622</v>
      </c>
      <c r="F185" s="13"/>
      <c r="G185" s="14"/>
      <c r="H185" s="15">
        <v>250</v>
      </c>
      <c r="I185" s="15">
        <v>25</v>
      </c>
      <c r="J185" s="15">
        <v>128</v>
      </c>
      <c r="K185" s="5">
        <v>1</v>
      </c>
      <c r="L185" s="16">
        <v>38.666666666666664</v>
      </c>
      <c r="M185" s="12"/>
      <c r="N185" s="14">
        <f t="shared" si="9"/>
        <v>0</v>
      </c>
      <c r="O185" s="23">
        <f>0.075*M185</f>
        <v>0</v>
      </c>
      <c r="P185" s="24">
        <f>0.00029*M185</f>
        <v>0</v>
      </c>
      <c r="Q185" s="25"/>
      <c r="R185" s="26" t="s">
        <v>623</v>
      </c>
      <c r="S185" s="26" t="s">
        <v>29</v>
      </c>
      <c r="T185" s="6" t="str">
        <f>HYPERLINK("https://kanzpp.ru/api/getInfo/image/d723a02a-22ad-11ec-a20f-ac1f6b442185")</f>
        <v>https://kanzpp.ru/api/getInfo/image/d723a02a-22ad-11ec-a20f-ac1f6b442185</v>
      </c>
      <c r="U185" s="6"/>
      <c r="V185" s="33" t="s">
        <v>35</v>
      </c>
    </row>
    <row r="186" spans="2:22" ht="21" customHeight="1" outlineLevel="4" x14ac:dyDescent="0.2">
      <c r="B186" s="5">
        <v>155</v>
      </c>
      <c r="C186" s="6" t="s">
        <v>624</v>
      </c>
      <c r="D186" s="6" t="s">
        <v>625</v>
      </c>
      <c r="E186" s="7" t="s">
        <v>626</v>
      </c>
      <c r="F186" s="13"/>
      <c r="G186" s="14"/>
      <c r="H186" s="15">
        <v>25</v>
      </c>
      <c r="I186" s="14"/>
      <c r="J186" s="15">
        <v>21</v>
      </c>
      <c r="K186" s="5">
        <v>1</v>
      </c>
      <c r="L186" s="16">
        <v>38.666666666666664</v>
      </c>
      <c r="M186" s="12"/>
      <c r="N186" s="14">
        <f t="shared" si="9"/>
        <v>0</v>
      </c>
      <c r="O186" s="28">
        <f>0.12*M186</f>
        <v>0</v>
      </c>
      <c r="P186" s="24">
        <f>0.00042*M186</f>
        <v>0</v>
      </c>
      <c r="Q186" s="25"/>
      <c r="R186" s="26"/>
      <c r="S186" s="26" t="s">
        <v>29</v>
      </c>
      <c r="T186" s="6"/>
      <c r="U186" s="6" t="s">
        <v>627</v>
      </c>
      <c r="V186" s="33" t="s">
        <v>35</v>
      </c>
    </row>
    <row r="187" spans="2:22" ht="21" customHeight="1" outlineLevel="4" x14ac:dyDescent="0.2">
      <c r="B187" s="5">
        <v>156</v>
      </c>
      <c r="C187" s="6" t="s">
        <v>628</v>
      </c>
      <c r="D187" s="6" t="s">
        <v>629</v>
      </c>
      <c r="E187" s="7" t="s">
        <v>630</v>
      </c>
      <c r="F187" s="13"/>
      <c r="G187" s="14"/>
      <c r="H187" s="15">
        <v>40</v>
      </c>
      <c r="I187" s="14"/>
      <c r="J187" s="15">
        <v>144</v>
      </c>
      <c r="K187" s="5">
        <v>3</v>
      </c>
      <c r="L187" s="16">
        <v>52</v>
      </c>
      <c r="M187" s="12"/>
      <c r="N187" s="14">
        <f t="shared" si="9"/>
        <v>0</v>
      </c>
      <c r="O187" s="23">
        <f>0.074*M187</f>
        <v>0</v>
      </c>
      <c r="P187" s="24">
        <f>0.00075*M187</f>
        <v>0</v>
      </c>
      <c r="Q187" s="25"/>
      <c r="R187" s="26"/>
      <c r="S187" s="26" t="s">
        <v>29</v>
      </c>
      <c r="T187" s="6"/>
      <c r="U187" s="6" t="s">
        <v>631</v>
      </c>
      <c r="V187" s="33" t="s">
        <v>35</v>
      </c>
    </row>
    <row r="188" spans="2:22" ht="21" customHeight="1" outlineLevel="4" x14ac:dyDescent="0.2">
      <c r="B188" s="5">
        <v>157</v>
      </c>
      <c r="C188" s="6" t="s">
        <v>632</v>
      </c>
      <c r="D188" s="6" t="s">
        <v>633</v>
      </c>
      <c r="E188" s="7" t="s">
        <v>634</v>
      </c>
      <c r="F188" s="13"/>
      <c r="G188" s="14"/>
      <c r="H188" s="15">
        <v>40</v>
      </c>
      <c r="I188" s="14"/>
      <c r="J188" s="15">
        <v>40</v>
      </c>
      <c r="K188" s="5">
        <v>2</v>
      </c>
      <c r="L188" s="16">
        <v>38.666666666666664</v>
      </c>
      <c r="M188" s="12"/>
      <c r="N188" s="14">
        <f t="shared" si="9"/>
        <v>0</v>
      </c>
      <c r="O188" s="28">
        <f>0.07*M188</f>
        <v>0</v>
      </c>
      <c r="P188" s="24">
        <f>0.00043*M188</f>
        <v>0</v>
      </c>
      <c r="Q188" s="25"/>
      <c r="R188" s="26"/>
      <c r="S188" s="26" t="s">
        <v>29</v>
      </c>
      <c r="T188" s="6"/>
      <c r="U188" s="6" t="s">
        <v>635</v>
      </c>
      <c r="V188" s="33" t="s">
        <v>35</v>
      </c>
    </row>
    <row r="189" spans="2:22" ht="21" customHeight="1" outlineLevel="4" x14ac:dyDescent="0.2">
      <c r="B189" s="5">
        <v>158</v>
      </c>
      <c r="C189" s="6" t="s">
        <v>636</v>
      </c>
      <c r="D189" s="6" t="s">
        <v>637</v>
      </c>
      <c r="E189" s="7" t="s">
        <v>638</v>
      </c>
      <c r="F189" s="13"/>
      <c r="G189" s="14"/>
      <c r="H189" s="15">
        <v>40</v>
      </c>
      <c r="I189" s="14"/>
      <c r="J189" s="15">
        <v>111</v>
      </c>
      <c r="K189" s="5">
        <v>3</v>
      </c>
      <c r="L189" s="16">
        <v>52</v>
      </c>
      <c r="M189" s="12"/>
      <c r="N189" s="14">
        <f t="shared" si="9"/>
        <v>0</v>
      </c>
      <c r="O189" s="28">
        <f>0.73*M189</f>
        <v>0</v>
      </c>
      <c r="P189" s="24">
        <f>0.00056*M189</f>
        <v>0</v>
      </c>
      <c r="Q189" s="25"/>
      <c r="R189" s="26"/>
      <c r="S189" s="26" t="s">
        <v>29</v>
      </c>
      <c r="T189" s="6"/>
      <c r="U189" s="6" t="s">
        <v>639</v>
      </c>
      <c r="V189" s="33" t="s">
        <v>35</v>
      </c>
    </row>
    <row r="190" spans="2:22" ht="21" customHeight="1" outlineLevel="4" x14ac:dyDescent="0.2">
      <c r="B190" s="5">
        <v>159</v>
      </c>
      <c r="C190" s="6" t="s">
        <v>640</v>
      </c>
      <c r="D190" s="6" t="s">
        <v>641</v>
      </c>
      <c r="E190" s="7" t="s">
        <v>642</v>
      </c>
      <c r="F190" s="13"/>
      <c r="G190" s="14"/>
      <c r="H190" s="15">
        <v>40</v>
      </c>
      <c r="I190" s="14"/>
      <c r="J190" s="15">
        <v>321</v>
      </c>
      <c r="K190" s="5">
        <v>3</v>
      </c>
      <c r="L190" s="16">
        <v>52</v>
      </c>
      <c r="M190" s="12"/>
      <c r="N190" s="14">
        <f t="shared" si="9"/>
        <v>0</v>
      </c>
      <c r="O190" s="23">
        <f>0.104*M190</f>
        <v>0</v>
      </c>
      <c r="P190" s="24">
        <f>0.00098*M190</f>
        <v>0</v>
      </c>
      <c r="Q190" s="25"/>
      <c r="R190" s="26"/>
      <c r="S190" s="26" t="s">
        <v>29</v>
      </c>
      <c r="T190" s="6"/>
      <c r="U190" s="6" t="s">
        <v>643</v>
      </c>
      <c r="V190" s="33" t="s">
        <v>35</v>
      </c>
    </row>
    <row r="191" spans="2:22" ht="21" customHeight="1" outlineLevel="4" x14ac:dyDescent="0.2">
      <c r="B191" s="5">
        <v>160</v>
      </c>
      <c r="C191" s="6" t="s">
        <v>644</v>
      </c>
      <c r="D191" s="6" t="s">
        <v>645</v>
      </c>
      <c r="E191" s="7" t="s">
        <v>646</v>
      </c>
      <c r="F191" s="13"/>
      <c r="G191" s="14"/>
      <c r="H191" s="15">
        <v>40</v>
      </c>
      <c r="I191" s="14"/>
      <c r="J191" s="15">
        <v>139</v>
      </c>
      <c r="K191" s="5">
        <v>1</v>
      </c>
      <c r="L191" s="16">
        <v>78.666666666666671</v>
      </c>
      <c r="M191" s="12"/>
      <c r="N191" s="14">
        <f t="shared" si="9"/>
        <v>0</v>
      </c>
      <c r="O191" s="28">
        <f>0.09*M191</f>
        <v>0</v>
      </c>
      <c r="P191" s="24">
        <f>0.00055*M191</f>
        <v>0</v>
      </c>
      <c r="Q191" s="25"/>
      <c r="R191" s="26"/>
      <c r="S191" s="26" t="s">
        <v>29</v>
      </c>
      <c r="T191" s="6" t="str">
        <f>HYPERLINK("https://kanzpp.ru/api/getInfo/image/3c6053f7-4b04-11ee-a244-00155d82e902")</f>
        <v>https://kanzpp.ru/api/getInfo/image/3c6053f7-4b04-11ee-a244-00155d82e902</v>
      </c>
      <c r="U191" s="6" t="s">
        <v>647</v>
      </c>
      <c r="V191" s="33" t="s">
        <v>35</v>
      </c>
    </row>
    <row r="192" spans="2:22" ht="21" customHeight="1" outlineLevel="4" x14ac:dyDescent="0.2">
      <c r="B192" s="5">
        <v>161</v>
      </c>
      <c r="C192" s="6" t="s">
        <v>648</v>
      </c>
      <c r="D192" s="6" t="s">
        <v>649</v>
      </c>
      <c r="E192" s="7" t="s">
        <v>650</v>
      </c>
      <c r="F192" s="13"/>
      <c r="G192" s="14"/>
      <c r="H192" s="15">
        <v>40</v>
      </c>
      <c r="I192" s="14"/>
      <c r="J192" s="15">
        <v>12</v>
      </c>
      <c r="K192" s="5">
        <v>1</v>
      </c>
      <c r="L192" s="16">
        <v>30.680000000000003</v>
      </c>
      <c r="M192" s="12"/>
      <c r="N192" s="14">
        <f t="shared" si="9"/>
        <v>0</v>
      </c>
      <c r="O192" s="28">
        <f>0.07*M192</f>
        <v>0</v>
      </c>
      <c r="P192" s="24">
        <f>0.00043*M192</f>
        <v>0</v>
      </c>
      <c r="Q192" s="25"/>
      <c r="R192" s="26"/>
      <c r="S192" s="26" t="s">
        <v>29</v>
      </c>
      <c r="T192" s="6"/>
      <c r="U192" s="6" t="s">
        <v>651</v>
      </c>
      <c r="V192" s="33" t="s">
        <v>35</v>
      </c>
    </row>
    <row r="193" spans="2:22" ht="21" customHeight="1" outlineLevel="4" x14ac:dyDescent="0.2">
      <c r="B193" s="5">
        <v>162</v>
      </c>
      <c r="C193" s="6" t="s">
        <v>652</v>
      </c>
      <c r="D193" s="6" t="s">
        <v>653</v>
      </c>
      <c r="E193" s="7" t="s">
        <v>654</v>
      </c>
      <c r="F193" s="13"/>
      <c r="G193" s="14"/>
      <c r="H193" s="15">
        <v>40</v>
      </c>
      <c r="I193" s="14"/>
      <c r="J193" s="15">
        <v>196</v>
      </c>
      <c r="K193" s="5">
        <v>4</v>
      </c>
      <c r="L193" s="16">
        <v>30.680000000000003</v>
      </c>
      <c r="M193" s="12"/>
      <c r="N193" s="14">
        <f t="shared" si="9"/>
        <v>0</v>
      </c>
      <c r="O193" s="28">
        <f>0.07*M193</f>
        <v>0</v>
      </c>
      <c r="P193" s="24">
        <f>0.00043*M193</f>
        <v>0</v>
      </c>
      <c r="Q193" s="25"/>
      <c r="R193" s="26" t="s">
        <v>655</v>
      </c>
      <c r="S193" s="26" t="s">
        <v>29</v>
      </c>
      <c r="T193" s="6" t="str">
        <f>HYPERLINK("https://kanzpp.ru/api/getInfo/image/b89bf20a-db34-11eb-a209-ac1f6b442185")</f>
        <v>https://kanzpp.ru/api/getInfo/image/b89bf20a-db34-11eb-a209-ac1f6b442185</v>
      </c>
      <c r="U193" s="6"/>
      <c r="V193" s="33" t="s">
        <v>35</v>
      </c>
    </row>
    <row r="194" spans="2:22" ht="21" customHeight="1" outlineLevel="4" x14ac:dyDescent="0.2">
      <c r="B194" s="5">
        <v>163</v>
      </c>
      <c r="C194" s="6" t="s">
        <v>656</v>
      </c>
      <c r="D194" s="6" t="s">
        <v>657</v>
      </c>
      <c r="E194" s="7" t="s">
        <v>658</v>
      </c>
      <c r="F194" s="13"/>
      <c r="G194" s="14"/>
      <c r="H194" s="15">
        <v>40</v>
      </c>
      <c r="I194" s="14"/>
      <c r="J194" s="15">
        <v>11</v>
      </c>
      <c r="K194" s="5">
        <v>1</v>
      </c>
      <c r="L194" s="16">
        <v>7.8666666666666671</v>
      </c>
      <c r="M194" s="12"/>
      <c r="N194" s="14">
        <f t="shared" si="9"/>
        <v>0</v>
      </c>
      <c r="O194" s="28">
        <f>0.07*M194</f>
        <v>0</v>
      </c>
      <c r="P194" s="24">
        <f>0.00043*M194</f>
        <v>0</v>
      </c>
      <c r="Q194" s="25"/>
      <c r="R194" s="26" t="s">
        <v>659</v>
      </c>
      <c r="S194" s="26" t="s">
        <v>29</v>
      </c>
      <c r="T194" s="6" t="str">
        <f>HYPERLINK("https://kanzpp.ru/api/getInfo/image/0f3c0e81-88db-11e7-8697-5cf3fc4a2490")</f>
        <v>https://kanzpp.ru/api/getInfo/image/0f3c0e81-88db-11e7-8697-5cf3fc4a2490</v>
      </c>
      <c r="U194" s="6"/>
      <c r="V194" s="33" t="s">
        <v>35</v>
      </c>
    </row>
    <row r="195" spans="2:22" ht="21" customHeight="1" outlineLevel="4" x14ac:dyDescent="0.2">
      <c r="B195" s="5">
        <v>164</v>
      </c>
      <c r="C195" s="6" t="s">
        <v>660</v>
      </c>
      <c r="D195" s="6" t="s">
        <v>661</v>
      </c>
      <c r="E195" s="7" t="s">
        <v>662</v>
      </c>
      <c r="F195" s="13"/>
      <c r="G195" s="14"/>
      <c r="H195" s="15">
        <v>32</v>
      </c>
      <c r="I195" s="14"/>
      <c r="J195" s="15">
        <v>2</v>
      </c>
      <c r="K195" s="5">
        <v>1</v>
      </c>
      <c r="L195" s="16">
        <v>78.666666666666671</v>
      </c>
      <c r="M195" s="12"/>
      <c r="N195" s="14">
        <f t="shared" si="9"/>
        <v>0</v>
      </c>
      <c r="O195" s="23">
        <f>0.127*M195</f>
        <v>0</v>
      </c>
      <c r="P195" s="24">
        <f>0.00073*M195</f>
        <v>0</v>
      </c>
      <c r="Q195" s="25"/>
      <c r="R195" s="26"/>
      <c r="S195" s="26" t="s">
        <v>29</v>
      </c>
      <c r="T195" s="6"/>
      <c r="U195" s="6" t="s">
        <v>663</v>
      </c>
      <c r="V195" s="33" t="s">
        <v>35</v>
      </c>
    </row>
    <row r="196" spans="2:22" ht="21" customHeight="1" outlineLevel="4" x14ac:dyDescent="0.2">
      <c r="B196" s="5">
        <v>165</v>
      </c>
      <c r="C196" s="6" t="s">
        <v>664</v>
      </c>
      <c r="D196" s="6" t="s">
        <v>665</v>
      </c>
      <c r="E196" s="7" t="s">
        <v>666</v>
      </c>
      <c r="F196" s="13"/>
      <c r="G196" s="14"/>
      <c r="H196" s="15">
        <v>32</v>
      </c>
      <c r="I196" s="14"/>
      <c r="J196" s="15">
        <v>104</v>
      </c>
      <c r="K196" s="5">
        <v>1</v>
      </c>
      <c r="L196" s="16">
        <v>132</v>
      </c>
      <c r="M196" s="12"/>
      <c r="N196" s="14">
        <f t="shared" si="9"/>
        <v>0</v>
      </c>
      <c r="O196" s="23">
        <f>0.134*M196</f>
        <v>0</v>
      </c>
      <c r="P196" s="24">
        <f>0.00093*M196</f>
        <v>0</v>
      </c>
      <c r="Q196" s="25"/>
      <c r="R196" s="26"/>
      <c r="S196" s="26" t="s">
        <v>29</v>
      </c>
      <c r="T196" s="6"/>
      <c r="U196" s="6" t="s">
        <v>667</v>
      </c>
      <c r="V196" s="33" t="s">
        <v>35</v>
      </c>
    </row>
    <row r="197" spans="2:22" ht="21" customHeight="1" outlineLevel="4" x14ac:dyDescent="0.2">
      <c r="B197" s="2">
        <v>166</v>
      </c>
      <c r="C197" s="3" t="s">
        <v>668</v>
      </c>
      <c r="D197" s="3" t="s">
        <v>669</v>
      </c>
      <c r="E197" s="4" t="s">
        <v>670</v>
      </c>
      <c r="F197" s="8"/>
      <c r="G197" s="9"/>
      <c r="H197" s="10">
        <v>32</v>
      </c>
      <c r="I197" s="9"/>
      <c r="J197" s="10">
        <v>10</v>
      </c>
      <c r="K197" s="2">
        <v>2</v>
      </c>
      <c r="L197" s="18">
        <v>61.76</v>
      </c>
      <c r="M197" s="12"/>
      <c r="N197" s="9">
        <f t="shared" si="9"/>
        <v>0</v>
      </c>
      <c r="O197" s="29">
        <f>0.127*M197</f>
        <v>0</v>
      </c>
      <c r="P197" s="30">
        <f>0.00073*M197</f>
        <v>0</v>
      </c>
      <c r="Q197" s="21"/>
      <c r="R197" s="22" t="s">
        <v>671</v>
      </c>
      <c r="S197" s="22" t="s">
        <v>29</v>
      </c>
      <c r="T197" s="3" t="str">
        <f>HYPERLINK("https://kanzpp.ru/api/getInfo/image/ad5fd506-16e5-11ec-a20f-ac1f6b442185")</f>
        <v>https://kanzpp.ru/api/getInfo/image/ad5fd506-16e5-11ec-a20f-ac1f6b442185</v>
      </c>
      <c r="U197" s="3"/>
      <c r="V197" s="32" t="s">
        <v>30</v>
      </c>
    </row>
    <row r="198" spans="2:22" ht="21" customHeight="1" outlineLevel="4" x14ac:dyDescent="0.2">
      <c r="B198" s="5">
        <v>167</v>
      </c>
      <c r="C198" s="6" t="s">
        <v>672</v>
      </c>
      <c r="D198" s="6" t="s">
        <v>673</v>
      </c>
      <c r="E198" s="7" t="s">
        <v>674</v>
      </c>
      <c r="F198" s="13"/>
      <c r="G198" s="14"/>
      <c r="H198" s="15">
        <v>32</v>
      </c>
      <c r="I198" s="14"/>
      <c r="J198" s="15">
        <v>4</v>
      </c>
      <c r="K198" s="5">
        <v>1</v>
      </c>
      <c r="L198" s="16">
        <v>78.666666666666671</v>
      </c>
      <c r="M198" s="12"/>
      <c r="N198" s="14">
        <f t="shared" si="9"/>
        <v>0</v>
      </c>
      <c r="O198" s="23">
        <f>0.127*M198</f>
        <v>0</v>
      </c>
      <c r="P198" s="24">
        <f>0.00129*M198</f>
        <v>0</v>
      </c>
      <c r="Q198" s="25"/>
      <c r="R198" s="26"/>
      <c r="S198" s="26" t="s">
        <v>29</v>
      </c>
      <c r="T198" s="6"/>
      <c r="U198" s="6" t="s">
        <v>675</v>
      </c>
      <c r="V198" s="33" t="s">
        <v>35</v>
      </c>
    </row>
    <row r="199" spans="2:22" ht="21" customHeight="1" outlineLevel="4" x14ac:dyDescent="0.2">
      <c r="B199" s="5">
        <v>168</v>
      </c>
      <c r="C199" s="6" t="s">
        <v>676</v>
      </c>
      <c r="D199" s="6" t="s">
        <v>677</v>
      </c>
      <c r="E199" s="7" t="s">
        <v>678</v>
      </c>
      <c r="F199" s="13"/>
      <c r="G199" s="14"/>
      <c r="H199" s="15">
        <v>32</v>
      </c>
      <c r="I199" s="14"/>
      <c r="J199" s="15">
        <v>42</v>
      </c>
      <c r="K199" s="5">
        <v>1</v>
      </c>
      <c r="L199" s="16">
        <v>132</v>
      </c>
      <c r="M199" s="12"/>
      <c r="N199" s="14">
        <f t="shared" si="9"/>
        <v>0</v>
      </c>
      <c r="O199" s="23">
        <f>0.134*M199</f>
        <v>0</v>
      </c>
      <c r="P199" s="24">
        <f>0.00093*M199</f>
        <v>0</v>
      </c>
      <c r="Q199" s="25"/>
      <c r="R199" s="26"/>
      <c r="S199" s="26" t="s">
        <v>29</v>
      </c>
      <c r="T199" s="6"/>
      <c r="U199" s="6" t="s">
        <v>679</v>
      </c>
      <c r="V199" s="33" t="s">
        <v>35</v>
      </c>
    </row>
    <row r="200" spans="2:22" ht="21" customHeight="1" outlineLevel="4" x14ac:dyDescent="0.2">
      <c r="B200" s="2">
        <v>169</v>
      </c>
      <c r="C200" s="3" t="s">
        <v>680</v>
      </c>
      <c r="D200" s="3" t="s">
        <v>681</v>
      </c>
      <c r="E200" s="4" t="s">
        <v>682</v>
      </c>
      <c r="F200" s="8"/>
      <c r="G200" s="9"/>
      <c r="H200" s="10">
        <v>32</v>
      </c>
      <c r="I200" s="9"/>
      <c r="J200" s="10">
        <v>15</v>
      </c>
      <c r="K200" s="2">
        <v>1</v>
      </c>
      <c r="L200" s="19">
        <v>55.066666666666663</v>
      </c>
      <c r="M200" s="12"/>
      <c r="N200" s="9">
        <f t="shared" si="9"/>
        <v>0</v>
      </c>
      <c r="O200" s="29">
        <f>0.127*M200</f>
        <v>0</v>
      </c>
      <c r="P200" s="30">
        <f>0.00073*M200</f>
        <v>0</v>
      </c>
      <c r="Q200" s="21"/>
      <c r="R200" s="22" t="s">
        <v>683</v>
      </c>
      <c r="S200" s="22" t="s">
        <v>29</v>
      </c>
      <c r="T200" s="3"/>
      <c r="U200" s="3"/>
      <c r="V200" s="32" t="s">
        <v>30</v>
      </c>
    </row>
    <row r="201" spans="2:22" ht="21" customHeight="1" outlineLevel="4" x14ac:dyDescent="0.2">
      <c r="B201" s="5">
        <v>170</v>
      </c>
      <c r="C201" s="6" t="s">
        <v>684</v>
      </c>
      <c r="D201" s="6" t="s">
        <v>685</v>
      </c>
      <c r="E201" s="7" t="s">
        <v>686</v>
      </c>
      <c r="F201" s="13"/>
      <c r="G201" s="14"/>
      <c r="H201" s="15">
        <v>32</v>
      </c>
      <c r="I201" s="14"/>
      <c r="J201" s="15">
        <v>47</v>
      </c>
      <c r="K201" s="5">
        <v>1</v>
      </c>
      <c r="L201" s="16">
        <v>118.66666666666667</v>
      </c>
      <c r="M201" s="12"/>
      <c r="N201" s="14">
        <f t="shared" si="9"/>
        <v>0</v>
      </c>
      <c r="O201" s="23">
        <f>0.134*M201</f>
        <v>0</v>
      </c>
      <c r="P201" s="24">
        <f>0.00079*M201</f>
        <v>0</v>
      </c>
      <c r="Q201" s="25"/>
      <c r="R201" s="26"/>
      <c r="S201" s="26" t="s">
        <v>29</v>
      </c>
      <c r="T201" s="6" t="str">
        <f>HYPERLINK("https://kanzpp.ru/api/getInfo/image/9f9fa2b2-d1d5-11ec-a212-ac1f6b442185")</f>
        <v>https://kanzpp.ru/api/getInfo/image/9f9fa2b2-d1d5-11ec-a212-ac1f6b442185</v>
      </c>
      <c r="U201" s="6" t="s">
        <v>687</v>
      </c>
      <c r="V201" s="33" t="s">
        <v>35</v>
      </c>
    </row>
    <row r="202" spans="2:22" ht="21" customHeight="1" outlineLevel="4" x14ac:dyDescent="0.2">
      <c r="B202" s="2">
        <v>171</v>
      </c>
      <c r="C202" s="3" t="s">
        <v>688</v>
      </c>
      <c r="D202" s="3" t="s">
        <v>689</v>
      </c>
      <c r="E202" s="4" t="s">
        <v>690</v>
      </c>
      <c r="F202" s="8"/>
      <c r="G202" s="9"/>
      <c r="H202" s="10">
        <v>24</v>
      </c>
      <c r="I202" s="10">
        <v>1</v>
      </c>
      <c r="J202" s="10">
        <v>11</v>
      </c>
      <c r="K202" s="2">
        <v>1</v>
      </c>
      <c r="L202" s="18">
        <v>86.56</v>
      </c>
      <c r="M202" s="12"/>
      <c r="N202" s="9">
        <f t="shared" si="9"/>
        <v>0</v>
      </c>
      <c r="O202" s="29">
        <f>0.176*M202</f>
        <v>0</v>
      </c>
      <c r="P202" s="30">
        <f>0.00125*M202</f>
        <v>0</v>
      </c>
      <c r="Q202" s="21"/>
      <c r="R202" s="22" t="s">
        <v>691</v>
      </c>
      <c r="S202" s="22" t="s">
        <v>29</v>
      </c>
      <c r="T202" s="3" t="str">
        <f>HYPERLINK("https://kanzpp.ru/api/getInfo/image/0f04f538-d2ff-11ea-a250-ac1f6b442184")</f>
        <v>https://kanzpp.ru/api/getInfo/image/0f04f538-d2ff-11ea-a250-ac1f6b442184</v>
      </c>
      <c r="U202" s="3"/>
      <c r="V202" s="32" t="s">
        <v>30</v>
      </c>
    </row>
    <row r="203" spans="2:22" ht="21" customHeight="1" outlineLevel="4" x14ac:dyDescent="0.2">
      <c r="B203" s="2">
        <v>172</v>
      </c>
      <c r="C203" s="3" t="s">
        <v>692</v>
      </c>
      <c r="D203" s="3" t="s">
        <v>693</v>
      </c>
      <c r="E203" s="4" t="s">
        <v>694</v>
      </c>
      <c r="F203" s="8"/>
      <c r="G203" s="9"/>
      <c r="H203" s="10">
        <v>40</v>
      </c>
      <c r="I203" s="9"/>
      <c r="J203" s="10">
        <v>50</v>
      </c>
      <c r="K203" s="2">
        <v>1</v>
      </c>
      <c r="L203" s="35">
        <v>46.666666666666664</v>
      </c>
      <c r="M203" s="12"/>
      <c r="N203" s="9">
        <f t="shared" si="9"/>
        <v>0</v>
      </c>
      <c r="O203" s="11">
        <f>0.04*M203</f>
        <v>0</v>
      </c>
      <c r="P203" s="30">
        <f>0.00085*M203</f>
        <v>0</v>
      </c>
      <c r="Q203" s="21"/>
      <c r="R203" s="22" t="s">
        <v>695</v>
      </c>
      <c r="S203" s="22" t="s">
        <v>29</v>
      </c>
      <c r="T203" s="3" t="str">
        <f>HYPERLINK("https://kanzpp.ru/api/getInfo/image/6cfbc4c9-b4c4-11e8-a209-ac1f6b442184")</f>
        <v>https://kanzpp.ru/api/getInfo/image/6cfbc4c9-b4c4-11e8-a209-ac1f6b442184</v>
      </c>
      <c r="U203" s="3"/>
      <c r="V203" s="32" t="s">
        <v>30</v>
      </c>
    </row>
    <row r="204" spans="2:22" ht="21" customHeight="1" outlineLevel="4" x14ac:dyDescent="0.2">
      <c r="B204" s="2">
        <v>173</v>
      </c>
      <c r="C204" s="3" t="s">
        <v>696</v>
      </c>
      <c r="D204" s="3" t="s">
        <v>697</v>
      </c>
      <c r="E204" s="4" t="s">
        <v>698</v>
      </c>
      <c r="F204" s="8"/>
      <c r="G204" s="9"/>
      <c r="H204" s="10">
        <v>50</v>
      </c>
      <c r="I204" s="10">
        <v>1</v>
      </c>
      <c r="J204" s="10">
        <v>1</v>
      </c>
      <c r="K204" s="2">
        <v>1</v>
      </c>
      <c r="L204" s="18">
        <v>45.413333333333334</v>
      </c>
      <c r="M204" s="12"/>
      <c r="N204" s="9">
        <f t="shared" si="9"/>
        <v>0</v>
      </c>
      <c r="O204" s="29">
        <f>0.028*M204</f>
        <v>0</v>
      </c>
      <c r="P204" s="30">
        <f>0.00037*M204</f>
        <v>0</v>
      </c>
      <c r="Q204" s="21"/>
      <c r="R204" s="22" t="s">
        <v>699</v>
      </c>
      <c r="S204" s="22" t="s">
        <v>29</v>
      </c>
      <c r="T204" s="3" t="str">
        <f>HYPERLINK("https://kanzpp.ru/api/getInfo/image/3f569ea9-16eb-11ec-a20f-ac1f6b442185")</f>
        <v>https://kanzpp.ru/api/getInfo/image/3f569ea9-16eb-11ec-a20f-ac1f6b442185</v>
      </c>
      <c r="U204" s="3"/>
      <c r="V204" s="32" t="s">
        <v>30</v>
      </c>
    </row>
    <row r="205" spans="2:22" ht="21" customHeight="1" outlineLevel="4" x14ac:dyDescent="0.2">
      <c r="B205" s="5">
        <v>174</v>
      </c>
      <c r="C205" s="6" t="s">
        <v>700</v>
      </c>
      <c r="D205" s="6" t="s">
        <v>701</v>
      </c>
      <c r="E205" s="7" t="s">
        <v>702</v>
      </c>
      <c r="F205" s="13"/>
      <c r="G205" s="14"/>
      <c r="H205" s="15">
        <v>50</v>
      </c>
      <c r="I205" s="15">
        <v>1</v>
      </c>
      <c r="J205" s="15">
        <v>223</v>
      </c>
      <c r="K205" s="5">
        <v>2</v>
      </c>
      <c r="L205" s="16">
        <v>38.666666666666664</v>
      </c>
      <c r="M205" s="12"/>
      <c r="N205" s="14">
        <f t="shared" si="9"/>
        <v>0</v>
      </c>
      <c r="O205" s="23">
        <f>0.028*M205</f>
        <v>0</v>
      </c>
      <c r="P205" s="24">
        <f>0.00037*M205</f>
        <v>0</v>
      </c>
      <c r="Q205" s="25"/>
      <c r="R205" s="26" t="s">
        <v>703</v>
      </c>
      <c r="S205" s="26" t="s">
        <v>29</v>
      </c>
      <c r="T205" s="6" t="str">
        <f>HYPERLINK("https://kanzpp.ru/api/getInfo/image/6bc5d4f0-16eb-11ec-a20f-ac1f6b442185")</f>
        <v>https://kanzpp.ru/api/getInfo/image/6bc5d4f0-16eb-11ec-a20f-ac1f6b442185</v>
      </c>
      <c r="U205" s="6"/>
      <c r="V205" s="33" t="s">
        <v>35</v>
      </c>
    </row>
    <row r="206" spans="2:22" ht="21" customHeight="1" outlineLevel="4" x14ac:dyDescent="0.2">
      <c r="B206" s="5">
        <v>175</v>
      </c>
      <c r="C206" s="6" t="s">
        <v>704</v>
      </c>
      <c r="D206" s="6" t="s">
        <v>705</v>
      </c>
      <c r="E206" s="7" t="s">
        <v>706</v>
      </c>
      <c r="F206" s="13"/>
      <c r="G206" s="14"/>
      <c r="H206" s="15">
        <v>50</v>
      </c>
      <c r="I206" s="14"/>
      <c r="J206" s="15">
        <v>36</v>
      </c>
      <c r="K206" s="5">
        <v>2</v>
      </c>
      <c r="L206" s="16">
        <v>38.666666666666664</v>
      </c>
      <c r="M206" s="12"/>
      <c r="N206" s="14">
        <f t="shared" si="9"/>
        <v>0</v>
      </c>
      <c r="O206" s="23">
        <f>0.028*M206</f>
        <v>0</v>
      </c>
      <c r="P206" s="24">
        <f>0.00037*M206</f>
        <v>0</v>
      </c>
      <c r="Q206" s="25"/>
      <c r="R206" s="26" t="s">
        <v>707</v>
      </c>
      <c r="S206" s="26" t="s">
        <v>29</v>
      </c>
      <c r="T206" s="6" t="str">
        <f>HYPERLINK("https://kanzpp.ru/api/getInfo/image/8ee96206-d1f9-11ec-a212-ac1f6b442185")</f>
        <v>https://kanzpp.ru/api/getInfo/image/8ee96206-d1f9-11ec-a212-ac1f6b442185</v>
      </c>
      <c r="U206" s="6"/>
      <c r="V206" s="33" t="s">
        <v>35</v>
      </c>
    </row>
    <row r="207" spans="2:22" ht="21" customHeight="1" outlineLevel="4" x14ac:dyDescent="0.2">
      <c r="B207" s="5">
        <v>176</v>
      </c>
      <c r="C207" s="6" t="s">
        <v>708</v>
      </c>
      <c r="D207" s="6" t="s">
        <v>709</v>
      </c>
      <c r="E207" s="7" t="s">
        <v>710</v>
      </c>
      <c r="F207" s="13"/>
      <c r="G207" s="14"/>
      <c r="H207" s="15">
        <v>50</v>
      </c>
      <c r="I207" s="14"/>
      <c r="J207" s="15">
        <v>322</v>
      </c>
      <c r="K207" s="5">
        <v>2</v>
      </c>
      <c r="L207" s="16">
        <v>38.666666666666664</v>
      </c>
      <c r="M207" s="12"/>
      <c r="N207" s="14">
        <f t="shared" si="9"/>
        <v>0</v>
      </c>
      <c r="O207" s="23">
        <f>0.028*M207</f>
        <v>0</v>
      </c>
      <c r="P207" s="24">
        <f>0.00037*M207</f>
        <v>0</v>
      </c>
      <c r="Q207" s="25"/>
      <c r="R207" s="26" t="s">
        <v>711</v>
      </c>
      <c r="S207" s="26" t="s">
        <v>29</v>
      </c>
      <c r="T207" s="6" t="str">
        <f>HYPERLINK("https://kanzpp.ru/api/getInfo/image/e037abc6-d1f9-11ec-a212-ac1f6b442185")</f>
        <v>https://kanzpp.ru/api/getInfo/image/e037abc6-d1f9-11ec-a212-ac1f6b442185</v>
      </c>
      <c r="U207" s="6"/>
      <c r="V207" s="33" t="s">
        <v>35</v>
      </c>
    </row>
    <row r="208" spans="2:22" ht="21" customHeight="1" outlineLevel="4" x14ac:dyDescent="0.2">
      <c r="B208" s="5">
        <v>177</v>
      </c>
      <c r="C208" s="6" t="s">
        <v>712</v>
      </c>
      <c r="D208" s="6" t="s">
        <v>713</v>
      </c>
      <c r="E208" s="7" t="s">
        <v>714</v>
      </c>
      <c r="F208" s="13"/>
      <c r="G208" s="14"/>
      <c r="H208" s="15">
        <v>50</v>
      </c>
      <c r="I208" s="14"/>
      <c r="J208" s="15">
        <v>617</v>
      </c>
      <c r="K208" s="5">
        <v>1</v>
      </c>
      <c r="L208" s="16">
        <v>38.666666666666664</v>
      </c>
      <c r="M208" s="12"/>
      <c r="N208" s="14">
        <f t="shared" si="9"/>
        <v>0</v>
      </c>
      <c r="O208" s="23">
        <f>0.039*M208</f>
        <v>0</v>
      </c>
      <c r="P208" s="24">
        <f>0.00039*M208</f>
        <v>0</v>
      </c>
      <c r="Q208" s="25"/>
      <c r="R208" s="26" t="s">
        <v>715</v>
      </c>
      <c r="S208" s="26" t="s">
        <v>29</v>
      </c>
      <c r="T208" s="6" t="str">
        <f>HYPERLINK("https://kanzpp.ru/api/getInfo/image/bb911e8b-24df-11ec-a20f-ac1f6b442185")</f>
        <v>https://kanzpp.ru/api/getInfo/image/bb911e8b-24df-11ec-a20f-ac1f6b442185</v>
      </c>
      <c r="U208" s="6"/>
      <c r="V208" s="33" t="s">
        <v>35</v>
      </c>
    </row>
    <row r="209" spans="2:22" ht="21" customHeight="1" outlineLevel="4" x14ac:dyDescent="0.2">
      <c r="B209" s="5">
        <v>178</v>
      </c>
      <c r="C209" s="6" t="s">
        <v>716</v>
      </c>
      <c r="D209" s="6" t="s">
        <v>717</v>
      </c>
      <c r="E209" s="7" t="s">
        <v>718</v>
      </c>
      <c r="F209" s="13"/>
      <c r="G209" s="14"/>
      <c r="H209" s="15">
        <v>50</v>
      </c>
      <c r="I209" s="14"/>
      <c r="J209" s="15">
        <v>241</v>
      </c>
      <c r="K209" s="5">
        <v>1</v>
      </c>
      <c r="L209" s="16">
        <v>38.666666666666664</v>
      </c>
      <c r="M209" s="12"/>
      <c r="N209" s="14">
        <f t="shared" si="9"/>
        <v>0</v>
      </c>
      <c r="O209" s="23">
        <f>0.037*M209</f>
        <v>0</v>
      </c>
      <c r="P209" s="24">
        <f>0.00005*M209</f>
        <v>0</v>
      </c>
      <c r="Q209" s="25"/>
      <c r="R209" s="26" t="s">
        <v>719</v>
      </c>
      <c r="S209" s="26" t="s">
        <v>29</v>
      </c>
      <c r="T209" s="6" t="str">
        <f>HYPERLINK("https://kanzpp.ru/api/getInfo/image/7d3a5e27-24e0-11ec-a20f-ac1f6b442185")</f>
        <v>https://kanzpp.ru/api/getInfo/image/7d3a5e27-24e0-11ec-a20f-ac1f6b442185</v>
      </c>
      <c r="U209" s="6"/>
      <c r="V209" s="33" t="s">
        <v>35</v>
      </c>
    </row>
    <row r="210" spans="2:22" ht="21" customHeight="1" outlineLevel="4" x14ac:dyDescent="0.2">
      <c r="B210" s="5">
        <v>179</v>
      </c>
      <c r="C210" s="6" t="s">
        <v>720</v>
      </c>
      <c r="D210" s="6" t="s">
        <v>721</v>
      </c>
      <c r="E210" s="7" t="s">
        <v>722</v>
      </c>
      <c r="F210" s="13"/>
      <c r="G210" s="14"/>
      <c r="H210" s="15">
        <v>50</v>
      </c>
      <c r="I210" s="14"/>
      <c r="J210" s="15">
        <v>540</v>
      </c>
      <c r="K210" s="5">
        <v>1</v>
      </c>
      <c r="L210" s="16">
        <v>38.666666666666664</v>
      </c>
      <c r="M210" s="12"/>
      <c r="N210" s="14">
        <f t="shared" ref="N210:N241" si="10">L210*M210</f>
        <v>0</v>
      </c>
      <c r="O210" s="28">
        <f>0.04*M210</f>
        <v>0</v>
      </c>
      <c r="P210" s="24">
        <f>0.00016*M210</f>
        <v>0</v>
      </c>
      <c r="Q210" s="25"/>
      <c r="R210" s="26" t="s">
        <v>723</v>
      </c>
      <c r="S210" s="26" t="s">
        <v>29</v>
      </c>
      <c r="T210" s="6" t="str">
        <f>HYPERLINK("https://kanzpp.ru/api/getInfo/image/137bf45f-24e0-11ec-a20f-ac1f6b442185")</f>
        <v>https://kanzpp.ru/api/getInfo/image/137bf45f-24e0-11ec-a20f-ac1f6b442185</v>
      </c>
      <c r="U210" s="6"/>
      <c r="V210" s="33" t="s">
        <v>35</v>
      </c>
    </row>
    <row r="211" spans="2:22" ht="21" customHeight="1" outlineLevel="4" x14ac:dyDescent="0.2">
      <c r="B211" s="5">
        <v>180</v>
      </c>
      <c r="C211" s="6" t="s">
        <v>724</v>
      </c>
      <c r="D211" s="6" t="s">
        <v>725</v>
      </c>
      <c r="E211" s="7" t="s">
        <v>726</v>
      </c>
      <c r="F211" s="13"/>
      <c r="G211" s="14"/>
      <c r="H211" s="15">
        <v>50</v>
      </c>
      <c r="I211" s="14"/>
      <c r="J211" s="15">
        <v>510</v>
      </c>
      <c r="K211" s="5">
        <v>1</v>
      </c>
      <c r="L211" s="16">
        <v>38.666666666666664</v>
      </c>
      <c r="M211" s="12"/>
      <c r="N211" s="14">
        <f t="shared" si="10"/>
        <v>0</v>
      </c>
      <c r="O211" s="28">
        <f>0.04*M211</f>
        <v>0</v>
      </c>
      <c r="P211" s="24">
        <f>0.00033*M211</f>
        <v>0</v>
      </c>
      <c r="Q211" s="25"/>
      <c r="R211" s="26" t="s">
        <v>727</v>
      </c>
      <c r="S211" s="26" t="s">
        <v>29</v>
      </c>
      <c r="T211" s="6" t="str">
        <f>HYPERLINK("https://kanzpp.ru/api/getInfo/image/54101fb6-24e0-11ec-a20f-ac1f6b442185")</f>
        <v>https://kanzpp.ru/api/getInfo/image/54101fb6-24e0-11ec-a20f-ac1f6b442185</v>
      </c>
      <c r="U211" s="6"/>
      <c r="V211" s="33" t="s">
        <v>35</v>
      </c>
    </row>
    <row r="212" spans="2:22" ht="21" customHeight="1" outlineLevel="4" x14ac:dyDescent="0.2">
      <c r="B212" s="5">
        <v>181</v>
      </c>
      <c r="C212" s="6" t="s">
        <v>728</v>
      </c>
      <c r="D212" s="6" t="s">
        <v>729</v>
      </c>
      <c r="E212" s="7" t="s">
        <v>730</v>
      </c>
      <c r="F212" s="13"/>
      <c r="G212" s="14"/>
      <c r="H212" s="15">
        <v>40</v>
      </c>
      <c r="I212" s="14"/>
      <c r="J212" s="15">
        <v>111</v>
      </c>
      <c r="K212" s="5">
        <v>2</v>
      </c>
      <c r="L212" s="16">
        <v>100</v>
      </c>
      <c r="M212" s="12"/>
      <c r="N212" s="14">
        <f t="shared" si="10"/>
        <v>0</v>
      </c>
      <c r="O212" s="23">
        <f>0.043*M212</f>
        <v>0</v>
      </c>
      <c r="P212" s="24">
        <f>0.00007*M212</f>
        <v>0</v>
      </c>
      <c r="Q212" s="25"/>
      <c r="R212" s="26" t="s">
        <v>731</v>
      </c>
      <c r="S212" s="26" t="s">
        <v>29</v>
      </c>
      <c r="T212" s="6" t="str">
        <f>HYPERLINK("https://kanzpp.ru/api/getInfo/image/7a8534b6-16ec-11ec-a20f-ac1f6b442185")</f>
        <v>https://kanzpp.ru/api/getInfo/image/7a8534b6-16ec-11ec-a20f-ac1f6b442185</v>
      </c>
      <c r="U212" s="6"/>
      <c r="V212" s="33" t="s">
        <v>35</v>
      </c>
    </row>
    <row r="213" spans="2:22" ht="21" customHeight="1" outlineLevel="4" x14ac:dyDescent="0.2">
      <c r="B213" s="5">
        <v>182</v>
      </c>
      <c r="C213" s="6" t="s">
        <v>732</v>
      </c>
      <c r="D213" s="6" t="s">
        <v>733</v>
      </c>
      <c r="E213" s="7" t="s">
        <v>734</v>
      </c>
      <c r="F213" s="13"/>
      <c r="G213" s="14"/>
      <c r="H213" s="15">
        <v>50</v>
      </c>
      <c r="I213" s="14"/>
      <c r="J213" s="15">
        <v>355</v>
      </c>
      <c r="K213" s="5">
        <v>2</v>
      </c>
      <c r="L213" s="16">
        <v>38.666666666666664</v>
      </c>
      <c r="M213" s="12"/>
      <c r="N213" s="14">
        <f t="shared" si="10"/>
        <v>0</v>
      </c>
      <c r="O213" s="23">
        <f>0.028*M213</f>
        <v>0</v>
      </c>
      <c r="P213" s="24">
        <f>0.00037*M213</f>
        <v>0</v>
      </c>
      <c r="Q213" s="25"/>
      <c r="R213" s="26" t="s">
        <v>735</v>
      </c>
      <c r="S213" s="26" t="s">
        <v>29</v>
      </c>
      <c r="T213" s="6" t="str">
        <f>HYPERLINK("https://kanzpp.ru/api/getInfo/image/46c068dd-d1f9-11ec-a212-ac1f6b442185")</f>
        <v>https://kanzpp.ru/api/getInfo/image/46c068dd-d1f9-11ec-a212-ac1f6b442185</v>
      </c>
      <c r="U213" s="6"/>
      <c r="V213" s="33" t="s">
        <v>35</v>
      </c>
    </row>
    <row r="214" spans="2:22" ht="21" customHeight="1" outlineLevel="4" x14ac:dyDescent="0.2">
      <c r="B214" s="5">
        <v>183</v>
      </c>
      <c r="C214" s="6" t="s">
        <v>736</v>
      </c>
      <c r="D214" s="6" t="s">
        <v>737</v>
      </c>
      <c r="E214" s="7" t="s">
        <v>738</v>
      </c>
      <c r="F214" s="13"/>
      <c r="G214" s="14"/>
      <c r="H214" s="15">
        <v>50</v>
      </c>
      <c r="I214" s="14"/>
      <c r="J214" s="15">
        <v>91</v>
      </c>
      <c r="K214" s="5">
        <v>2</v>
      </c>
      <c r="L214" s="16">
        <v>38.666666666666664</v>
      </c>
      <c r="M214" s="12"/>
      <c r="N214" s="14">
        <f t="shared" si="10"/>
        <v>0</v>
      </c>
      <c r="O214" s="23">
        <f>0.028*M214</f>
        <v>0</v>
      </c>
      <c r="P214" s="24">
        <f>0.00037*M214</f>
        <v>0</v>
      </c>
      <c r="Q214" s="25"/>
      <c r="R214" s="26" t="s">
        <v>739</v>
      </c>
      <c r="S214" s="26" t="s">
        <v>29</v>
      </c>
      <c r="T214" s="6" t="str">
        <f>HYPERLINK("https://kanzpp.ru/api/getInfo/image/bec1270b-d1f9-11ec-a212-ac1f6b442185")</f>
        <v>https://kanzpp.ru/api/getInfo/image/bec1270b-d1f9-11ec-a212-ac1f6b442185</v>
      </c>
      <c r="U214" s="6"/>
      <c r="V214" s="33" t="s">
        <v>35</v>
      </c>
    </row>
    <row r="215" spans="2:22" ht="21" customHeight="1" outlineLevel="4" x14ac:dyDescent="0.2">
      <c r="B215" s="2">
        <v>184</v>
      </c>
      <c r="C215" s="3" t="s">
        <v>740</v>
      </c>
      <c r="D215" s="3" t="s">
        <v>741</v>
      </c>
      <c r="E215" s="4" t="s">
        <v>742</v>
      </c>
      <c r="F215" s="8"/>
      <c r="G215" s="9"/>
      <c r="H215" s="10">
        <v>40</v>
      </c>
      <c r="I215" s="9"/>
      <c r="J215" s="10">
        <v>44</v>
      </c>
      <c r="K215" s="2">
        <v>1</v>
      </c>
      <c r="L215" s="18">
        <v>46.120000000000005</v>
      </c>
      <c r="M215" s="12"/>
      <c r="N215" s="9">
        <f t="shared" si="10"/>
        <v>0</v>
      </c>
      <c r="O215" s="11">
        <f>0.04*M215</f>
        <v>0</v>
      </c>
      <c r="P215" s="30">
        <f>0.00085*M215</f>
        <v>0</v>
      </c>
      <c r="Q215" s="21"/>
      <c r="R215" s="22" t="s">
        <v>743</v>
      </c>
      <c r="S215" s="22" t="s">
        <v>29</v>
      </c>
      <c r="T215" s="3" t="str">
        <f>HYPERLINK("https://kanzpp.ru/api/getInfo/image/3e8d48e5-b4c5-11e8-a209-ac1f6b442184")</f>
        <v>https://kanzpp.ru/api/getInfo/image/3e8d48e5-b4c5-11e8-a209-ac1f6b442184</v>
      </c>
      <c r="U215" s="3"/>
      <c r="V215" s="32" t="s">
        <v>30</v>
      </c>
    </row>
    <row r="216" spans="2:22" ht="21" customHeight="1" outlineLevel="4" x14ac:dyDescent="0.2">
      <c r="B216" s="5">
        <v>185</v>
      </c>
      <c r="C216" s="6" t="s">
        <v>744</v>
      </c>
      <c r="D216" s="6" t="s">
        <v>745</v>
      </c>
      <c r="E216" s="7" t="s">
        <v>746</v>
      </c>
      <c r="F216" s="13"/>
      <c r="G216" s="14"/>
      <c r="H216" s="15">
        <v>50</v>
      </c>
      <c r="I216" s="14"/>
      <c r="J216" s="15">
        <v>177</v>
      </c>
      <c r="K216" s="5">
        <v>1</v>
      </c>
      <c r="L216" s="16">
        <v>52.853333333333332</v>
      </c>
      <c r="M216" s="12"/>
      <c r="N216" s="14">
        <f t="shared" si="10"/>
        <v>0</v>
      </c>
      <c r="O216" s="28">
        <f>0.09*M216</f>
        <v>0</v>
      </c>
      <c r="P216" s="24">
        <f>0.00105*M216</f>
        <v>0</v>
      </c>
      <c r="Q216" s="25"/>
      <c r="R216" s="26"/>
      <c r="S216" s="26" t="s">
        <v>29</v>
      </c>
      <c r="T216" s="6" t="str">
        <f>HYPERLINK("https://kanzpp.ru/api/getInfo/image/0f9f461f-22ac-11ec-a20f-ac1f6b442185")</f>
        <v>https://kanzpp.ru/api/getInfo/image/0f9f461f-22ac-11ec-a20f-ac1f6b442185</v>
      </c>
      <c r="U216" s="6" t="s">
        <v>747</v>
      </c>
      <c r="V216" s="33" t="s">
        <v>35</v>
      </c>
    </row>
    <row r="217" spans="2:22" ht="21" customHeight="1" outlineLevel="4" x14ac:dyDescent="0.2">
      <c r="B217" s="5">
        <v>186</v>
      </c>
      <c r="C217" s="6" t="s">
        <v>748</v>
      </c>
      <c r="D217" s="6" t="s">
        <v>749</v>
      </c>
      <c r="E217" s="7" t="s">
        <v>750</v>
      </c>
      <c r="F217" s="13"/>
      <c r="G217" s="14"/>
      <c r="H217" s="15">
        <v>50</v>
      </c>
      <c r="I217" s="14"/>
      <c r="J217" s="15">
        <v>188</v>
      </c>
      <c r="K217" s="5">
        <v>1</v>
      </c>
      <c r="L217" s="16">
        <v>52.853333333333332</v>
      </c>
      <c r="M217" s="12"/>
      <c r="N217" s="14">
        <f t="shared" si="10"/>
        <v>0</v>
      </c>
      <c r="O217" s="23">
        <f>0.087*M217</f>
        <v>0</v>
      </c>
      <c r="P217" s="24">
        <f>0.00121*M217</f>
        <v>0</v>
      </c>
      <c r="Q217" s="25"/>
      <c r="R217" s="26"/>
      <c r="S217" s="26" t="s">
        <v>29</v>
      </c>
      <c r="T217" s="6" t="str">
        <f>HYPERLINK("https://kanzpp.ru/api/getInfo/image/5547f5e2-22ab-11ec-a20f-ac1f6b442185")</f>
        <v>https://kanzpp.ru/api/getInfo/image/5547f5e2-22ab-11ec-a20f-ac1f6b442185</v>
      </c>
      <c r="U217" s="6" t="s">
        <v>751</v>
      </c>
      <c r="V217" s="33" t="s">
        <v>35</v>
      </c>
    </row>
    <row r="218" spans="2:22" ht="21" customHeight="1" outlineLevel="4" x14ac:dyDescent="0.2">
      <c r="B218" s="5">
        <v>187</v>
      </c>
      <c r="C218" s="6" t="s">
        <v>752</v>
      </c>
      <c r="D218" s="6" t="s">
        <v>753</v>
      </c>
      <c r="E218" s="7" t="s">
        <v>754</v>
      </c>
      <c r="F218" s="13"/>
      <c r="G218" s="14"/>
      <c r="H218" s="15">
        <v>50</v>
      </c>
      <c r="I218" s="14"/>
      <c r="J218" s="15">
        <v>93</v>
      </c>
      <c r="K218" s="5">
        <v>1</v>
      </c>
      <c r="L218" s="16">
        <v>52.853333333333332</v>
      </c>
      <c r="M218" s="12"/>
      <c r="N218" s="14">
        <f t="shared" si="10"/>
        <v>0</v>
      </c>
      <c r="O218" s="28">
        <f>0.09*M218</f>
        <v>0</v>
      </c>
      <c r="P218" s="24">
        <f>0.00105*M218</f>
        <v>0</v>
      </c>
      <c r="Q218" s="25"/>
      <c r="R218" s="26"/>
      <c r="S218" s="26" t="s">
        <v>29</v>
      </c>
      <c r="T218" s="6" t="str">
        <f>HYPERLINK("https://kanzpp.ru/api/getInfo/image/c33bf70b-22ab-11ec-a20f-ac1f6b442185")</f>
        <v>https://kanzpp.ru/api/getInfo/image/c33bf70b-22ab-11ec-a20f-ac1f6b442185</v>
      </c>
      <c r="U218" s="6" t="s">
        <v>755</v>
      </c>
      <c r="V218" s="33" t="s">
        <v>35</v>
      </c>
    </row>
    <row r="219" spans="2:22" ht="21" customHeight="1" outlineLevel="4" x14ac:dyDescent="0.2">
      <c r="B219" s="5">
        <v>188</v>
      </c>
      <c r="C219" s="6" t="s">
        <v>756</v>
      </c>
      <c r="D219" s="6" t="s">
        <v>757</v>
      </c>
      <c r="E219" s="7" t="s">
        <v>758</v>
      </c>
      <c r="F219" s="13"/>
      <c r="G219" s="14"/>
      <c r="H219" s="15">
        <v>50</v>
      </c>
      <c r="I219" s="14"/>
      <c r="J219" s="15">
        <v>1</v>
      </c>
      <c r="K219" s="5">
        <v>1</v>
      </c>
      <c r="L219" s="16">
        <v>52.853333333333332</v>
      </c>
      <c r="M219" s="12"/>
      <c r="N219" s="14">
        <f t="shared" si="10"/>
        <v>0</v>
      </c>
      <c r="O219" s="28">
        <f>0.09*M219</f>
        <v>0</v>
      </c>
      <c r="P219" s="24">
        <f>0.00105*M219</f>
        <v>0</v>
      </c>
      <c r="Q219" s="25"/>
      <c r="R219" s="26"/>
      <c r="S219" s="26" t="s">
        <v>29</v>
      </c>
      <c r="T219" s="6" t="str">
        <f>HYPERLINK("https://kanzpp.ru/api/getInfo/image/5d8c0c1b-22ac-11ec-a20f-ac1f6b442185")</f>
        <v>https://kanzpp.ru/api/getInfo/image/5d8c0c1b-22ac-11ec-a20f-ac1f6b442185</v>
      </c>
      <c r="U219" s="6" t="s">
        <v>759</v>
      </c>
      <c r="V219" s="33" t="s">
        <v>35</v>
      </c>
    </row>
    <row r="220" spans="2:22" ht="21" customHeight="1" outlineLevel="4" x14ac:dyDescent="0.2">
      <c r="B220" s="2">
        <v>189</v>
      </c>
      <c r="C220" s="3" t="s">
        <v>760</v>
      </c>
      <c r="D220" s="3" t="s">
        <v>761</v>
      </c>
      <c r="E220" s="4" t="s">
        <v>762</v>
      </c>
      <c r="F220" s="8"/>
      <c r="G220" s="9"/>
      <c r="H220" s="10">
        <v>50</v>
      </c>
      <c r="I220" s="9"/>
      <c r="J220" s="10">
        <v>3</v>
      </c>
      <c r="K220" s="2">
        <v>1</v>
      </c>
      <c r="L220" s="18">
        <v>67</v>
      </c>
      <c r="M220" s="12"/>
      <c r="N220" s="9">
        <f t="shared" si="10"/>
        <v>0</v>
      </c>
      <c r="O220" s="11">
        <f>0.04*M220</f>
        <v>0</v>
      </c>
      <c r="P220" s="30">
        <f>0.00028*M220</f>
        <v>0</v>
      </c>
      <c r="Q220" s="21"/>
      <c r="R220" s="22" t="s">
        <v>763</v>
      </c>
      <c r="S220" s="22" t="s">
        <v>29</v>
      </c>
      <c r="T220" s="3" t="str">
        <f>HYPERLINK("https://kanzpp.ru/api/getInfo/image/7090b635-40e3-11ea-a240-ac1f6b442184")</f>
        <v>https://kanzpp.ru/api/getInfo/image/7090b635-40e3-11ea-a240-ac1f6b442184</v>
      </c>
      <c r="U220" s="3"/>
      <c r="V220" s="32" t="s">
        <v>30</v>
      </c>
    </row>
    <row r="221" spans="2:22" ht="21" customHeight="1" outlineLevel="4" x14ac:dyDescent="0.2">
      <c r="B221" s="2">
        <v>190</v>
      </c>
      <c r="C221" s="3" t="s">
        <v>764</v>
      </c>
      <c r="D221" s="3" t="s">
        <v>765</v>
      </c>
      <c r="E221" s="4" t="s">
        <v>766</v>
      </c>
      <c r="F221" s="8"/>
      <c r="G221" s="9"/>
      <c r="H221" s="10">
        <v>40</v>
      </c>
      <c r="I221" s="9"/>
      <c r="J221" s="10">
        <v>1</v>
      </c>
      <c r="K221" s="2">
        <v>1</v>
      </c>
      <c r="L221" s="18">
        <v>64.946666666666673</v>
      </c>
      <c r="M221" s="12"/>
      <c r="N221" s="9">
        <f t="shared" si="10"/>
        <v>0</v>
      </c>
      <c r="O221" s="29">
        <f>0.053*M221</f>
        <v>0</v>
      </c>
      <c r="P221" s="30">
        <f>0.00098*M221</f>
        <v>0</v>
      </c>
      <c r="Q221" s="21"/>
      <c r="R221" s="22" t="s">
        <v>767</v>
      </c>
      <c r="S221" s="22" t="s">
        <v>29</v>
      </c>
      <c r="T221" s="3" t="str">
        <f>HYPERLINK("https://kanzpp.ru/api/getInfo/image/ad090513-db69-11e9-a234-ac1f6b442184")</f>
        <v>https://kanzpp.ru/api/getInfo/image/ad090513-db69-11e9-a234-ac1f6b442184</v>
      </c>
      <c r="U221" s="3"/>
      <c r="V221" s="32" t="s">
        <v>30</v>
      </c>
    </row>
    <row r="222" spans="2:22" ht="21" customHeight="1" outlineLevel="4" x14ac:dyDescent="0.2">
      <c r="B222" s="2">
        <v>191</v>
      </c>
      <c r="C222" s="3" t="s">
        <v>768</v>
      </c>
      <c r="D222" s="3" t="s">
        <v>769</v>
      </c>
      <c r="E222" s="4" t="s">
        <v>770</v>
      </c>
      <c r="F222" s="8"/>
      <c r="G222" s="9"/>
      <c r="H222" s="10">
        <v>40</v>
      </c>
      <c r="I222" s="10">
        <v>1</v>
      </c>
      <c r="J222" s="10">
        <v>52</v>
      </c>
      <c r="K222" s="2">
        <v>1</v>
      </c>
      <c r="L222" s="19">
        <v>63.333333333333336</v>
      </c>
      <c r="M222" s="12"/>
      <c r="N222" s="9">
        <f t="shared" si="10"/>
        <v>0</v>
      </c>
      <c r="O222" s="29">
        <f>0.053*M222</f>
        <v>0</v>
      </c>
      <c r="P222" s="30">
        <f>0.00098*M222</f>
        <v>0</v>
      </c>
      <c r="Q222" s="21"/>
      <c r="R222" s="22"/>
      <c r="S222" s="22" t="s">
        <v>29</v>
      </c>
      <c r="T222" s="3"/>
      <c r="U222" s="3" t="s">
        <v>771</v>
      </c>
      <c r="V222" s="32" t="s">
        <v>30</v>
      </c>
    </row>
    <row r="223" spans="2:22" ht="21" customHeight="1" outlineLevel="4" x14ac:dyDescent="0.2">
      <c r="B223" s="2">
        <v>192</v>
      </c>
      <c r="C223" s="3" t="s">
        <v>772</v>
      </c>
      <c r="D223" s="3" t="s">
        <v>773</v>
      </c>
      <c r="E223" s="4" t="s">
        <v>774</v>
      </c>
      <c r="F223" s="8"/>
      <c r="G223" s="9"/>
      <c r="H223" s="9"/>
      <c r="I223" s="9"/>
      <c r="J223" s="10">
        <v>17</v>
      </c>
      <c r="K223" s="2">
        <v>1</v>
      </c>
      <c r="L223" s="18">
        <v>65.12</v>
      </c>
      <c r="M223" s="12"/>
      <c r="N223" s="9">
        <f t="shared" si="10"/>
        <v>0</v>
      </c>
      <c r="O223" s="11">
        <f>0.04*M223</f>
        <v>0</v>
      </c>
      <c r="P223" s="30">
        <f>0.00077*M223</f>
        <v>0</v>
      </c>
      <c r="Q223" s="21"/>
      <c r="R223" s="22" t="s">
        <v>775</v>
      </c>
      <c r="S223" s="22" t="s">
        <v>29</v>
      </c>
      <c r="T223" s="3" t="str">
        <f>HYPERLINK("https://kanzpp.ru/api/getInfo/image/2af74ff7-d2c4-11e9-a234-ac1f6b442184")</f>
        <v>https://kanzpp.ru/api/getInfo/image/2af74ff7-d2c4-11e9-a234-ac1f6b442184</v>
      </c>
      <c r="U223" s="3"/>
      <c r="V223" s="32" t="s">
        <v>30</v>
      </c>
    </row>
    <row r="224" spans="2:22" ht="21" customHeight="1" outlineLevel="4" x14ac:dyDescent="0.2">
      <c r="B224" s="2">
        <v>193</v>
      </c>
      <c r="C224" s="3" t="s">
        <v>776</v>
      </c>
      <c r="D224" s="3" t="s">
        <v>777</v>
      </c>
      <c r="E224" s="4" t="s">
        <v>778</v>
      </c>
      <c r="F224" s="8"/>
      <c r="G224" s="9"/>
      <c r="H224" s="10">
        <v>40</v>
      </c>
      <c r="I224" s="9"/>
      <c r="J224" s="10">
        <v>14</v>
      </c>
      <c r="K224" s="2">
        <v>1</v>
      </c>
      <c r="L224" s="18">
        <v>61.56</v>
      </c>
      <c r="M224" s="12"/>
      <c r="N224" s="9">
        <f t="shared" si="10"/>
        <v>0</v>
      </c>
      <c r="O224" s="11">
        <f>0.04*M224</f>
        <v>0</v>
      </c>
      <c r="P224" s="30">
        <f>0.00008*M224</f>
        <v>0</v>
      </c>
      <c r="Q224" s="21"/>
      <c r="R224" s="22"/>
      <c r="S224" s="22" t="s">
        <v>29</v>
      </c>
      <c r="T224" s="3"/>
      <c r="U224" s="3" t="s">
        <v>779</v>
      </c>
      <c r="V224" s="32" t="s">
        <v>30</v>
      </c>
    </row>
    <row r="225" spans="2:22" ht="21" customHeight="1" outlineLevel="4" x14ac:dyDescent="0.2">
      <c r="B225" s="2">
        <v>194</v>
      </c>
      <c r="C225" s="3" t="s">
        <v>780</v>
      </c>
      <c r="D225" s="3" t="s">
        <v>781</v>
      </c>
      <c r="E225" s="4" t="s">
        <v>782</v>
      </c>
      <c r="F225" s="8"/>
      <c r="G225" s="9"/>
      <c r="H225" s="10">
        <v>40</v>
      </c>
      <c r="I225" s="9"/>
      <c r="J225" s="10">
        <v>1</v>
      </c>
      <c r="K225" s="2">
        <v>1</v>
      </c>
      <c r="L225" s="18">
        <v>61.56</v>
      </c>
      <c r="M225" s="12"/>
      <c r="N225" s="9">
        <f t="shared" si="10"/>
        <v>0</v>
      </c>
      <c r="O225" s="11">
        <f>0.04*M225</f>
        <v>0</v>
      </c>
      <c r="P225" s="30">
        <f>0.00077*M225</f>
        <v>0</v>
      </c>
      <c r="Q225" s="21"/>
      <c r="R225" s="22"/>
      <c r="S225" s="22" t="s">
        <v>29</v>
      </c>
      <c r="T225" s="3"/>
      <c r="U225" s="3" t="s">
        <v>783</v>
      </c>
      <c r="V225" s="32" t="s">
        <v>30</v>
      </c>
    </row>
    <row r="226" spans="2:22" ht="21" customHeight="1" outlineLevel="4" x14ac:dyDescent="0.2">
      <c r="B226" s="2">
        <v>195</v>
      </c>
      <c r="C226" s="3" t="s">
        <v>784</v>
      </c>
      <c r="D226" s="3" t="s">
        <v>785</v>
      </c>
      <c r="E226" s="4" t="s">
        <v>786</v>
      </c>
      <c r="F226" s="8"/>
      <c r="G226" s="9"/>
      <c r="H226" s="10">
        <v>50</v>
      </c>
      <c r="I226" s="9"/>
      <c r="J226" s="10">
        <v>18</v>
      </c>
      <c r="K226" s="2">
        <v>1</v>
      </c>
      <c r="L226" s="18">
        <v>54.04</v>
      </c>
      <c r="M226" s="12"/>
      <c r="N226" s="9">
        <f t="shared" si="10"/>
        <v>0</v>
      </c>
      <c r="O226" s="11">
        <f>0.02*M226</f>
        <v>0</v>
      </c>
      <c r="P226" s="30">
        <f>0.00021*M226</f>
        <v>0</v>
      </c>
      <c r="Q226" s="21"/>
      <c r="R226" s="22" t="s">
        <v>787</v>
      </c>
      <c r="S226" s="22" t="s">
        <v>29</v>
      </c>
      <c r="T226" s="3" t="str">
        <f>HYPERLINK("https://kanzpp.ru/api/getInfo/image/6a7e8093-dac1-11e9-a234-ac1f6b442184")</f>
        <v>https://kanzpp.ru/api/getInfo/image/6a7e8093-dac1-11e9-a234-ac1f6b442184</v>
      </c>
      <c r="U226" s="3"/>
      <c r="V226" s="32" t="s">
        <v>30</v>
      </c>
    </row>
    <row r="227" spans="2:22" ht="21" customHeight="1" outlineLevel="4" x14ac:dyDescent="0.2">
      <c r="B227" s="2">
        <v>196</v>
      </c>
      <c r="C227" s="3" t="s">
        <v>788</v>
      </c>
      <c r="D227" s="3" t="s">
        <v>789</v>
      </c>
      <c r="E227" s="4" t="s">
        <v>790</v>
      </c>
      <c r="F227" s="8"/>
      <c r="G227" s="9"/>
      <c r="H227" s="10">
        <v>50</v>
      </c>
      <c r="I227" s="9"/>
      <c r="J227" s="10">
        <v>42</v>
      </c>
      <c r="K227" s="2">
        <v>1</v>
      </c>
      <c r="L227" s="18">
        <v>54.04</v>
      </c>
      <c r="M227" s="12"/>
      <c r="N227" s="9">
        <f t="shared" si="10"/>
        <v>0</v>
      </c>
      <c r="O227" s="11">
        <f>0.02*M227</f>
        <v>0</v>
      </c>
      <c r="P227" s="30">
        <f>0.00021*M227</f>
        <v>0</v>
      </c>
      <c r="Q227" s="21"/>
      <c r="R227" s="22" t="s">
        <v>791</v>
      </c>
      <c r="S227" s="22" t="s">
        <v>29</v>
      </c>
      <c r="T227" s="3" t="str">
        <f>HYPERLINK("https://kanzpp.ru/api/getInfo/image/260e8ac7-dac2-11e9-a234-ac1f6b442184")</f>
        <v>https://kanzpp.ru/api/getInfo/image/260e8ac7-dac2-11e9-a234-ac1f6b442184</v>
      </c>
      <c r="U227" s="3"/>
      <c r="V227" s="32" t="s">
        <v>30</v>
      </c>
    </row>
    <row r="228" spans="2:22" ht="21" customHeight="1" outlineLevel="4" x14ac:dyDescent="0.2">
      <c r="B228" s="2">
        <v>197</v>
      </c>
      <c r="C228" s="3" t="s">
        <v>792</v>
      </c>
      <c r="D228" s="3" t="s">
        <v>793</v>
      </c>
      <c r="E228" s="4" t="s">
        <v>794</v>
      </c>
      <c r="F228" s="8"/>
      <c r="G228" s="9"/>
      <c r="H228" s="10">
        <v>50</v>
      </c>
      <c r="I228" s="9"/>
      <c r="J228" s="10">
        <v>43</v>
      </c>
      <c r="K228" s="2">
        <v>1</v>
      </c>
      <c r="L228" s="18">
        <v>54.04</v>
      </c>
      <c r="M228" s="12"/>
      <c r="N228" s="9">
        <f t="shared" si="10"/>
        <v>0</v>
      </c>
      <c r="O228" s="11">
        <f>0.02*M228</f>
        <v>0</v>
      </c>
      <c r="P228" s="30">
        <f>0.00021*M228</f>
        <v>0</v>
      </c>
      <c r="Q228" s="21"/>
      <c r="R228" s="22" t="s">
        <v>795</v>
      </c>
      <c r="S228" s="22" t="s">
        <v>29</v>
      </c>
      <c r="T228" s="3" t="str">
        <f>HYPERLINK("https://kanzpp.ru/api/getInfo/image/95f07612-dac2-11e9-a234-ac1f6b442184")</f>
        <v>https://kanzpp.ru/api/getInfo/image/95f07612-dac2-11e9-a234-ac1f6b442184</v>
      </c>
      <c r="U228" s="3"/>
      <c r="V228" s="32" t="s">
        <v>30</v>
      </c>
    </row>
    <row r="229" spans="2:22" ht="21" customHeight="1" outlineLevel="4" x14ac:dyDescent="0.2">
      <c r="B229" s="5">
        <v>198</v>
      </c>
      <c r="C229" s="6" t="s">
        <v>796</v>
      </c>
      <c r="D229" s="6" t="s">
        <v>797</v>
      </c>
      <c r="E229" s="7" t="s">
        <v>798</v>
      </c>
      <c r="F229" s="13"/>
      <c r="G229" s="14"/>
      <c r="H229" s="15">
        <v>40</v>
      </c>
      <c r="I229" s="14"/>
      <c r="J229" s="15">
        <v>9</v>
      </c>
      <c r="K229" s="5">
        <v>2</v>
      </c>
      <c r="L229" s="16">
        <v>25.333333333333332</v>
      </c>
      <c r="M229" s="12"/>
      <c r="N229" s="14">
        <f t="shared" si="10"/>
        <v>0</v>
      </c>
      <c r="O229" s="23">
        <f>0.045*M229</f>
        <v>0</v>
      </c>
      <c r="P229" s="31">
        <f>0.0011*M229</f>
        <v>0</v>
      </c>
      <c r="Q229" s="25"/>
      <c r="R229" s="26" t="s">
        <v>799</v>
      </c>
      <c r="S229" s="26" t="s">
        <v>29</v>
      </c>
      <c r="T229" s="6"/>
      <c r="U229" s="6"/>
      <c r="V229" s="33" t="s">
        <v>35</v>
      </c>
    </row>
    <row r="230" spans="2:22" ht="21" customHeight="1" outlineLevel="4" x14ac:dyDescent="0.2">
      <c r="B230" s="5">
        <v>199</v>
      </c>
      <c r="C230" s="6" t="s">
        <v>800</v>
      </c>
      <c r="D230" s="6" t="s">
        <v>801</v>
      </c>
      <c r="E230" s="7" t="s">
        <v>802</v>
      </c>
      <c r="F230" s="13"/>
      <c r="G230" s="14"/>
      <c r="H230" s="15">
        <v>20</v>
      </c>
      <c r="I230" s="14"/>
      <c r="J230" s="15">
        <v>147</v>
      </c>
      <c r="K230" s="5">
        <v>1</v>
      </c>
      <c r="L230" s="16">
        <v>78.666666666666671</v>
      </c>
      <c r="M230" s="12"/>
      <c r="N230" s="14">
        <f t="shared" si="10"/>
        <v>0</v>
      </c>
      <c r="O230" s="23">
        <f>0.061*M230</f>
        <v>0</v>
      </c>
      <c r="P230" s="24">
        <f>0.00056*M230</f>
        <v>0</v>
      </c>
      <c r="Q230" s="25"/>
      <c r="R230" s="26"/>
      <c r="S230" s="26" t="s">
        <v>29</v>
      </c>
      <c r="T230" s="6"/>
      <c r="U230" s="6" t="s">
        <v>803</v>
      </c>
      <c r="V230" s="33" t="s">
        <v>35</v>
      </c>
    </row>
    <row r="231" spans="2:22" ht="21" customHeight="1" outlineLevel="4" x14ac:dyDescent="0.2">
      <c r="B231" s="2">
        <v>200</v>
      </c>
      <c r="C231" s="3" t="s">
        <v>804</v>
      </c>
      <c r="D231" s="3" t="s">
        <v>805</v>
      </c>
      <c r="E231" s="4" t="s">
        <v>806</v>
      </c>
      <c r="F231" s="8"/>
      <c r="G231" s="9"/>
      <c r="H231" s="10">
        <v>60</v>
      </c>
      <c r="I231" s="9"/>
      <c r="J231" s="10">
        <v>28</v>
      </c>
      <c r="K231" s="2">
        <v>1</v>
      </c>
      <c r="L231" s="18">
        <v>95.74666666666667</v>
      </c>
      <c r="M231" s="12"/>
      <c r="N231" s="9">
        <f t="shared" si="10"/>
        <v>0</v>
      </c>
      <c r="O231" s="11">
        <f>0.07*M231</f>
        <v>0</v>
      </c>
      <c r="P231" s="30">
        <f>0.00052*M231</f>
        <v>0</v>
      </c>
      <c r="Q231" s="21"/>
      <c r="R231" s="22" t="s">
        <v>807</v>
      </c>
      <c r="S231" s="22" t="s">
        <v>29</v>
      </c>
      <c r="T231" s="3" t="str">
        <f>HYPERLINK("https://kanzpp.ru/api/getInfo/image/96357d6c-2d8d-11eb-a25d-ac1f6b442184")</f>
        <v>https://kanzpp.ru/api/getInfo/image/96357d6c-2d8d-11eb-a25d-ac1f6b442184</v>
      </c>
      <c r="U231" s="3"/>
      <c r="V231" s="32" t="s">
        <v>30</v>
      </c>
    </row>
    <row r="232" spans="2:22" ht="21" customHeight="1" outlineLevel="4" x14ac:dyDescent="0.2">
      <c r="B232" s="2">
        <v>201</v>
      </c>
      <c r="C232" s="3" t="s">
        <v>808</v>
      </c>
      <c r="D232" s="3" t="s">
        <v>809</v>
      </c>
      <c r="E232" s="4" t="s">
        <v>810</v>
      </c>
      <c r="F232" s="8"/>
      <c r="G232" s="9"/>
      <c r="H232" s="10">
        <v>40</v>
      </c>
      <c r="I232" s="9"/>
      <c r="J232" s="10">
        <v>50</v>
      </c>
      <c r="K232" s="2">
        <v>1</v>
      </c>
      <c r="L232" s="19">
        <v>59.333333333333336</v>
      </c>
      <c r="M232" s="12"/>
      <c r="N232" s="9">
        <f t="shared" si="10"/>
        <v>0</v>
      </c>
      <c r="O232" s="11">
        <f>0.04*M232</f>
        <v>0</v>
      </c>
      <c r="P232" s="20">
        <f>0.0004*M232</f>
        <v>0</v>
      </c>
      <c r="Q232" s="21"/>
      <c r="R232" s="22" t="s">
        <v>811</v>
      </c>
      <c r="S232" s="22" t="s">
        <v>29</v>
      </c>
      <c r="T232" s="3" t="str">
        <f>HYPERLINK("https://kanzpp.ru/api/getInfo/image/b85eacb8-de03-11e9-a234-ac1f6b442184")</f>
        <v>https://kanzpp.ru/api/getInfo/image/b85eacb8-de03-11e9-a234-ac1f6b442184</v>
      </c>
      <c r="U232" s="3"/>
      <c r="V232" s="32" t="s">
        <v>30</v>
      </c>
    </row>
    <row r="233" spans="2:22" ht="21" customHeight="1" outlineLevel="4" x14ac:dyDescent="0.2">
      <c r="B233" s="2">
        <v>202</v>
      </c>
      <c r="C233" s="3" t="s">
        <v>812</v>
      </c>
      <c r="D233" s="3" t="s">
        <v>813</v>
      </c>
      <c r="E233" s="4" t="s">
        <v>814</v>
      </c>
      <c r="F233" s="8"/>
      <c r="G233" s="9"/>
      <c r="H233" s="10">
        <v>25</v>
      </c>
      <c r="I233" s="9"/>
      <c r="J233" s="10">
        <v>22</v>
      </c>
      <c r="K233" s="2">
        <v>1</v>
      </c>
      <c r="L233" s="18">
        <v>108.48</v>
      </c>
      <c r="M233" s="12"/>
      <c r="N233" s="9">
        <f t="shared" si="10"/>
        <v>0</v>
      </c>
      <c r="O233" s="11">
        <f>0.08*M233</f>
        <v>0</v>
      </c>
      <c r="P233" s="30">
        <f>0.00165*M233</f>
        <v>0</v>
      </c>
      <c r="Q233" s="21"/>
      <c r="R233" s="22" t="s">
        <v>815</v>
      </c>
      <c r="S233" s="22" t="s">
        <v>29</v>
      </c>
      <c r="T233" s="3" t="str">
        <f>HYPERLINK("https://kanzpp.ru/api/getInfo/image/872cb838-b466-11e9-a22e-ac1f6b442184")</f>
        <v>https://kanzpp.ru/api/getInfo/image/872cb838-b466-11e9-a22e-ac1f6b442184</v>
      </c>
      <c r="U233" s="3"/>
      <c r="V233" s="32" t="s">
        <v>30</v>
      </c>
    </row>
    <row r="234" spans="2:22" ht="21" customHeight="1" outlineLevel="4" x14ac:dyDescent="0.2">
      <c r="B234" s="2">
        <v>203</v>
      </c>
      <c r="C234" s="3" t="s">
        <v>816</v>
      </c>
      <c r="D234" s="3" t="s">
        <v>817</v>
      </c>
      <c r="E234" s="4" t="s">
        <v>818</v>
      </c>
      <c r="F234" s="8"/>
      <c r="G234" s="9"/>
      <c r="H234" s="10">
        <v>40</v>
      </c>
      <c r="I234" s="9"/>
      <c r="J234" s="10">
        <v>11</v>
      </c>
      <c r="K234" s="2">
        <v>1</v>
      </c>
      <c r="L234" s="19">
        <v>80.399999999999991</v>
      </c>
      <c r="M234" s="12"/>
      <c r="N234" s="9">
        <f t="shared" si="10"/>
        <v>0</v>
      </c>
      <c r="O234" s="11">
        <f t="shared" ref="O234:O239" si="11">0.04*M234</f>
        <v>0</v>
      </c>
      <c r="P234" s="30">
        <f t="shared" ref="P234:P239" si="12">0.00126*M234</f>
        <v>0</v>
      </c>
      <c r="Q234" s="21"/>
      <c r="R234" s="22" t="s">
        <v>819</v>
      </c>
      <c r="S234" s="22" t="s">
        <v>29</v>
      </c>
      <c r="T234" s="3" t="str">
        <f>HYPERLINK("https://kanzpp.ru/api/getInfo/image/358a521b-dabf-11e9-a234-ac1f6b442184")</f>
        <v>https://kanzpp.ru/api/getInfo/image/358a521b-dabf-11e9-a234-ac1f6b442184</v>
      </c>
      <c r="U234" s="3"/>
      <c r="V234" s="32" t="s">
        <v>30</v>
      </c>
    </row>
    <row r="235" spans="2:22" ht="21" customHeight="1" outlineLevel="4" x14ac:dyDescent="0.2">
      <c r="B235" s="2">
        <v>204</v>
      </c>
      <c r="C235" s="3" t="s">
        <v>820</v>
      </c>
      <c r="D235" s="3" t="s">
        <v>821</v>
      </c>
      <c r="E235" s="4" t="s">
        <v>822</v>
      </c>
      <c r="F235" s="8"/>
      <c r="G235" s="9"/>
      <c r="H235" s="10">
        <v>40</v>
      </c>
      <c r="I235" s="9"/>
      <c r="J235" s="10">
        <v>86</v>
      </c>
      <c r="K235" s="2">
        <v>1</v>
      </c>
      <c r="L235" s="19">
        <v>80.399999999999991</v>
      </c>
      <c r="M235" s="12"/>
      <c r="N235" s="9">
        <f t="shared" si="10"/>
        <v>0</v>
      </c>
      <c r="O235" s="11">
        <f t="shared" si="11"/>
        <v>0</v>
      </c>
      <c r="P235" s="30">
        <f t="shared" si="12"/>
        <v>0</v>
      </c>
      <c r="Q235" s="21"/>
      <c r="R235" s="22" t="s">
        <v>823</v>
      </c>
      <c r="S235" s="22" t="s">
        <v>29</v>
      </c>
      <c r="T235" s="3" t="str">
        <f>HYPERLINK("https://kanzpp.ru/api/getInfo/image/7fa4edd2-dabf-11e9-a234-ac1f6b442184")</f>
        <v>https://kanzpp.ru/api/getInfo/image/7fa4edd2-dabf-11e9-a234-ac1f6b442184</v>
      </c>
      <c r="U235" s="3"/>
      <c r="V235" s="32" t="s">
        <v>30</v>
      </c>
    </row>
    <row r="236" spans="2:22" ht="21" customHeight="1" outlineLevel="4" x14ac:dyDescent="0.2">
      <c r="B236" s="5">
        <v>205</v>
      </c>
      <c r="C236" s="6" t="s">
        <v>824</v>
      </c>
      <c r="D236" s="6" t="s">
        <v>825</v>
      </c>
      <c r="E236" s="7" t="s">
        <v>826</v>
      </c>
      <c r="F236" s="13"/>
      <c r="G236" s="14"/>
      <c r="H236" s="15">
        <v>40</v>
      </c>
      <c r="I236" s="14"/>
      <c r="J236" s="15">
        <v>37</v>
      </c>
      <c r="K236" s="5">
        <v>1</v>
      </c>
      <c r="L236" s="16">
        <v>73.333333333333329</v>
      </c>
      <c r="M236" s="12"/>
      <c r="N236" s="14">
        <f t="shared" si="10"/>
        <v>0</v>
      </c>
      <c r="O236" s="28">
        <f t="shared" si="11"/>
        <v>0</v>
      </c>
      <c r="P236" s="24">
        <f t="shared" si="12"/>
        <v>0</v>
      </c>
      <c r="Q236" s="25"/>
      <c r="R236" s="26" t="s">
        <v>827</v>
      </c>
      <c r="S236" s="26" t="s">
        <v>29</v>
      </c>
      <c r="T236" s="6" t="str">
        <f>HYPERLINK("https://kanzpp.ru/api/getInfo/image/ad7a1102-dabf-11e9-a234-ac1f6b442184")</f>
        <v>https://kanzpp.ru/api/getInfo/image/ad7a1102-dabf-11e9-a234-ac1f6b442184</v>
      </c>
      <c r="U236" s="6"/>
      <c r="V236" s="33" t="s">
        <v>35</v>
      </c>
    </row>
    <row r="237" spans="2:22" ht="21" customHeight="1" outlineLevel="4" x14ac:dyDescent="0.2">
      <c r="B237" s="5">
        <v>206</v>
      </c>
      <c r="C237" s="6" t="s">
        <v>828</v>
      </c>
      <c r="D237" s="6" t="s">
        <v>825</v>
      </c>
      <c r="E237" s="7" t="s">
        <v>826</v>
      </c>
      <c r="F237" s="13"/>
      <c r="G237" s="14"/>
      <c r="H237" s="15">
        <v>40</v>
      </c>
      <c r="I237" s="15">
        <v>1</v>
      </c>
      <c r="J237" s="15">
        <v>87</v>
      </c>
      <c r="K237" s="5">
        <v>1</v>
      </c>
      <c r="L237" s="16">
        <v>73.333333333333329</v>
      </c>
      <c r="M237" s="12"/>
      <c r="N237" s="14">
        <f t="shared" si="10"/>
        <v>0</v>
      </c>
      <c r="O237" s="28">
        <f t="shared" si="11"/>
        <v>0</v>
      </c>
      <c r="P237" s="24">
        <f t="shared" si="12"/>
        <v>0</v>
      </c>
      <c r="Q237" s="25"/>
      <c r="R237" s="26"/>
      <c r="S237" s="26" t="s">
        <v>29</v>
      </c>
      <c r="T237" s="6"/>
      <c r="U237" s="6" t="s">
        <v>827</v>
      </c>
      <c r="V237" s="33" t="s">
        <v>35</v>
      </c>
    </row>
    <row r="238" spans="2:22" ht="21" customHeight="1" outlineLevel="4" x14ac:dyDescent="0.2">
      <c r="B238" s="5">
        <v>207</v>
      </c>
      <c r="C238" s="6" t="s">
        <v>829</v>
      </c>
      <c r="D238" s="6" t="s">
        <v>830</v>
      </c>
      <c r="E238" s="7" t="s">
        <v>826</v>
      </c>
      <c r="F238" s="13"/>
      <c r="G238" s="14"/>
      <c r="H238" s="15">
        <v>10</v>
      </c>
      <c r="I238" s="14"/>
      <c r="J238" s="15">
        <v>50</v>
      </c>
      <c r="K238" s="5">
        <v>1</v>
      </c>
      <c r="L238" s="16">
        <v>73.333333333333329</v>
      </c>
      <c r="M238" s="12"/>
      <c r="N238" s="14">
        <f t="shared" si="10"/>
        <v>0</v>
      </c>
      <c r="O238" s="28">
        <f t="shared" si="11"/>
        <v>0</v>
      </c>
      <c r="P238" s="24">
        <f t="shared" si="12"/>
        <v>0</v>
      </c>
      <c r="Q238" s="25"/>
      <c r="R238" s="26" t="s">
        <v>831</v>
      </c>
      <c r="S238" s="26" t="s">
        <v>29</v>
      </c>
      <c r="T238" s="6"/>
      <c r="U238" s="6"/>
      <c r="V238" s="33" t="s">
        <v>35</v>
      </c>
    </row>
    <row r="239" spans="2:22" ht="21" customHeight="1" outlineLevel="4" x14ac:dyDescent="0.2">
      <c r="B239" s="2">
        <v>208</v>
      </c>
      <c r="C239" s="3" t="s">
        <v>832</v>
      </c>
      <c r="D239" s="3" t="s">
        <v>833</v>
      </c>
      <c r="E239" s="4" t="s">
        <v>834</v>
      </c>
      <c r="F239" s="8"/>
      <c r="G239" s="9"/>
      <c r="H239" s="10">
        <v>40</v>
      </c>
      <c r="I239" s="9"/>
      <c r="J239" s="10">
        <v>45</v>
      </c>
      <c r="K239" s="2">
        <v>1</v>
      </c>
      <c r="L239" s="19">
        <v>80.399999999999991</v>
      </c>
      <c r="M239" s="12"/>
      <c r="N239" s="9">
        <f t="shared" si="10"/>
        <v>0</v>
      </c>
      <c r="O239" s="11">
        <f t="shared" si="11"/>
        <v>0</v>
      </c>
      <c r="P239" s="30">
        <f t="shared" si="12"/>
        <v>0</v>
      </c>
      <c r="Q239" s="21"/>
      <c r="R239" s="22" t="s">
        <v>835</v>
      </c>
      <c r="S239" s="22" t="s">
        <v>29</v>
      </c>
      <c r="T239" s="3" t="str">
        <f>HYPERLINK("https://kanzpp.ru/api/getInfo/image/d5573454-dabf-11e9-a234-ac1f6b442184")</f>
        <v>https://kanzpp.ru/api/getInfo/image/d5573454-dabf-11e9-a234-ac1f6b442184</v>
      </c>
      <c r="U239" s="3"/>
      <c r="V239" s="32" t="s">
        <v>30</v>
      </c>
    </row>
    <row r="240" spans="2:22" ht="21" customHeight="1" outlineLevel="4" x14ac:dyDescent="0.2">
      <c r="B240" s="5">
        <v>209</v>
      </c>
      <c r="C240" s="6" t="s">
        <v>836</v>
      </c>
      <c r="D240" s="6" t="s">
        <v>837</v>
      </c>
      <c r="E240" s="7" t="s">
        <v>838</v>
      </c>
      <c r="F240" s="13"/>
      <c r="G240" s="14"/>
      <c r="H240" s="15">
        <v>12</v>
      </c>
      <c r="I240" s="15">
        <v>12</v>
      </c>
      <c r="J240" s="15">
        <v>1</v>
      </c>
      <c r="K240" s="5">
        <v>1</v>
      </c>
      <c r="L240" s="16">
        <v>38.666666666666664</v>
      </c>
      <c r="M240" s="12"/>
      <c r="N240" s="14">
        <f t="shared" si="10"/>
        <v>0</v>
      </c>
      <c r="O240" s="23">
        <f>0.045*M240</f>
        <v>0</v>
      </c>
      <c r="P240" s="24">
        <f>0.00035*M240</f>
        <v>0</v>
      </c>
      <c r="Q240" s="25"/>
      <c r="R240" s="26" t="s">
        <v>839</v>
      </c>
      <c r="S240" s="26" t="s">
        <v>29</v>
      </c>
      <c r="T240" s="6"/>
      <c r="U240" s="6"/>
      <c r="V240" s="33" t="s">
        <v>35</v>
      </c>
    </row>
    <row r="241" spans="2:22" ht="21" customHeight="1" outlineLevel="4" x14ac:dyDescent="0.2">
      <c r="B241" s="5">
        <v>210</v>
      </c>
      <c r="C241" s="6" t="s">
        <v>840</v>
      </c>
      <c r="D241" s="6" t="s">
        <v>841</v>
      </c>
      <c r="E241" s="7" t="s">
        <v>842</v>
      </c>
      <c r="F241" s="13"/>
      <c r="G241" s="14"/>
      <c r="H241" s="15">
        <v>12</v>
      </c>
      <c r="I241" s="15">
        <v>12</v>
      </c>
      <c r="J241" s="15">
        <v>31</v>
      </c>
      <c r="K241" s="5">
        <v>1</v>
      </c>
      <c r="L241" s="16">
        <v>38.666666666666664</v>
      </c>
      <c r="M241" s="12"/>
      <c r="N241" s="14">
        <f t="shared" si="10"/>
        <v>0</v>
      </c>
      <c r="O241" s="23">
        <f>0.045*M241</f>
        <v>0</v>
      </c>
      <c r="P241" s="24">
        <f>0.00035*M241</f>
        <v>0</v>
      </c>
      <c r="Q241" s="25"/>
      <c r="R241" s="26" t="s">
        <v>843</v>
      </c>
      <c r="S241" s="26" t="s">
        <v>29</v>
      </c>
      <c r="T241" s="6"/>
      <c r="U241" s="6"/>
      <c r="V241" s="33" t="s">
        <v>35</v>
      </c>
    </row>
    <row r="242" spans="2:22" ht="21" customHeight="1" outlineLevel="4" x14ac:dyDescent="0.2">
      <c r="B242" s="2">
        <v>211</v>
      </c>
      <c r="C242" s="3" t="s">
        <v>844</v>
      </c>
      <c r="D242" s="3" t="s">
        <v>845</v>
      </c>
      <c r="E242" s="4" t="s">
        <v>846</v>
      </c>
      <c r="F242" s="8"/>
      <c r="G242" s="9"/>
      <c r="H242" s="10">
        <v>12</v>
      </c>
      <c r="I242" s="10">
        <v>12</v>
      </c>
      <c r="J242" s="10">
        <v>13</v>
      </c>
      <c r="K242" s="2">
        <v>1</v>
      </c>
      <c r="L242" s="18">
        <v>40.346666666666671</v>
      </c>
      <c r="M242" s="12"/>
      <c r="N242" s="9">
        <f t="shared" ref="N242:N273" si="13">L242*M242</f>
        <v>0</v>
      </c>
      <c r="O242" s="29">
        <f>0.045*M242</f>
        <v>0</v>
      </c>
      <c r="P242" s="30">
        <f>0.00035*M242</f>
        <v>0</v>
      </c>
      <c r="Q242" s="21"/>
      <c r="R242" s="22" t="s">
        <v>847</v>
      </c>
      <c r="S242" s="22" t="s">
        <v>29</v>
      </c>
      <c r="T242" s="3" t="str">
        <f>HYPERLINK("https://kanzpp.ru/api/getInfo/image/510bf04b-434d-11ea-a240-ac1f6b442184")</f>
        <v>https://kanzpp.ru/api/getInfo/image/510bf04b-434d-11ea-a240-ac1f6b442184</v>
      </c>
      <c r="U242" s="3"/>
      <c r="V242" s="32" t="s">
        <v>30</v>
      </c>
    </row>
    <row r="243" spans="2:22" ht="21" customHeight="1" outlineLevel="4" x14ac:dyDescent="0.2">
      <c r="B243" s="5">
        <v>212</v>
      </c>
      <c r="C243" s="6" t="s">
        <v>848</v>
      </c>
      <c r="D243" s="6" t="s">
        <v>849</v>
      </c>
      <c r="E243" s="7" t="s">
        <v>850</v>
      </c>
      <c r="F243" s="13"/>
      <c r="G243" s="14"/>
      <c r="H243" s="15">
        <v>12</v>
      </c>
      <c r="I243" s="15">
        <v>12</v>
      </c>
      <c r="J243" s="15">
        <v>10</v>
      </c>
      <c r="K243" s="5">
        <v>2</v>
      </c>
      <c r="L243" s="16">
        <v>38.666666666666664</v>
      </c>
      <c r="M243" s="12"/>
      <c r="N243" s="14">
        <f t="shared" si="13"/>
        <v>0</v>
      </c>
      <c r="O243" s="23">
        <f>0.045*M243</f>
        <v>0</v>
      </c>
      <c r="P243" s="24">
        <f>0.00035*M243</f>
        <v>0</v>
      </c>
      <c r="Q243" s="25"/>
      <c r="R243" s="26" t="s">
        <v>851</v>
      </c>
      <c r="S243" s="26" t="s">
        <v>29</v>
      </c>
      <c r="T243" s="6"/>
      <c r="U243" s="6"/>
      <c r="V243" s="33" t="s">
        <v>35</v>
      </c>
    </row>
    <row r="244" spans="2:22" ht="21" customHeight="1" outlineLevel="4" x14ac:dyDescent="0.2">
      <c r="B244" s="5">
        <v>213</v>
      </c>
      <c r="C244" s="6" t="s">
        <v>852</v>
      </c>
      <c r="D244" s="6" t="s">
        <v>853</v>
      </c>
      <c r="E244" s="7" t="s">
        <v>854</v>
      </c>
      <c r="F244" s="13"/>
      <c r="G244" s="14"/>
      <c r="H244" s="15">
        <v>50</v>
      </c>
      <c r="I244" s="14"/>
      <c r="J244" s="15">
        <v>146</v>
      </c>
      <c r="K244" s="5">
        <v>1</v>
      </c>
      <c r="L244" s="16">
        <v>38.666666666666664</v>
      </c>
      <c r="M244" s="12"/>
      <c r="N244" s="14">
        <f t="shared" si="13"/>
        <v>0</v>
      </c>
      <c r="O244" s="23">
        <f>0.033*M244</f>
        <v>0</v>
      </c>
      <c r="P244" s="24">
        <f>0.00352*M244</f>
        <v>0</v>
      </c>
      <c r="Q244" s="25"/>
      <c r="R244" s="26" t="s">
        <v>855</v>
      </c>
      <c r="S244" s="26" t="s">
        <v>29</v>
      </c>
      <c r="T244" s="6" t="str">
        <f>HYPERLINK("https://kanzpp.ru/api/getInfo/image/8460196f-d3cb-11e9-a234-ac1f6b442184")</f>
        <v>https://kanzpp.ru/api/getInfo/image/8460196f-d3cb-11e9-a234-ac1f6b442184</v>
      </c>
      <c r="U244" s="6"/>
      <c r="V244" s="33" t="s">
        <v>35</v>
      </c>
    </row>
    <row r="245" spans="2:22" ht="21" customHeight="1" outlineLevel="4" x14ac:dyDescent="0.2">
      <c r="B245" s="5">
        <v>214</v>
      </c>
      <c r="C245" s="6" t="s">
        <v>856</v>
      </c>
      <c r="D245" s="6" t="s">
        <v>857</v>
      </c>
      <c r="E245" s="7" t="s">
        <v>858</v>
      </c>
      <c r="F245" s="13"/>
      <c r="G245" s="14"/>
      <c r="H245" s="15">
        <v>25</v>
      </c>
      <c r="I245" s="14"/>
      <c r="J245" s="15">
        <v>239</v>
      </c>
      <c r="K245" s="5">
        <v>1</v>
      </c>
      <c r="L245" s="16">
        <v>78.666666666666671</v>
      </c>
      <c r="M245" s="12"/>
      <c r="N245" s="14">
        <f t="shared" si="13"/>
        <v>0</v>
      </c>
      <c r="O245" s="28">
        <f>0.06*M245</f>
        <v>0</v>
      </c>
      <c r="P245" s="24">
        <f>0.03715*M245</f>
        <v>0</v>
      </c>
      <c r="Q245" s="25"/>
      <c r="R245" s="26"/>
      <c r="S245" s="26" t="s">
        <v>29</v>
      </c>
      <c r="T245" s="6" t="str">
        <f>HYPERLINK("https://kanzpp.ru/api/getInfo/image/87cb41b9-9ae6-11ed-a22e-00155d82e902")</f>
        <v>https://kanzpp.ru/api/getInfo/image/87cb41b9-9ae6-11ed-a22e-00155d82e902</v>
      </c>
      <c r="U245" s="6" t="s">
        <v>859</v>
      </c>
      <c r="V245" s="33" t="s">
        <v>35</v>
      </c>
    </row>
    <row r="246" spans="2:22" ht="21" customHeight="1" outlineLevel="4" x14ac:dyDescent="0.2">
      <c r="B246" s="5">
        <v>215</v>
      </c>
      <c r="C246" s="6" t="s">
        <v>860</v>
      </c>
      <c r="D246" s="6" t="s">
        <v>861</v>
      </c>
      <c r="E246" s="7" t="s">
        <v>862</v>
      </c>
      <c r="F246" s="13"/>
      <c r="G246" s="14"/>
      <c r="H246" s="15">
        <v>25</v>
      </c>
      <c r="I246" s="14"/>
      <c r="J246" s="15">
        <v>81</v>
      </c>
      <c r="K246" s="5">
        <v>1</v>
      </c>
      <c r="L246" s="16">
        <v>78.666666666666671</v>
      </c>
      <c r="M246" s="12"/>
      <c r="N246" s="14">
        <f t="shared" si="13"/>
        <v>0</v>
      </c>
      <c r="O246" s="23">
        <f>0.058*M246</f>
        <v>0</v>
      </c>
      <c r="P246" s="24">
        <f>0.03714*M246</f>
        <v>0</v>
      </c>
      <c r="Q246" s="25"/>
      <c r="R246" s="26"/>
      <c r="S246" s="26" t="s">
        <v>29</v>
      </c>
      <c r="T246" s="6" t="str">
        <f>HYPERLINK("https://kanzpp.ru/api/getInfo/image/4f9a5847-9ae5-11ed-a22e-00155d82e902")</f>
        <v>https://kanzpp.ru/api/getInfo/image/4f9a5847-9ae5-11ed-a22e-00155d82e902</v>
      </c>
      <c r="U246" s="6" t="s">
        <v>863</v>
      </c>
      <c r="V246" s="33" t="s">
        <v>35</v>
      </c>
    </row>
    <row r="247" spans="2:22" ht="21" customHeight="1" outlineLevel="4" x14ac:dyDescent="0.2">
      <c r="B247" s="5">
        <v>216</v>
      </c>
      <c r="C247" s="6" t="s">
        <v>864</v>
      </c>
      <c r="D247" s="6" t="s">
        <v>865</v>
      </c>
      <c r="E247" s="7" t="s">
        <v>866</v>
      </c>
      <c r="F247" s="13"/>
      <c r="G247" s="14"/>
      <c r="H247" s="15">
        <v>50</v>
      </c>
      <c r="I247" s="14"/>
      <c r="J247" s="15">
        <v>136</v>
      </c>
      <c r="K247" s="5">
        <v>1</v>
      </c>
      <c r="L247" s="16">
        <v>78.666666666666671</v>
      </c>
      <c r="M247" s="12"/>
      <c r="N247" s="14">
        <f t="shared" si="13"/>
        <v>0</v>
      </c>
      <c r="O247" s="23">
        <f>0.052*M247</f>
        <v>0</v>
      </c>
      <c r="P247" s="24">
        <f>0.07628*M247</f>
        <v>0</v>
      </c>
      <c r="Q247" s="25"/>
      <c r="R247" s="26"/>
      <c r="S247" s="26" t="s">
        <v>29</v>
      </c>
      <c r="T247" s="6" t="str">
        <f>HYPERLINK("https://kanzpp.ru/api/getInfo/image/1df42bfc-9ae5-11ed-a22e-00155d82e902")</f>
        <v>https://kanzpp.ru/api/getInfo/image/1df42bfc-9ae5-11ed-a22e-00155d82e902</v>
      </c>
      <c r="U247" s="6" t="s">
        <v>867</v>
      </c>
      <c r="V247" s="33" t="s">
        <v>35</v>
      </c>
    </row>
    <row r="248" spans="2:22" ht="21" customHeight="1" outlineLevel="4" x14ac:dyDescent="0.2">
      <c r="B248" s="2">
        <v>217</v>
      </c>
      <c r="C248" s="3" t="s">
        <v>868</v>
      </c>
      <c r="D248" s="3" t="s">
        <v>869</v>
      </c>
      <c r="E248" s="4" t="s">
        <v>870</v>
      </c>
      <c r="F248" s="8"/>
      <c r="G248" s="9"/>
      <c r="H248" s="10">
        <v>40</v>
      </c>
      <c r="I248" s="9"/>
      <c r="J248" s="10">
        <v>1</v>
      </c>
      <c r="K248" s="2">
        <v>1</v>
      </c>
      <c r="L248" s="18">
        <v>44.6</v>
      </c>
      <c r="M248" s="12"/>
      <c r="N248" s="9">
        <f t="shared" si="13"/>
        <v>0</v>
      </c>
      <c r="O248" s="29">
        <f>0.066*M248</f>
        <v>0</v>
      </c>
      <c r="P248" s="30">
        <f>0.00065*M248</f>
        <v>0</v>
      </c>
      <c r="Q248" s="21"/>
      <c r="R248" s="22"/>
      <c r="S248" s="22" t="s">
        <v>29</v>
      </c>
      <c r="T248" s="3" t="str">
        <f>HYPERLINK("https://kanzpp.ru/api/getInfo/image/5a7f6418-4afc-11ee-a244-00155d82e902")</f>
        <v>https://kanzpp.ru/api/getInfo/image/5a7f6418-4afc-11ee-a244-00155d82e902</v>
      </c>
      <c r="U248" s="3" t="s">
        <v>871</v>
      </c>
      <c r="V248" s="32" t="s">
        <v>30</v>
      </c>
    </row>
    <row r="249" spans="2:22" ht="21" customHeight="1" outlineLevel="4" x14ac:dyDescent="0.2">
      <c r="B249" s="2">
        <v>218</v>
      </c>
      <c r="C249" s="3" t="s">
        <v>872</v>
      </c>
      <c r="D249" s="3" t="s">
        <v>873</v>
      </c>
      <c r="E249" s="4" t="s">
        <v>874</v>
      </c>
      <c r="F249" s="8"/>
      <c r="G249" s="9"/>
      <c r="H249" s="10">
        <v>40</v>
      </c>
      <c r="I249" s="9"/>
      <c r="J249" s="10">
        <v>5</v>
      </c>
      <c r="K249" s="2">
        <v>1</v>
      </c>
      <c r="L249" s="18">
        <v>44.6</v>
      </c>
      <c r="M249" s="12"/>
      <c r="N249" s="9">
        <f t="shared" si="13"/>
        <v>0</v>
      </c>
      <c r="O249" s="29">
        <f>0.066*M249</f>
        <v>0</v>
      </c>
      <c r="P249" s="30">
        <f>0.00065*M249</f>
        <v>0</v>
      </c>
      <c r="Q249" s="21"/>
      <c r="R249" s="22"/>
      <c r="S249" s="22" t="s">
        <v>29</v>
      </c>
      <c r="T249" s="3" t="str">
        <f>HYPERLINK("https://kanzpp.ru/api/getInfo/image/98516b6e-4afe-11ee-a244-00155d82e902")</f>
        <v>https://kanzpp.ru/api/getInfo/image/98516b6e-4afe-11ee-a244-00155d82e902</v>
      </c>
      <c r="U249" s="3" t="s">
        <v>875</v>
      </c>
      <c r="V249" s="32" t="s">
        <v>30</v>
      </c>
    </row>
    <row r="250" spans="2:22" ht="21" customHeight="1" outlineLevel="4" x14ac:dyDescent="0.2">
      <c r="B250" s="5">
        <v>219</v>
      </c>
      <c r="C250" s="6" t="s">
        <v>876</v>
      </c>
      <c r="D250" s="6" t="s">
        <v>877</v>
      </c>
      <c r="E250" s="7" t="s">
        <v>878</v>
      </c>
      <c r="F250" s="13"/>
      <c r="G250" s="14"/>
      <c r="H250" s="15">
        <v>40</v>
      </c>
      <c r="I250" s="14"/>
      <c r="J250" s="15">
        <v>147</v>
      </c>
      <c r="K250" s="5">
        <v>1</v>
      </c>
      <c r="L250" s="16">
        <v>65.333333333333329</v>
      </c>
      <c r="M250" s="12"/>
      <c r="N250" s="14">
        <f t="shared" si="13"/>
        <v>0</v>
      </c>
      <c r="O250" s="28">
        <f>0.09*M250</f>
        <v>0</v>
      </c>
      <c r="P250" s="24">
        <f>0.00055*M250</f>
        <v>0</v>
      </c>
      <c r="Q250" s="25"/>
      <c r="R250" s="26"/>
      <c r="S250" s="26" t="s">
        <v>29</v>
      </c>
      <c r="T250" s="6"/>
      <c r="U250" s="6" t="s">
        <v>879</v>
      </c>
      <c r="V250" s="33" t="s">
        <v>35</v>
      </c>
    </row>
    <row r="251" spans="2:22" ht="21" customHeight="1" outlineLevel="4" x14ac:dyDescent="0.2">
      <c r="B251" s="2">
        <v>220</v>
      </c>
      <c r="C251" s="3" t="s">
        <v>880</v>
      </c>
      <c r="D251" s="3" t="s">
        <v>881</v>
      </c>
      <c r="E251" s="4" t="s">
        <v>882</v>
      </c>
      <c r="F251" s="8"/>
      <c r="G251" s="9"/>
      <c r="H251" s="10">
        <v>40</v>
      </c>
      <c r="I251" s="9"/>
      <c r="J251" s="10">
        <v>80</v>
      </c>
      <c r="K251" s="2">
        <v>3</v>
      </c>
      <c r="L251" s="18">
        <v>32.06666666666667</v>
      </c>
      <c r="M251" s="12"/>
      <c r="N251" s="9">
        <f t="shared" si="13"/>
        <v>0</v>
      </c>
      <c r="O251" s="11">
        <f>0.09*M251</f>
        <v>0</v>
      </c>
      <c r="P251" s="30">
        <f>0.00055*M251</f>
        <v>0</v>
      </c>
      <c r="Q251" s="21"/>
      <c r="R251" s="22" t="s">
        <v>883</v>
      </c>
      <c r="S251" s="22" t="s">
        <v>29</v>
      </c>
      <c r="T251" s="3" t="str">
        <f>HYPERLINK("https://kanzpp.ru/api/getInfo/image/01c7885c-db3e-11eb-a209-ac1f6b442185")</f>
        <v>https://kanzpp.ru/api/getInfo/image/01c7885c-db3e-11eb-a209-ac1f6b442185</v>
      </c>
      <c r="U251" s="3"/>
      <c r="V251" s="32" t="s">
        <v>30</v>
      </c>
    </row>
    <row r="252" spans="2:22" ht="21" customHeight="1" outlineLevel="4" x14ac:dyDescent="0.2">
      <c r="B252" s="5">
        <v>221</v>
      </c>
      <c r="C252" s="6" t="s">
        <v>884</v>
      </c>
      <c r="D252" s="6" t="s">
        <v>885</v>
      </c>
      <c r="E252" s="7" t="s">
        <v>886</v>
      </c>
      <c r="F252" s="13"/>
      <c r="G252" s="14"/>
      <c r="H252" s="15">
        <v>40</v>
      </c>
      <c r="I252" s="14"/>
      <c r="J252" s="15">
        <v>885</v>
      </c>
      <c r="K252" s="5">
        <v>2</v>
      </c>
      <c r="L252" s="16">
        <v>65.333333333333329</v>
      </c>
      <c r="M252" s="12"/>
      <c r="N252" s="14">
        <f t="shared" si="13"/>
        <v>0</v>
      </c>
      <c r="O252" s="28">
        <f>0.09*M252</f>
        <v>0</v>
      </c>
      <c r="P252" s="24">
        <f>0.00055*M252</f>
        <v>0</v>
      </c>
      <c r="Q252" s="25"/>
      <c r="R252" s="26" t="s">
        <v>887</v>
      </c>
      <c r="S252" s="26" t="s">
        <v>29</v>
      </c>
      <c r="T252" s="6" t="str">
        <f>HYPERLINK("https://kanzpp.ru/api/getInfo/image/5d584521-d1ea-11ec-a212-ac1f6b442185")</f>
        <v>https://kanzpp.ru/api/getInfo/image/5d584521-d1ea-11ec-a212-ac1f6b442185</v>
      </c>
      <c r="U252" s="6"/>
      <c r="V252" s="33" t="s">
        <v>35</v>
      </c>
    </row>
    <row r="253" spans="2:22" ht="21" customHeight="1" outlineLevel="4" x14ac:dyDescent="0.2">
      <c r="B253" s="5">
        <v>222</v>
      </c>
      <c r="C253" s="6" t="s">
        <v>888</v>
      </c>
      <c r="D253" s="6" t="s">
        <v>885</v>
      </c>
      <c r="E253" s="7" t="s">
        <v>886</v>
      </c>
      <c r="F253" s="13"/>
      <c r="G253" s="14"/>
      <c r="H253" s="15">
        <v>40</v>
      </c>
      <c r="I253" s="14"/>
      <c r="J253" s="15">
        <v>144</v>
      </c>
      <c r="K253" s="5">
        <v>2</v>
      </c>
      <c r="L253" s="16">
        <v>65.333333333333329</v>
      </c>
      <c r="M253" s="12"/>
      <c r="N253" s="14">
        <f t="shared" si="13"/>
        <v>0</v>
      </c>
      <c r="O253" s="28">
        <f>0.09*M253</f>
        <v>0</v>
      </c>
      <c r="P253" s="24">
        <f>0.00055*M253</f>
        <v>0</v>
      </c>
      <c r="Q253" s="25"/>
      <c r="R253" s="26"/>
      <c r="S253" s="26" t="s">
        <v>29</v>
      </c>
      <c r="T253" s="6"/>
      <c r="U253" s="6" t="s">
        <v>887</v>
      </c>
      <c r="V253" s="33" t="s">
        <v>35</v>
      </c>
    </row>
    <row r="254" spans="2:22" ht="21" customHeight="1" outlineLevel="4" x14ac:dyDescent="0.2">
      <c r="B254" s="5">
        <v>223</v>
      </c>
      <c r="C254" s="6" t="s">
        <v>889</v>
      </c>
      <c r="D254" s="6" t="s">
        <v>890</v>
      </c>
      <c r="E254" s="7" t="s">
        <v>891</v>
      </c>
      <c r="F254" s="13"/>
      <c r="G254" s="14"/>
      <c r="H254" s="15">
        <v>60</v>
      </c>
      <c r="I254" s="14"/>
      <c r="J254" s="15">
        <v>261</v>
      </c>
      <c r="K254" s="5">
        <v>5</v>
      </c>
      <c r="L254" s="16">
        <v>33.333333333333336</v>
      </c>
      <c r="M254" s="12"/>
      <c r="N254" s="14">
        <f t="shared" si="13"/>
        <v>0</v>
      </c>
      <c r="O254" s="23">
        <f>0.054*M254</f>
        <v>0</v>
      </c>
      <c r="P254" s="24">
        <f>0.00031*M254</f>
        <v>0</v>
      </c>
      <c r="Q254" s="25"/>
      <c r="R254" s="26" t="s">
        <v>892</v>
      </c>
      <c r="S254" s="26" t="s">
        <v>29</v>
      </c>
      <c r="T254" s="6" t="str">
        <f>HYPERLINK("https://kanzpp.ru/api/getInfo/image/52f27c5d-d1ee-11ec-a212-ac1f6b442185")</f>
        <v>https://kanzpp.ru/api/getInfo/image/52f27c5d-d1ee-11ec-a212-ac1f6b442185</v>
      </c>
      <c r="U254" s="6"/>
      <c r="V254" s="33" t="s">
        <v>35</v>
      </c>
    </row>
    <row r="255" spans="2:22" ht="21" customHeight="1" outlineLevel="4" x14ac:dyDescent="0.2">
      <c r="B255" s="5">
        <v>224</v>
      </c>
      <c r="C255" s="6" t="s">
        <v>893</v>
      </c>
      <c r="D255" s="6" t="s">
        <v>894</v>
      </c>
      <c r="E255" s="7" t="s">
        <v>895</v>
      </c>
      <c r="F255" s="13"/>
      <c r="G255" s="14"/>
      <c r="H255" s="15">
        <v>60</v>
      </c>
      <c r="I255" s="14"/>
      <c r="J255" s="15">
        <v>852</v>
      </c>
      <c r="K255" s="5">
        <v>5</v>
      </c>
      <c r="L255" s="16">
        <v>33.333333333333336</v>
      </c>
      <c r="M255" s="12"/>
      <c r="N255" s="14">
        <f t="shared" si="13"/>
        <v>0</v>
      </c>
      <c r="O255" s="23">
        <f>0.054*M255</f>
        <v>0</v>
      </c>
      <c r="P255" s="24">
        <f>0.00031*M255</f>
        <v>0</v>
      </c>
      <c r="Q255" s="25"/>
      <c r="R255" s="26" t="s">
        <v>896</v>
      </c>
      <c r="S255" s="26" t="s">
        <v>29</v>
      </c>
      <c r="T255" s="6" t="str">
        <f>HYPERLINK("https://kanzpp.ru/api/getInfo/image/6d9eb968-d1ec-11ec-a212-ac1f6b442185")</f>
        <v>https://kanzpp.ru/api/getInfo/image/6d9eb968-d1ec-11ec-a212-ac1f6b442185</v>
      </c>
      <c r="U255" s="6"/>
      <c r="V255" s="33" t="s">
        <v>35</v>
      </c>
    </row>
    <row r="256" spans="2:22" ht="21" customHeight="1" outlineLevel="4" x14ac:dyDescent="0.2">
      <c r="B256" s="5">
        <v>225</v>
      </c>
      <c r="C256" s="6" t="s">
        <v>897</v>
      </c>
      <c r="D256" s="6" t="s">
        <v>898</v>
      </c>
      <c r="E256" s="7" t="s">
        <v>899</v>
      </c>
      <c r="F256" s="13"/>
      <c r="G256" s="14"/>
      <c r="H256" s="15">
        <v>60</v>
      </c>
      <c r="I256" s="14"/>
      <c r="J256" s="15">
        <v>28</v>
      </c>
      <c r="K256" s="5">
        <v>1</v>
      </c>
      <c r="L256" s="16">
        <v>33.333333333333336</v>
      </c>
      <c r="M256" s="12"/>
      <c r="N256" s="14">
        <f t="shared" si="13"/>
        <v>0</v>
      </c>
      <c r="O256" s="23">
        <f>0.041*M256</f>
        <v>0</v>
      </c>
      <c r="P256" s="24">
        <f>0.00036*M256</f>
        <v>0</v>
      </c>
      <c r="Q256" s="25"/>
      <c r="R256" s="26"/>
      <c r="S256" s="26" t="s">
        <v>29</v>
      </c>
      <c r="T256" s="6"/>
      <c r="U256" s="6" t="s">
        <v>900</v>
      </c>
      <c r="V256" s="33" t="s">
        <v>35</v>
      </c>
    </row>
    <row r="257" spans="2:22" ht="21" customHeight="1" outlineLevel="4" x14ac:dyDescent="0.2">
      <c r="B257" s="5">
        <v>226</v>
      </c>
      <c r="C257" s="6" t="s">
        <v>901</v>
      </c>
      <c r="D257" s="6" t="s">
        <v>902</v>
      </c>
      <c r="E257" s="7" t="s">
        <v>903</v>
      </c>
      <c r="F257" s="13"/>
      <c r="G257" s="14"/>
      <c r="H257" s="15">
        <v>40</v>
      </c>
      <c r="I257" s="14"/>
      <c r="J257" s="15">
        <v>201</v>
      </c>
      <c r="K257" s="5">
        <v>1</v>
      </c>
      <c r="L257" s="16">
        <v>30.680000000000003</v>
      </c>
      <c r="M257" s="12"/>
      <c r="N257" s="14">
        <f t="shared" si="13"/>
        <v>0</v>
      </c>
      <c r="O257" s="23">
        <f>0.049*M257</f>
        <v>0</v>
      </c>
      <c r="P257" s="24">
        <f>0.00056*M257</f>
        <v>0</v>
      </c>
      <c r="Q257" s="25"/>
      <c r="R257" s="26"/>
      <c r="S257" s="26" t="s">
        <v>29</v>
      </c>
      <c r="T257" s="6"/>
      <c r="U257" s="6" t="s">
        <v>904</v>
      </c>
      <c r="V257" s="33" t="s">
        <v>35</v>
      </c>
    </row>
    <row r="258" spans="2:22" ht="21" customHeight="1" outlineLevel="4" x14ac:dyDescent="0.2">
      <c r="B258" s="2">
        <v>227</v>
      </c>
      <c r="C258" s="3" t="s">
        <v>905</v>
      </c>
      <c r="D258" s="3" t="s">
        <v>906</v>
      </c>
      <c r="E258" s="4" t="s">
        <v>907</v>
      </c>
      <c r="F258" s="8"/>
      <c r="G258" s="9"/>
      <c r="H258" s="10">
        <v>40</v>
      </c>
      <c r="I258" s="9"/>
      <c r="J258" s="10">
        <v>1</v>
      </c>
      <c r="K258" s="2">
        <v>1</v>
      </c>
      <c r="L258" s="18">
        <v>40.973333333333336</v>
      </c>
      <c r="M258" s="12"/>
      <c r="N258" s="9">
        <f t="shared" si="13"/>
        <v>0</v>
      </c>
      <c r="O258" s="11">
        <f>0.55*M258</f>
        <v>0</v>
      </c>
      <c r="P258" s="30">
        <f>0.00052*M258</f>
        <v>0</v>
      </c>
      <c r="Q258" s="21"/>
      <c r="R258" s="22"/>
      <c r="S258" s="22" t="s">
        <v>29</v>
      </c>
      <c r="T258" s="3"/>
      <c r="U258" s="3" t="s">
        <v>908</v>
      </c>
      <c r="V258" s="32" t="s">
        <v>30</v>
      </c>
    </row>
    <row r="259" spans="2:22" ht="21" customHeight="1" outlineLevel="4" x14ac:dyDescent="0.2">
      <c r="B259" s="5">
        <v>228</v>
      </c>
      <c r="C259" s="6" t="s">
        <v>909</v>
      </c>
      <c r="D259" s="6" t="s">
        <v>910</v>
      </c>
      <c r="E259" s="7" t="s">
        <v>911</v>
      </c>
      <c r="F259" s="13"/>
      <c r="G259" s="14"/>
      <c r="H259" s="15">
        <v>50</v>
      </c>
      <c r="I259" s="14"/>
      <c r="J259" s="15">
        <v>9</v>
      </c>
      <c r="K259" s="5">
        <v>1</v>
      </c>
      <c r="L259" s="16">
        <v>132</v>
      </c>
      <c r="M259" s="12"/>
      <c r="N259" s="14">
        <f t="shared" si="13"/>
        <v>0</v>
      </c>
      <c r="O259" s="23">
        <f>0.062*M259</f>
        <v>0</v>
      </c>
      <c r="P259" s="24">
        <f>0.00032*M259</f>
        <v>0</v>
      </c>
      <c r="Q259" s="25"/>
      <c r="R259" s="26"/>
      <c r="S259" s="26" t="s">
        <v>93</v>
      </c>
      <c r="T259" s="6"/>
      <c r="U259" s="6" t="s">
        <v>912</v>
      </c>
      <c r="V259" s="33" t="s">
        <v>35</v>
      </c>
    </row>
    <row r="260" spans="2:22" ht="22.95" customHeight="1" outlineLevel="3" x14ac:dyDescent="0.2">
      <c r="B260" s="81" t="s">
        <v>913</v>
      </c>
      <c r="C260" s="81"/>
      <c r="D260" s="81"/>
      <c r="L260">
        <v>0</v>
      </c>
    </row>
    <row r="261" spans="2:22" ht="21" customHeight="1" outlineLevel="4" x14ac:dyDescent="0.2">
      <c r="B261" s="5">
        <v>229</v>
      </c>
      <c r="C261" s="6" t="s">
        <v>914</v>
      </c>
      <c r="D261" s="6" t="s">
        <v>915</v>
      </c>
      <c r="E261" s="7" t="s">
        <v>916</v>
      </c>
      <c r="F261" s="13"/>
      <c r="G261" s="14"/>
      <c r="H261" s="15">
        <v>50</v>
      </c>
      <c r="I261" s="14"/>
      <c r="J261" s="15">
        <v>88</v>
      </c>
      <c r="K261" s="5">
        <v>1</v>
      </c>
      <c r="L261" s="16">
        <v>265.33333333333331</v>
      </c>
      <c r="M261" s="12"/>
      <c r="N261" s="14">
        <f>L261*M261</f>
        <v>0</v>
      </c>
      <c r="O261" s="23">
        <f>0.221*M261</f>
        <v>0</v>
      </c>
      <c r="P261" s="24">
        <f>0.00524*M261</f>
        <v>0</v>
      </c>
      <c r="Q261" s="25"/>
      <c r="R261" s="26"/>
      <c r="S261" s="26" t="s">
        <v>93</v>
      </c>
      <c r="T261" s="6"/>
      <c r="U261" s="6" t="s">
        <v>917</v>
      </c>
      <c r="V261" s="33" t="s">
        <v>35</v>
      </c>
    </row>
    <row r="262" spans="2:22" ht="22.95" customHeight="1" outlineLevel="2" x14ac:dyDescent="0.2">
      <c r="B262" s="80" t="s">
        <v>918</v>
      </c>
      <c r="C262" s="80"/>
      <c r="D262" s="80"/>
      <c r="L262">
        <v>0</v>
      </c>
    </row>
    <row r="263" spans="2:22" ht="21" customHeight="1" outlineLevel="3" x14ac:dyDescent="0.2">
      <c r="B263" s="5">
        <v>230</v>
      </c>
      <c r="C263" s="6" t="s">
        <v>919</v>
      </c>
      <c r="D263" s="6" t="s">
        <v>920</v>
      </c>
      <c r="E263" s="7" t="s">
        <v>921</v>
      </c>
      <c r="F263" s="13"/>
      <c r="G263" s="14"/>
      <c r="H263" s="15">
        <v>150</v>
      </c>
      <c r="I263" s="14"/>
      <c r="J263" s="17">
        <v>1342</v>
      </c>
      <c r="K263" s="5">
        <v>1</v>
      </c>
      <c r="L263" s="16">
        <v>10.533333333333333</v>
      </c>
      <c r="M263" s="12"/>
      <c r="N263" s="14">
        <f t="shared" ref="N263:N294" si="14">L263*M263</f>
        <v>0</v>
      </c>
      <c r="O263" s="23">
        <f>0.041*M263</f>
        <v>0</v>
      </c>
      <c r="P263" s="24">
        <f>0.00003*M263</f>
        <v>0</v>
      </c>
      <c r="Q263" s="25"/>
      <c r="R263" s="26"/>
      <c r="S263" s="26" t="s">
        <v>29</v>
      </c>
      <c r="T263" s="6"/>
      <c r="U263" s="6" t="s">
        <v>922</v>
      </c>
      <c r="V263" s="33" t="s">
        <v>35</v>
      </c>
    </row>
    <row r="264" spans="2:22" ht="21" customHeight="1" outlineLevel="3" x14ac:dyDescent="0.2">
      <c r="B264" s="5">
        <v>231</v>
      </c>
      <c r="C264" s="6" t="s">
        <v>923</v>
      </c>
      <c r="D264" s="6" t="s">
        <v>924</v>
      </c>
      <c r="E264" s="7" t="s">
        <v>925</v>
      </c>
      <c r="F264" s="13"/>
      <c r="G264" s="14"/>
      <c r="H264" s="15">
        <v>48</v>
      </c>
      <c r="I264" s="15">
        <v>4</v>
      </c>
      <c r="J264" s="15">
        <v>4</v>
      </c>
      <c r="K264" s="5">
        <v>4</v>
      </c>
      <c r="L264" s="16">
        <v>38.533333333333331</v>
      </c>
      <c r="M264" s="12"/>
      <c r="N264" s="14">
        <f t="shared" si="14"/>
        <v>0</v>
      </c>
      <c r="O264" s="23">
        <f>0.211*M264</f>
        <v>0</v>
      </c>
      <c r="P264" s="24">
        <f>0.00026*M264</f>
        <v>0</v>
      </c>
      <c r="Q264" s="25"/>
      <c r="R264" s="26"/>
      <c r="S264" s="26" t="s">
        <v>93</v>
      </c>
      <c r="T264" s="6"/>
      <c r="U264" s="6"/>
      <c r="V264" s="33" t="s">
        <v>35</v>
      </c>
    </row>
    <row r="265" spans="2:22" ht="21" customHeight="1" outlineLevel="3" x14ac:dyDescent="0.2">
      <c r="B265" s="5">
        <v>232</v>
      </c>
      <c r="C265" s="6" t="s">
        <v>926</v>
      </c>
      <c r="D265" s="6" t="s">
        <v>927</v>
      </c>
      <c r="E265" s="7" t="s">
        <v>928</v>
      </c>
      <c r="F265" s="13"/>
      <c r="G265" s="14"/>
      <c r="H265" s="15">
        <v>200</v>
      </c>
      <c r="I265" s="15">
        <v>20</v>
      </c>
      <c r="J265" s="15">
        <v>40</v>
      </c>
      <c r="K265" s="5">
        <v>20</v>
      </c>
      <c r="L265" s="16">
        <v>9.1466666666666665</v>
      </c>
      <c r="M265" s="12"/>
      <c r="N265" s="14">
        <f t="shared" si="14"/>
        <v>0</v>
      </c>
      <c r="O265" s="23">
        <f>0.039*M265</f>
        <v>0</v>
      </c>
      <c r="P265" s="24">
        <f>0.00003*M265</f>
        <v>0</v>
      </c>
      <c r="Q265" s="25"/>
      <c r="R265" s="26"/>
      <c r="S265" s="26" t="s">
        <v>29</v>
      </c>
      <c r="T265" s="6"/>
      <c r="U265" s="6"/>
      <c r="V265" s="33" t="s">
        <v>35</v>
      </c>
    </row>
    <row r="266" spans="2:22" ht="21" customHeight="1" outlineLevel="3" x14ac:dyDescent="0.2">
      <c r="B266" s="2">
        <v>233</v>
      </c>
      <c r="C266" s="3" t="s">
        <v>929</v>
      </c>
      <c r="D266" s="3" t="s">
        <v>930</v>
      </c>
      <c r="E266" s="4" t="s">
        <v>931</v>
      </c>
      <c r="F266" s="8"/>
      <c r="G266" s="9"/>
      <c r="H266" s="10">
        <v>125</v>
      </c>
      <c r="I266" s="10">
        <v>25</v>
      </c>
      <c r="J266" s="10">
        <v>125</v>
      </c>
      <c r="K266" s="2">
        <v>125</v>
      </c>
      <c r="L266" s="18">
        <v>4.92</v>
      </c>
      <c r="M266" s="12"/>
      <c r="N266" s="9">
        <f t="shared" si="14"/>
        <v>0</v>
      </c>
      <c r="O266" s="11">
        <f>0.35*M266</f>
        <v>0</v>
      </c>
      <c r="P266" s="9">
        <v>0</v>
      </c>
      <c r="Q266" s="21"/>
      <c r="R266" s="22"/>
      <c r="S266" s="22" t="s">
        <v>29</v>
      </c>
      <c r="T266" s="3" t="str">
        <f>HYPERLINK("https://kanzpp.ru/api/getInfo/image/b2f1c689-7d69-11ee-a248-00155d82e902")</f>
        <v>https://kanzpp.ru/api/getInfo/image/b2f1c689-7d69-11ee-a248-00155d82e902</v>
      </c>
      <c r="U266" s="3" t="s">
        <v>932</v>
      </c>
      <c r="V266" s="32" t="s">
        <v>30</v>
      </c>
    </row>
    <row r="267" spans="2:22" ht="21" customHeight="1" outlineLevel="3" x14ac:dyDescent="0.2">
      <c r="B267" s="5">
        <v>234</v>
      </c>
      <c r="C267" s="6" t="s">
        <v>933</v>
      </c>
      <c r="D267" s="6" t="s">
        <v>934</v>
      </c>
      <c r="E267" s="7" t="s">
        <v>935</v>
      </c>
      <c r="F267" s="13"/>
      <c r="G267" s="14"/>
      <c r="H267" s="15">
        <v>240</v>
      </c>
      <c r="I267" s="15">
        <v>20</v>
      </c>
      <c r="J267" s="15">
        <v>120</v>
      </c>
      <c r="K267" s="5">
        <v>20</v>
      </c>
      <c r="L267" s="16">
        <v>10.44</v>
      </c>
      <c r="M267" s="12"/>
      <c r="N267" s="14">
        <f t="shared" si="14"/>
        <v>0</v>
      </c>
      <c r="O267" s="23">
        <f>0.037*M267</f>
        <v>0</v>
      </c>
      <c r="P267" s="24">
        <f>0.00003*M267</f>
        <v>0</v>
      </c>
      <c r="Q267" s="25"/>
      <c r="R267" s="26"/>
      <c r="S267" s="26" t="s">
        <v>29</v>
      </c>
      <c r="T267" s="6"/>
      <c r="U267" s="6" t="s">
        <v>936</v>
      </c>
      <c r="V267" s="33" t="s">
        <v>35</v>
      </c>
    </row>
    <row r="268" spans="2:22" ht="21" customHeight="1" outlineLevel="3" x14ac:dyDescent="0.2">
      <c r="B268" s="5">
        <v>235</v>
      </c>
      <c r="C268" s="6" t="s">
        <v>937</v>
      </c>
      <c r="D268" s="6" t="s">
        <v>938</v>
      </c>
      <c r="E268" s="7" t="s">
        <v>939</v>
      </c>
      <c r="F268" s="13"/>
      <c r="G268" s="14"/>
      <c r="H268" s="15">
        <v>240</v>
      </c>
      <c r="I268" s="15">
        <v>10</v>
      </c>
      <c r="J268" s="17">
        <v>2780</v>
      </c>
      <c r="K268" s="5">
        <v>10</v>
      </c>
      <c r="L268" s="16">
        <v>10.48</v>
      </c>
      <c r="M268" s="12"/>
      <c r="N268" s="14">
        <f t="shared" si="14"/>
        <v>0</v>
      </c>
      <c r="O268" s="23">
        <f>0.041*M268</f>
        <v>0</v>
      </c>
      <c r="P268" s="24">
        <f>0.00003*M268</f>
        <v>0</v>
      </c>
      <c r="Q268" s="25"/>
      <c r="R268" s="26"/>
      <c r="S268" s="26" t="s">
        <v>29</v>
      </c>
      <c r="T268" s="6"/>
      <c r="U268" s="6"/>
      <c r="V268" s="33" t="s">
        <v>35</v>
      </c>
    </row>
    <row r="269" spans="2:22" ht="21" customHeight="1" outlineLevel="3" x14ac:dyDescent="0.2">
      <c r="B269" s="5">
        <v>236</v>
      </c>
      <c r="C269" s="6" t="s">
        <v>940</v>
      </c>
      <c r="D269" s="6" t="s">
        <v>941</v>
      </c>
      <c r="E269" s="7" t="s">
        <v>942</v>
      </c>
      <c r="F269" s="13"/>
      <c r="G269" s="14"/>
      <c r="H269" s="15">
        <v>240</v>
      </c>
      <c r="I269" s="15">
        <v>10</v>
      </c>
      <c r="J269" s="17">
        <v>1190</v>
      </c>
      <c r="K269" s="5">
        <v>10</v>
      </c>
      <c r="L269" s="16">
        <v>9.52</v>
      </c>
      <c r="M269" s="12"/>
      <c r="N269" s="14">
        <f t="shared" si="14"/>
        <v>0</v>
      </c>
      <c r="O269" s="23">
        <f>0.037*M269</f>
        <v>0</v>
      </c>
      <c r="P269" s="24">
        <f>0.00003*M269</f>
        <v>0</v>
      </c>
      <c r="Q269" s="25"/>
      <c r="R269" s="26"/>
      <c r="S269" s="26" t="s">
        <v>29</v>
      </c>
      <c r="T269" s="6"/>
      <c r="U269" s="6"/>
      <c r="V269" s="33" t="s">
        <v>35</v>
      </c>
    </row>
    <row r="270" spans="2:22" ht="21" customHeight="1" outlineLevel="3" x14ac:dyDescent="0.2">
      <c r="B270" s="5">
        <v>237</v>
      </c>
      <c r="C270" s="6" t="s">
        <v>943</v>
      </c>
      <c r="D270" s="6" t="s">
        <v>944</v>
      </c>
      <c r="E270" s="7" t="s">
        <v>945</v>
      </c>
      <c r="F270" s="13"/>
      <c r="G270" s="14"/>
      <c r="H270" s="15">
        <v>150</v>
      </c>
      <c r="I270" s="15">
        <v>25</v>
      </c>
      <c r="J270" s="15">
        <v>45</v>
      </c>
      <c r="K270" s="5">
        <v>25</v>
      </c>
      <c r="L270" s="16">
        <v>10.533333333333333</v>
      </c>
      <c r="M270" s="12"/>
      <c r="N270" s="14">
        <f t="shared" si="14"/>
        <v>0</v>
      </c>
      <c r="O270" s="28">
        <f>0.04*M270</f>
        <v>0</v>
      </c>
      <c r="P270" s="24">
        <f>0.00003*M270</f>
        <v>0</v>
      </c>
      <c r="Q270" s="25"/>
      <c r="R270" s="26"/>
      <c r="S270" s="26" t="s">
        <v>29</v>
      </c>
      <c r="T270" s="6" t="str">
        <f>HYPERLINK("https://kanzpp.ru/api/getInfo/image/195108ea-6faf-11ed-a22a-00155d82e902")</f>
        <v>https://kanzpp.ru/api/getInfo/image/195108ea-6faf-11ed-a22a-00155d82e902</v>
      </c>
      <c r="U270" s="6"/>
      <c r="V270" s="33" t="s">
        <v>35</v>
      </c>
    </row>
    <row r="271" spans="2:22" ht="21" customHeight="1" outlineLevel="3" x14ac:dyDescent="0.2">
      <c r="B271" s="5">
        <v>238</v>
      </c>
      <c r="C271" s="6" t="s">
        <v>946</v>
      </c>
      <c r="D271" s="6" t="s">
        <v>947</v>
      </c>
      <c r="E271" s="7" t="s">
        <v>948</v>
      </c>
      <c r="F271" s="13"/>
      <c r="G271" s="14"/>
      <c r="H271" s="15">
        <v>250</v>
      </c>
      <c r="I271" s="15">
        <v>25</v>
      </c>
      <c r="J271" s="17">
        <v>6625</v>
      </c>
      <c r="K271" s="5">
        <v>250</v>
      </c>
      <c r="L271" s="16">
        <v>18.773333333333333</v>
      </c>
      <c r="M271" s="12"/>
      <c r="N271" s="14">
        <f t="shared" si="14"/>
        <v>0</v>
      </c>
      <c r="O271" s="23">
        <f>0.041*M271</f>
        <v>0</v>
      </c>
      <c r="P271" s="24">
        <f>0.00017*M271</f>
        <v>0</v>
      </c>
      <c r="Q271" s="25"/>
      <c r="R271" s="26" t="s">
        <v>949</v>
      </c>
      <c r="S271" s="26" t="s">
        <v>29</v>
      </c>
      <c r="T271" s="6" t="str">
        <f>HYPERLINK("https://kanzpp.ru/api/getInfo/image/b2cb9830-619d-11ec-a20f-ac1f6b442185")</f>
        <v>https://kanzpp.ru/api/getInfo/image/b2cb9830-619d-11ec-a20f-ac1f6b442185</v>
      </c>
      <c r="U271" s="6"/>
      <c r="V271" s="33" t="s">
        <v>35</v>
      </c>
    </row>
    <row r="272" spans="2:22" ht="21" customHeight="1" outlineLevel="3" x14ac:dyDescent="0.2">
      <c r="B272" s="5">
        <v>239</v>
      </c>
      <c r="C272" s="6" t="s">
        <v>950</v>
      </c>
      <c r="D272" s="6" t="s">
        <v>951</v>
      </c>
      <c r="E272" s="7" t="s">
        <v>952</v>
      </c>
      <c r="F272" s="13"/>
      <c r="G272" s="14"/>
      <c r="H272" s="15">
        <v>250</v>
      </c>
      <c r="I272" s="15">
        <v>25</v>
      </c>
      <c r="J272" s="17">
        <v>1725</v>
      </c>
      <c r="K272" s="5">
        <v>250</v>
      </c>
      <c r="L272" s="16">
        <v>19.733333333333334</v>
      </c>
      <c r="M272" s="12"/>
      <c r="N272" s="14">
        <f t="shared" si="14"/>
        <v>0</v>
      </c>
      <c r="O272" s="23">
        <f>0.041*M272</f>
        <v>0</v>
      </c>
      <c r="P272" s="24">
        <f>0.00017*M272</f>
        <v>0</v>
      </c>
      <c r="Q272" s="25"/>
      <c r="R272" s="26" t="s">
        <v>953</v>
      </c>
      <c r="S272" s="26" t="s">
        <v>29</v>
      </c>
      <c r="T272" s="6" t="str">
        <f>HYPERLINK("https://kanzpp.ru/api/getInfo/image/b2cb9830-619d-11ec-a20f-ac1f6b442185")</f>
        <v>https://kanzpp.ru/api/getInfo/image/b2cb9830-619d-11ec-a20f-ac1f6b442185</v>
      </c>
      <c r="U272" s="6"/>
      <c r="V272" s="33" t="s">
        <v>35</v>
      </c>
    </row>
    <row r="273" spans="2:22" ht="21" customHeight="1" outlineLevel="3" x14ac:dyDescent="0.2">
      <c r="B273" s="5">
        <v>240</v>
      </c>
      <c r="C273" s="6" t="s">
        <v>954</v>
      </c>
      <c r="D273" s="6" t="s">
        <v>955</v>
      </c>
      <c r="E273" s="7" t="s">
        <v>956</v>
      </c>
      <c r="F273" s="13"/>
      <c r="G273" s="14"/>
      <c r="H273" s="15">
        <v>140</v>
      </c>
      <c r="I273" s="15">
        <v>10</v>
      </c>
      <c r="J273" s="15">
        <v>80</v>
      </c>
      <c r="K273" s="5">
        <v>80</v>
      </c>
      <c r="L273" s="16">
        <v>12.626666666666667</v>
      </c>
      <c r="M273" s="12"/>
      <c r="N273" s="14">
        <f t="shared" si="14"/>
        <v>0</v>
      </c>
      <c r="O273" s="28">
        <f>0.04*M273</f>
        <v>0</v>
      </c>
      <c r="P273" s="24">
        <f>0.00007*M273</f>
        <v>0</v>
      </c>
      <c r="Q273" s="25"/>
      <c r="R273" s="26"/>
      <c r="S273" s="26" t="s">
        <v>29</v>
      </c>
      <c r="T273" s="6"/>
      <c r="U273" s="6"/>
      <c r="V273" s="33" t="s">
        <v>35</v>
      </c>
    </row>
    <row r="274" spans="2:22" ht="21" customHeight="1" outlineLevel="3" x14ac:dyDescent="0.2">
      <c r="B274" s="5">
        <v>241</v>
      </c>
      <c r="C274" s="6" t="s">
        <v>957</v>
      </c>
      <c r="D274" s="6" t="s">
        <v>958</v>
      </c>
      <c r="E274" s="7" t="s">
        <v>959</v>
      </c>
      <c r="F274" s="13"/>
      <c r="G274" s="14"/>
      <c r="H274" s="15">
        <v>140</v>
      </c>
      <c r="I274" s="15">
        <v>10</v>
      </c>
      <c r="J274" s="15">
        <v>810</v>
      </c>
      <c r="K274" s="5">
        <v>140</v>
      </c>
      <c r="L274" s="16">
        <v>12.626666666666667</v>
      </c>
      <c r="M274" s="12"/>
      <c r="N274" s="14">
        <f t="shared" si="14"/>
        <v>0</v>
      </c>
      <c r="O274" s="23">
        <f>0.048*M274</f>
        <v>0</v>
      </c>
      <c r="P274" s="24">
        <f>0.00007*M274</f>
        <v>0</v>
      </c>
      <c r="Q274" s="25"/>
      <c r="R274" s="26"/>
      <c r="S274" s="26" t="s">
        <v>29</v>
      </c>
      <c r="T274" s="6"/>
      <c r="U274" s="6"/>
      <c r="V274" s="33" t="s">
        <v>35</v>
      </c>
    </row>
    <row r="275" spans="2:22" ht="21" customHeight="1" outlineLevel="3" x14ac:dyDescent="0.2">
      <c r="B275" s="2">
        <v>242</v>
      </c>
      <c r="C275" s="3" t="s">
        <v>960</v>
      </c>
      <c r="D275" s="3" t="s">
        <v>961</v>
      </c>
      <c r="E275" s="4" t="s">
        <v>962</v>
      </c>
      <c r="F275" s="8"/>
      <c r="G275" s="9"/>
      <c r="H275" s="10">
        <v>120</v>
      </c>
      <c r="I275" s="9"/>
      <c r="J275" s="10">
        <v>120</v>
      </c>
      <c r="K275" s="2">
        <v>120</v>
      </c>
      <c r="L275" s="18">
        <v>4.8533333333333335</v>
      </c>
      <c r="M275" s="12"/>
      <c r="N275" s="9">
        <f t="shared" si="14"/>
        <v>0</v>
      </c>
      <c r="O275" s="11">
        <f>0.33*M275</f>
        <v>0</v>
      </c>
      <c r="P275" s="9">
        <v>0</v>
      </c>
      <c r="Q275" s="21"/>
      <c r="R275" s="22"/>
      <c r="S275" s="22" t="s">
        <v>29</v>
      </c>
      <c r="T275" s="3" t="str">
        <f>HYPERLINK("https://kanzpp.ru/api/getInfo/image/f1212cf6-43db-11e9-a221-ac1f6b442184")</f>
        <v>https://kanzpp.ru/api/getInfo/image/f1212cf6-43db-11e9-a221-ac1f6b442184</v>
      </c>
      <c r="U275" s="3" t="s">
        <v>963</v>
      </c>
      <c r="V275" s="32" t="s">
        <v>30</v>
      </c>
    </row>
    <row r="276" spans="2:22" ht="21" customHeight="1" outlineLevel="3" x14ac:dyDescent="0.2">
      <c r="B276" s="5">
        <v>243</v>
      </c>
      <c r="C276" s="6" t="s">
        <v>964</v>
      </c>
      <c r="D276" s="6" t="s">
        <v>965</v>
      </c>
      <c r="E276" s="7" t="s">
        <v>152</v>
      </c>
      <c r="F276" s="13"/>
      <c r="G276" s="14"/>
      <c r="H276" s="15">
        <v>250</v>
      </c>
      <c r="I276" s="14"/>
      <c r="J276" s="17">
        <v>2593</v>
      </c>
      <c r="K276" s="5">
        <v>250</v>
      </c>
      <c r="L276" s="16">
        <v>8.8933333333333326</v>
      </c>
      <c r="M276" s="12"/>
      <c r="N276" s="14">
        <f t="shared" si="14"/>
        <v>0</v>
      </c>
      <c r="O276" s="23">
        <f>0.037*M276</f>
        <v>0</v>
      </c>
      <c r="P276" s="24">
        <f>0.00012*M276</f>
        <v>0</v>
      </c>
      <c r="Q276" s="25"/>
      <c r="R276" s="26"/>
      <c r="S276" s="26" t="s">
        <v>29</v>
      </c>
      <c r="T276" s="6"/>
      <c r="U276" s="6"/>
      <c r="V276" s="33" t="s">
        <v>35</v>
      </c>
    </row>
    <row r="277" spans="2:22" ht="21" customHeight="1" outlineLevel="3" x14ac:dyDescent="0.2">
      <c r="B277" s="5">
        <v>244</v>
      </c>
      <c r="C277" s="6" t="s">
        <v>966</v>
      </c>
      <c r="D277" s="6" t="s">
        <v>967</v>
      </c>
      <c r="E277" s="7" t="s">
        <v>152</v>
      </c>
      <c r="F277" s="13"/>
      <c r="G277" s="14"/>
      <c r="H277" s="15">
        <v>250</v>
      </c>
      <c r="I277" s="14"/>
      <c r="J277" s="17">
        <v>2687</v>
      </c>
      <c r="K277" s="5">
        <v>250</v>
      </c>
      <c r="L277" s="16">
        <v>9.32</v>
      </c>
      <c r="M277" s="12"/>
      <c r="N277" s="14">
        <f t="shared" si="14"/>
        <v>0</v>
      </c>
      <c r="O277" s="23">
        <f>0.041*M277</f>
        <v>0</v>
      </c>
      <c r="P277" s="24">
        <f>0.00003*M277</f>
        <v>0</v>
      </c>
      <c r="Q277" s="25"/>
      <c r="R277" s="26"/>
      <c r="S277" s="26" t="s">
        <v>29</v>
      </c>
      <c r="T277" s="6"/>
      <c r="U277" s="6"/>
      <c r="V277" s="33" t="s">
        <v>35</v>
      </c>
    </row>
    <row r="278" spans="2:22" ht="21" customHeight="1" outlineLevel="3" x14ac:dyDescent="0.2">
      <c r="B278" s="5">
        <v>245</v>
      </c>
      <c r="C278" s="6" t="s">
        <v>968</v>
      </c>
      <c r="D278" s="6" t="s">
        <v>969</v>
      </c>
      <c r="E278" s="7" t="s">
        <v>970</v>
      </c>
      <c r="F278" s="13"/>
      <c r="G278" s="14"/>
      <c r="H278" s="15">
        <v>250</v>
      </c>
      <c r="I278" s="15">
        <v>10</v>
      </c>
      <c r="J278" s="15">
        <v>50</v>
      </c>
      <c r="K278" s="5">
        <v>10</v>
      </c>
      <c r="L278" s="16">
        <v>10.44</v>
      </c>
      <c r="M278" s="12"/>
      <c r="N278" s="14">
        <f t="shared" si="14"/>
        <v>0</v>
      </c>
      <c r="O278" s="28">
        <f>0.41*M278</f>
        <v>0</v>
      </c>
      <c r="P278" s="24">
        <f>0.00003*M278</f>
        <v>0</v>
      </c>
      <c r="Q278" s="25"/>
      <c r="R278" s="26"/>
      <c r="S278" s="26" t="s">
        <v>29</v>
      </c>
      <c r="T278" s="6"/>
      <c r="U278" s="6" t="s">
        <v>971</v>
      </c>
      <c r="V278" s="33" t="s">
        <v>35</v>
      </c>
    </row>
    <row r="279" spans="2:22" ht="21" customHeight="1" outlineLevel="3" x14ac:dyDescent="0.2">
      <c r="B279" s="5">
        <v>246</v>
      </c>
      <c r="C279" s="6" t="s">
        <v>972</v>
      </c>
      <c r="D279" s="6" t="s">
        <v>973</v>
      </c>
      <c r="E279" s="7" t="s">
        <v>974</v>
      </c>
      <c r="F279" s="13"/>
      <c r="G279" s="14"/>
      <c r="H279" s="15">
        <v>150</v>
      </c>
      <c r="I279" s="15">
        <v>10</v>
      </c>
      <c r="J279" s="15">
        <v>90</v>
      </c>
      <c r="K279" s="5">
        <v>10</v>
      </c>
      <c r="L279" s="16">
        <v>12.24</v>
      </c>
      <c r="M279" s="12"/>
      <c r="N279" s="14">
        <f t="shared" si="14"/>
        <v>0</v>
      </c>
      <c r="O279" s="23">
        <f>0.064*M279</f>
        <v>0</v>
      </c>
      <c r="P279" s="24">
        <f>0.00007*M279</f>
        <v>0</v>
      </c>
      <c r="Q279" s="25"/>
      <c r="R279" s="26"/>
      <c r="S279" s="26" t="s">
        <v>29</v>
      </c>
      <c r="T279" s="6"/>
      <c r="U279" s="6"/>
      <c r="V279" s="33" t="s">
        <v>35</v>
      </c>
    </row>
    <row r="280" spans="2:22" ht="21" customHeight="1" outlineLevel="3" x14ac:dyDescent="0.2">
      <c r="B280" s="5">
        <v>247</v>
      </c>
      <c r="C280" s="6" t="s">
        <v>975</v>
      </c>
      <c r="D280" s="6" t="s">
        <v>976</v>
      </c>
      <c r="E280" s="7" t="s">
        <v>977</v>
      </c>
      <c r="F280" s="13"/>
      <c r="G280" s="14"/>
      <c r="H280" s="15">
        <v>150</v>
      </c>
      <c r="I280" s="14"/>
      <c r="J280" s="15">
        <v>150</v>
      </c>
      <c r="K280" s="5">
        <v>150</v>
      </c>
      <c r="L280" s="16">
        <v>15.866666666666667</v>
      </c>
      <c r="M280" s="12"/>
      <c r="N280" s="14">
        <f t="shared" si="14"/>
        <v>0</v>
      </c>
      <c r="O280" s="23">
        <f>0.064*M280</f>
        <v>0</v>
      </c>
      <c r="P280" s="24">
        <f>0.00035*M280</f>
        <v>0</v>
      </c>
      <c r="Q280" s="25"/>
      <c r="R280" s="26" t="s">
        <v>978</v>
      </c>
      <c r="S280" s="26" t="s">
        <v>29</v>
      </c>
      <c r="T280" s="6" t="str">
        <f>HYPERLINK("https://kanzpp.ru/api/getInfo/image/81fd4fd2-5be8-11ec-a20f-ac1f6b442185")</f>
        <v>https://kanzpp.ru/api/getInfo/image/81fd4fd2-5be8-11ec-a20f-ac1f6b442185</v>
      </c>
      <c r="U280" s="6"/>
      <c r="V280" s="33" t="s">
        <v>35</v>
      </c>
    </row>
    <row r="281" spans="2:22" ht="21" customHeight="1" outlineLevel="3" x14ac:dyDescent="0.2">
      <c r="B281" s="5">
        <v>248</v>
      </c>
      <c r="C281" s="6" t="s">
        <v>979</v>
      </c>
      <c r="D281" s="6" t="s">
        <v>980</v>
      </c>
      <c r="E281" s="7" t="s">
        <v>981</v>
      </c>
      <c r="F281" s="13"/>
      <c r="G281" s="14"/>
      <c r="H281" s="15">
        <v>150</v>
      </c>
      <c r="I281" s="14"/>
      <c r="J281" s="15">
        <v>405</v>
      </c>
      <c r="K281" s="5">
        <v>1</v>
      </c>
      <c r="L281" s="16">
        <v>15.866666666666667</v>
      </c>
      <c r="M281" s="12"/>
      <c r="N281" s="14">
        <f t="shared" si="14"/>
        <v>0</v>
      </c>
      <c r="O281" s="23">
        <f>0.073*M281</f>
        <v>0</v>
      </c>
      <c r="P281" s="31">
        <f>0.0002*M281</f>
        <v>0</v>
      </c>
      <c r="Q281" s="25"/>
      <c r="R281" s="26" t="s">
        <v>982</v>
      </c>
      <c r="S281" s="26" t="s">
        <v>29</v>
      </c>
      <c r="T281" s="6" t="str">
        <f>HYPERLINK("https://kanzpp.ru/api/getInfo/image/5484d9bb-04fa-11e8-951c-5cf3fc4a2490")</f>
        <v>https://kanzpp.ru/api/getInfo/image/5484d9bb-04fa-11e8-951c-5cf3fc4a2490</v>
      </c>
      <c r="U281" s="6"/>
      <c r="V281" s="33" t="s">
        <v>35</v>
      </c>
    </row>
    <row r="282" spans="2:22" ht="21" customHeight="1" outlineLevel="3" x14ac:dyDescent="0.2">
      <c r="B282" s="5">
        <v>249</v>
      </c>
      <c r="C282" s="6" t="s">
        <v>983</v>
      </c>
      <c r="D282" s="6" t="s">
        <v>984</v>
      </c>
      <c r="E282" s="7" t="s">
        <v>985</v>
      </c>
      <c r="F282" s="13"/>
      <c r="G282" s="14"/>
      <c r="H282" s="15">
        <v>16</v>
      </c>
      <c r="I282" s="14"/>
      <c r="J282" s="15">
        <v>4</v>
      </c>
      <c r="K282" s="5">
        <v>4</v>
      </c>
      <c r="L282" s="16">
        <v>164.79999999999998</v>
      </c>
      <c r="M282" s="12"/>
      <c r="N282" s="14">
        <f t="shared" si="14"/>
        <v>0</v>
      </c>
      <c r="O282" s="23">
        <f>0.718*M282</f>
        <v>0</v>
      </c>
      <c r="P282" s="24">
        <f>0.00145*M282</f>
        <v>0</v>
      </c>
      <c r="Q282" s="25"/>
      <c r="R282" s="26" t="s">
        <v>986</v>
      </c>
      <c r="S282" s="26" t="s">
        <v>93</v>
      </c>
      <c r="T282" s="6" t="str">
        <f>HYPERLINK("https://kanzpp.ru/api/getInfo/image/a1d418c6-4d8e-11ef-a262-00155d82e908")</f>
        <v>https://kanzpp.ru/api/getInfo/image/a1d418c6-4d8e-11ef-a262-00155d82e908</v>
      </c>
      <c r="U282" s="6"/>
      <c r="V282" s="33" t="s">
        <v>35</v>
      </c>
    </row>
    <row r="283" spans="2:22" ht="21" customHeight="1" outlineLevel="3" x14ac:dyDescent="0.2">
      <c r="B283" s="5">
        <v>250</v>
      </c>
      <c r="C283" s="6" t="s">
        <v>987</v>
      </c>
      <c r="D283" s="6" t="s">
        <v>988</v>
      </c>
      <c r="E283" s="7" t="s">
        <v>989</v>
      </c>
      <c r="F283" s="13"/>
      <c r="G283" s="14"/>
      <c r="H283" s="15">
        <v>240</v>
      </c>
      <c r="I283" s="15">
        <v>10</v>
      </c>
      <c r="J283" s="15">
        <v>90</v>
      </c>
      <c r="K283" s="5">
        <v>10</v>
      </c>
      <c r="L283" s="16">
        <v>9.5866666666666678</v>
      </c>
      <c r="M283" s="12"/>
      <c r="N283" s="14">
        <f t="shared" si="14"/>
        <v>0</v>
      </c>
      <c r="O283" s="23">
        <f>0.041*M283</f>
        <v>0</v>
      </c>
      <c r="P283" s="24">
        <f>0.00003*M283</f>
        <v>0</v>
      </c>
      <c r="Q283" s="25"/>
      <c r="R283" s="26"/>
      <c r="S283" s="26" t="s">
        <v>29</v>
      </c>
      <c r="T283" s="6"/>
      <c r="U283" s="6"/>
      <c r="V283" s="33" t="s">
        <v>35</v>
      </c>
    </row>
    <row r="284" spans="2:22" ht="21" customHeight="1" outlineLevel="3" x14ac:dyDescent="0.2">
      <c r="B284" s="5">
        <v>251</v>
      </c>
      <c r="C284" s="6" t="s">
        <v>990</v>
      </c>
      <c r="D284" s="6" t="s">
        <v>991</v>
      </c>
      <c r="E284" s="7" t="s">
        <v>992</v>
      </c>
      <c r="F284" s="13"/>
      <c r="G284" s="14"/>
      <c r="H284" s="15">
        <v>80</v>
      </c>
      <c r="I284" s="15">
        <v>4</v>
      </c>
      <c r="J284" s="15">
        <v>360</v>
      </c>
      <c r="K284" s="5">
        <v>80</v>
      </c>
      <c r="L284" s="16">
        <v>21.453333333333333</v>
      </c>
      <c r="M284" s="12"/>
      <c r="N284" s="14">
        <f t="shared" si="14"/>
        <v>0</v>
      </c>
      <c r="O284" s="23">
        <f>0.094*M284</f>
        <v>0</v>
      </c>
      <c r="P284" s="24">
        <f>0.00014*M284</f>
        <v>0</v>
      </c>
      <c r="Q284" s="25"/>
      <c r="R284" s="26"/>
      <c r="S284" s="26" t="s">
        <v>93</v>
      </c>
      <c r="T284" s="6" t="str">
        <f>HYPERLINK("https://kanzpp.ru/api/getInfo/image/3c533f8b-0fad-11eb-a25b-ac1f6b442184")</f>
        <v>https://kanzpp.ru/api/getInfo/image/3c533f8b-0fad-11eb-a25b-ac1f6b442184</v>
      </c>
      <c r="U284" s="6" t="s">
        <v>993</v>
      </c>
      <c r="V284" s="33" t="s">
        <v>35</v>
      </c>
    </row>
    <row r="285" spans="2:22" ht="21" customHeight="1" outlineLevel="3" x14ac:dyDescent="0.2">
      <c r="B285" s="5">
        <v>252</v>
      </c>
      <c r="C285" s="6" t="s">
        <v>994</v>
      </c>
      <c r="D285" s="6" t="s">
        <v>995</v>
      </c>
      <c r="E285" s="7" t="s">
        <v>996</v>
      </c>
      <c r="F285" s="13"/>
      <c r="G285" s="14"/>
      <c r="H285" s="15">
        <v>6</v>
      </c>
      <c r="I285" s="14"/>
      <c r="J285" s="15">
        <v>2</v>
      </c>
      <c r="K285" s="5">
        <v>1</v>
      </c>
      <c r="L285" s="16">
        <v>262.89333333333332</v>
      </c>
      <c r="M285" s="12"/>
      <c r="N285" s="14">
        <f t="shared" si="14"/>
        <v>0</v>
      </c>
      <c r="O285" s="23">
        <f>0.563*M285</f>
        <v>0</v>
      </c>
      <c r="P285" s="24">
        <f>0.00298*M285</f>
        <v>0</v>
      </c>
      <c r="Q285" s="25"/>
      <c r="R285" s="26" t="s">
        <v>997</v>
      </c>
      <c r="S285" s="26" t="s">
        <v>93</v>
      </c>
      <c r="T285" s="6"/>
      <c r="U285" s="6"/>
      <c r="V285" s="33" t="s">
        <v>35</v>
      </c>
    </row>
    <row r="286" spans="2:22" ht="21" customHeight="1" outlineLevel="3" x14ac:dyDescent="0.2">
      <c r="B286" s="5">
        <v>253</v>
      </c>
      <c r="C286" s="6" t="s">
        <v>998</v>
      </c>
      <c r="D286" s="6" t="s">
        <v>999</v>
      </c>
      <c r="E286" s="7" t="s">
        <v>1000</v>
      </c>
      <c r="F286" s="13"/>
      <c r="G286" s="14"/>
      <c r="H286" s="15">
        <v>32</v>
      </c>
      <c r="I286" s="15">
        <v>2</v>
      </c>
      <c r="J286" s="15">
        <v>82</v>
      </c>
      <c r="K286" s="5">
        <v>32</v>
      </c>
      <c r="L286" s="16">
        <v>196.4</v>
      </c>
      <c r="M286" s="12"/>
      <c r="N286" s="14">
        <f t="shared" si="14"/>
        <v>0</v>
      </c>
      <c r="O286" s="23">
        <f>0.457*M286</f>
        <v>0</v>
      </c>
      <c r="P286" s="24">
        <f>0.00067*M286</f>
        <v>0</v>
      </c>
      <c r="Q286" s="25"/>
      <c r="R286" s="26"/>
      <c r="S286" s="26" t="s">
        <v>93</v>
      </c>
      <c r="T286" s="6"/>
      <c r="U286" s="6"/>
      <c r="V286" s="33" t="s">
        <v>35</v>
      </c>
    </row>
    <row r="287" spans="2:22" ht="21" customHeight="1" outlineLevel="3" x14ac:dyDescent="0.2">
      <c r="B287" s="5">
        <v>254</v>
      </c>
      <c r="C287" s="6" t="s">
        <v>1001</v>
      </c>
      <c r="D287" s="6" t="s">
        <v>1002</v>
      </c>
      <c r="E287" s="7" t="s">
        <v>1003</v>
      </c>
      <c r="F287" s="13"/>
      <c r="G287" s="14"/>
      <c r="H287" s="15">
        <v>32</v>
      </c>
      <c r="I287" s="14"/>
      <c r="J287" s="15">
        <v>750</v>
      </c>
      <c r="K287" s="5">
        <v>32</v>
      </c>
      <c r="L287" s="16">
        <v>208.12</v>
      </c>
      <c r="M287" s="12"/>
      <c r="N287" s="14">
        <f t="shared" si="14"/>
        <v>0</v>
      </c>
      <c r="O287" s="23">
        <f>0.461*M287</f>
        <v>0</v>
      </c>
      <c r="P287" s="24">
        <f>0.00055*M287</f>
        <v>0</v>
      </c>
      <c r="Q287" s="25"/>
      <c r="R287" s="26" t="s">
        <v>1004</v>
      </c>
      <c r="S287" s="26" t="s">
        <v>93</v>
      </c>
      <c r="T287" s="6"/>
      <c r="U287" s="6"/>
      <c r="V287" s="33" t="s">
        <v>35</v>
      </c>
    </row>
    <row r="288" spans="2:22" ht="21" customHeight="1" outlineLevel="3" x14ac:dyDescent="0.2">
      <c r="B288" s="5">
        <v>255</v>
      </c>
      <c r="C288" s="6" t="s">
        <v>1005</v>
      </c>
      <c r="D288" s="6" t="s">
        <v>1006</v>
      </c>
      <c r="E288" s="7" t="s">
        <v>1007</v>
      </c>
      <c r="F288" s="13"/>
      <c r="G288" s="14"/>
      <c r="H288" s="15">
        <v>32</v>
      </c>
      <c r="I288" s="14"/>
      <c r="J288" s="15">
        <v>65</v>
      </c>
      <c r="K288" s="5">
        <v>32</v>
      </c>
      <c r="L288" s="16">
        <v>208.12</v>
      </c>
      <c r="M288" s="12"/>
      <c r="N288" s="14">
        <f t="shared" si="14"/>
        <v>0</v>
      </c>
      <c r="O288" s="23">
        <f>0.461*M288</f>
        <v>0</v>
      </c>
      <c r="P288" s="24">
        <f>0.00055*M288</f>
        <v>0</v>
      </c>
      <c r="Q288" s="25"/>
      <c r="R288" s="26" t="s">
        <v>1008</v>
      </c>
      <c r="S288" s="26" t="s">
        <v>93</v>
      </c>
      <c r="T288" s="6"/>
      <c r="U288" s="6"/>
      <c r="V288" s="33" t="s">
        <v>35</v>
      </c>
    </row>
    <row r="289" spans="2:22" ht="21" customHeight="1" outlineLevel="3" x14ac:dyDescent="0.2">
      <c r="B289" s="5">
        <v>256</v>
      </c>
      <c r="C289" s="6" t="s">
        <v>1009</v>
      </c>
      <c r="D289" s="6" t="s">
        <v>1010</v>
      </c>
      <c r="E289" s="7" t="s">
        <v>1011</v>
      </c>
      <c r="F289" s="13"/>
      <c r="G289" s="14"/>
      <c r="H289" s="15">
        <v>32</v>
      </c>
      <c r="I289" s="14"/>
      <c r="J289" s="15">
        <v>635</v>
      </c>
      <c r="K289" s="5">
        <v>32</v>
      </c>
      <c r="L289" s="16">
        <v>208.12</v>
      </c>
      <c r="M289" s="12"/>
      <c r="N289" s="14">
        <f t="shared" si="14"/>
        <v>0</v>
      </c>
      <c r="O289" s="23">
        <f>0.444*M289</f>
        <v>0</v>
      </c>
      <c r="P289" s="31">
        <f>0.0009*M289</f>
        <v>0</v>
      </c>
      <c r="Q289" s="25"/>
      <c r="R289" s="26" t="s">
        <v>1012</v>
      </c>
      <c r="S289" s="26" t="s">
        <v>93</v>
      </c>
      <c r="T289" s="6"/>
      <c r="U289" s="6"/>
      <c r="V289" s="33" t="s">
        <v>35</v>
      </c>
    </row>
    <row r="290" spans="2:22" ht="21" customHeight="1" outlineLevel="3" x14ac:dyDescent="0.2">
      <c r="B290" s="5">
        <v>257</v>
      </c>
      <c r="C290" s="6" t="s">
        <v>1013</v>
      </c>
      <c r="D290" s="6" t="s">
        <v>1014</v>
      </c>
      <c r="E290" s="7" t="s">
        <v>1015</v>
      </c>
      <c r="F290" s="13"/>
      <c r="G290" s="14"/>
      <c r="H290" s="15">
        <v>32</v>
      </c>
      <c r="I290" s="14"/>
      <c r="J290" s="15">
        <v>978</v>
      </c>
      <c r="K290" s="5">
        <v>32</v>
      </c>
      <c r="L290" s="16">
        <v>208.12</v>
      </c>
      <c r="M290" s="12"/>
      <c r="N290" s="14">
        <f t="shared" si="14"/>
        <v>0</v>
      </c>
      <c r="O290" s="23">
        <f>0.462*M290</f>
        <v>0</v>
      </c>
      <c r="P290" s="31">
        <f>0.0008*M290</f>
        <v>0</v>
      </c>
      <c r="Q290" s="25"/>
      <c r="R290" s="26" t="s">
        <v>1016</v>
      </c>
      <c r="S290" s="26" t="s">
        <v>93</v>
      </c>
      <c r="T290" s="6"/>
      <c r="U290" s="6"/>
      <c r="V290" s="33" t="s">
        <v>35</v>
      </c>
    </row>
    <row r="291" spans="2:22" ht="21" customHeight="1" outlineLevel="3" x14ac:dyDescent="0.2">
      <c r="B291" s="5">
        <v>258</v>
      </c>
      <c r="C291" s="6" t="s">
        <v>1017</v>
      </c>
      <c r="D291" s="6" t="s">
        <v>1018</v>
      </c>
      <c r="E291" s="7" t="s">
        <v>1019</v>
      </c>
      <c r="F291" s="13"/>
      <c r="G291" s="14"/>
      <c r="H291" s="14"/>
      <c r="I291" s="15">
        <v>20</v>
      </c>
      <c r="J291" s="15">
        <v>540</v>
      </c>
      <c r="K291" s="5">
        <v>20</v>
      </c>
      <c r="L291" s="16">
        <v>10.813333333333333</v>
      </c>
      <c r="M291" s="12"/>
      <c r="N291" s="14">
        <f t="shared" si="14"/>
        <v>0</v>
      </c>
      <c r="O291" s="23">
        <f>0.034*M291</f>
        <v>0</v>
      </c>
      <c r="P291" s="24">
        <f>0.00007*M291</f>
        <v>0</v>
      </c>
      <c r="Q291" s="25"/>
      <c r="R291" s="26" t="s">
        <v>1020</v>
      </c>
      <c r="S291" s="26" t="s">
        <v>29</v>
      </c>
      <c r="T291" s="6"/>
      <c r="U291" s="6"/>
      <c r="V291" s="33" t="s">
        <v>35</v>
      </c>
    </row>
    <row r="292" spans="2:22" ht="21" customHeight="1" outlineLevel="3" x14ac:dyDescent="0.2">
      <c r="B292" s="5">
        <v>259</v>
      </c>
      <c r="C292" s="6" t="s">
        <v>1021</v>
      </c>
      <c r="D292" s="6" t="s">
        <v>1022</v>
      </c>
      <c r="E292" s="7" t="s">
        <v>1023</v>
      </c>
      <c r="F292" s="13"/>
      <c r="G292" s="14"/>
      <c r="H292" s="15">
        <v>140</v>
      </c>
      <c r="I292" s="15">
        <v>10</v>
      </c>
      <c r="J292" s="15">
        <v>10</v>
      </c>
      <c r="K292" s="5">
        <v>1</v>
      </c>
      <c r="L292" s="16">
        <v>12.68</v>
      </c>
      <c r="M292" s="12"/>
      <c r="N292" s="14">
        <f t="shared" si="14"/>
        <v>0</v>
      </c>
      <c r="O292" s="23">
        <f>0.042*M292</f>
        <v>0</v>
      </c>
      <c r="P292" s="24">
        <f>0.00007*M292</f>
        <v>0</v>
      </c>
      <c r="Q292" s="25"/>
      <c r="R292" s="26"/>
      <c r="S292" s="26" t="s">
        <v>29</v>
      </c>
      <c r="T292" s="6"/>
      <c r="U292" s="6"/>
      <c r="V292" s="33" t="s">
        <v>35</v>
      </c>
    </row>
    <row r="293" spans="2:22" ht="21" customHeight="1" outlineLevel="3" x14ac:dyDescent="0.2">
      <c r="B293" s="5">
        <v>260</v>
      </c>
      <c r="C293" s="6" t="s">
        <v>1024</v>
      </c>
      <c r="D293" s="6" t="s">
        <v>1025</v>
      </c>
      <c r="E293" s="7" t="s">
        <v>1026</v>
      </c>
      <c r="F293" s="13"/>
      <c r="G293" s="14"/>
      <c r="H293" s="15">
        <v>200</v>
      </c>
      <c r="I293" s="15">
        <v>20</v>
      </c>
      <c r="J293" s="15">
        <v>20</v>
      </c>
      <c r="K293" s="5">
        <v>20</v>
      </c>
      <c r="L293" s="16">
        <v>12.613333333333335</v>
      </c>
      <c r="M293" s="12"/>
      <c r="N293" s="14">
        <f t="shared" si="14"/>
        <v>0</v>
      </c>
      <c r="O293" s="23">
        <f>0.063*M293</f>
        <v>0</v>
      </c>
      <c r="P293" s="24">
        <f>0.00007*M293</f>
        <v>0</v>
      </c>
      <c r="Q293" s="25"/>
      <c r="R293" s="26"/>
      <c r="S293" s="26" t="s">
        <v>29</v>
      </c>
      <c r="T293" s="6"/>
      <c r="U293" s="6"/>
      <c r="V293" s="33" t="s">
        <v>35</v>
      </c>
    </row>
    <row r="294" spans="2:22" ht="21" customHeight="1" outlineLevel="3" x14ac:dyDescent="0.2">
      <c r="B294" s="5">
        <v>261</v>
      </c>
      <c r="C294" s="6" t="s">
        <v>1027</v>
      </c>
      <c r="D294" s="6" t="s">
        <v>1028</v>
      </c>
      <c r="E294" s="7" t="s">
        <v>1029</v>
      </c>
      <c r="F294" s="13"/>
      <c r="G294" s="14"/>
      <c r="H294" s="15">
        <v>150</v>
      </c>
      <c r="I294" s="15">
        <v>15</v>
      </c>
      <c r="J294" s="15">
        <v>135</v>
      </c>
      <c r="K294" s="5">
        <v>1</v>
      </c>
      <c r="L294" s="16">
        <v>11.266666666666666</v>
      </c>
      <c r="M294" s="12"/>
      <c r="N294" s="14">
        <f t="shared" si="14"/>
        <v>0</v>
      </c>
      <c r="O294" s="23">
        <f>0.053*M294</f>
        <v>0</v>
      </c>
      <c r="P294" s="24">
        <f>0.00006*M294</f>
        <v>0</v>
      </c>
      <c r="Q294" s="25"/>
      <c r="R294" s="26"/>
      <c r="S294" s="26" t="s">
        <v>29</v>
      </c>
      <c r="T294" s="6"/>
      <c r="U294" s="6" t="s">
        <v>1030</v>
      </c>
      <c r="V294" s="33" t="s">
        <v>35</v>
      </c>
    </row>
    <row r="295" spans="2:22" ht="21" customHeight="1" outlineLevel="3" x14ac:dyDescent="0.2">
      <c r="B295" s="5">
        <v>262</v>
      </c>
      <c r="C295" s="6" t="s">
        <v>1031</v>
      </c>
      <c r="D295" s="6" t="s">
        <v>1032</v>
      </c>
      <c r="E295" s="7" t="s">
        <v>1033</v>
      </c>
      <c r="F295" s="13"/>
      <c r="G295" s="14"/>
      <c r="H295" s="15">
        <v>150</v>
      </c>
      <c r="I295" s="15">
        <v>15</v>
      </c>
      <c r="J295" s="15">
        <v>15</v>
      </c>
      <c r="K295" s="5">
        <v>1</v>
      </c>
      <c r="L295" s="16">
        <v>11.36</v>
      </c>
      <c r="M295" s="12"/>
      <c r="N295" s="14">
        <f t="shared" ref="N295:N326" si="15">L295*M295</f>
        <v>0</v>
      </c>
      <c r="O295" s="23">
        <f>0.053*M295</f>
        <v>0</v>
      </c>
      <c r="P295" s="24">
        <f>0.00006*M295</f>
        <v>0</v>
      </c>
      <c r="Q295" s="25"/>
      <c r="R295" s="26"/>
      <c r="S295" s="26" t="s">
        <v>29</v>
      </c>
      <c r="T295" s="6"/>
      <c r="U295" s="6" t="s">
        <v>1034</v>
      </c>
      <c r="V295" s="33" t="s">
        <v>35</v>
      </c>
    </row>
    <row r="296" spans="2:22" ht="21" customHeight="1" outlineLevel="3" x14ac:dyDescent="0.2">
      <c r="B296" s="5">
        <v>263</v>
      </c>
      <c r="C296" s="6" t="s">
        <v>1035</v>
      </c>
      <c r="D296" s="6" t="s">
        <v>1036</v>
      </c>
      <c r="E296" s="7" t="s">
        <v>1037</v>
      </c>
      <c r="F296" s="13"/>
      <c r="G296" s="14"/>
      <c r="H296" s="15">
        <v>140</v>
      </c>
      <c r="I296" s="15">
        <v>10</v>
      </c>
      <c r="J296" s="15">
        <v>150</v>
      </c>
      <c r="K296" s="5">
        <v>10</v>
      </c>
      <c r="L296" s="16">
        <v>13.613333333333335</v>
      </c>
      <c r="M296" s="12"/>
      <c r="N296" s="14">
        <f t="shared" si="15"/>
        <v>0</v>
      </c>
      <c r="O296" s="23">
        <f>0.045*M296</f>
        <v>0</v>
      </c>
      <c r="P296" s="24">
        <f>0.00007*M296</f>
        <v>0</v>
      </c>
      <c r="Q296" s="25"/>
      <c r="R296" s="26"/>
      <c r="S296" s="26" t="s">
        <v>29</v>
      </c>
      <c r="T296" s="6"/>
      <c r="U296" s="6"/>
      <c r="V296" s="33" t="s">
        <v>35</v>
      </c>
    </row>
    <row r="297" spans="2:22" ht="21" customHeight="1" outlineLevel="3" x14ac:dyDescent="0.2">
      <c r="B297" s="5">
        <v>264</v>
      </c>
      <c r="C297" s="6" t="s">
        <v>1038</v>
      </c>
      <c r="D297" s="6" t="s">
        <v>1039</v>
      </c>
      <c r="E297" s="7" t="s">
        <v>1040</v>
      </c>
      <c r="F297" s="13"/>
      <c r="G297" s="14"/>
      <c r="H297" s="15">
        <v>100</v>
      </c>
      <c r="I297" s="14"/>
      <c r="J297" s="15">
        <v>700</v>
      </c>
      <c r="K297" s="5">
        <v>100</v>
      </c>
      <c r="L297" s="16">
        <v>17.693333333333332</v>
      </c>
      <c r="M297" s="12"/>
      <c r="N297" s="14">
        <f t="shared" si="15"/>
        <v>0</v>
      </c>
      <c r="O297" s="23">
        <f>0.055*M297</f>
        <v>0</v>
      </c>
      <c r="P297" s="24">
        <f>0.00024*M297</f>
        <v>0</v>
      </c>
      <c r="Q297" s="25"/>
      <c r="R297" s="26" t="s">
        <v>1041</v>
      </c>
      <c r="S297" s="26" t="s">
        <v>29</v>
      </c>
      <c r="T297" s="6"/>
      <c r="U297" s="6"/>
      <c r="V297" s="33" t="s">
        <v>35</v>
      </c>
    </row>
    <row r="298" spans="2:22" ht="21" customHeight="1" outlineLevel="3" x14ac:dyDescent="0.2">
      <c r="B298" s="5">
        <v>265</v>
      </c>
      <c r="C298" s="6" t="s">
        <v>1042</v>
      </c>
      <c r="D298" s="6" t="s">
        <v>1043</v>
      </c>
      <c r="E298" s="7" t="s">
        <v>1044</v>
      </c>
      <c r="F298" s="13"/>
      <c r="G298" s="14"/>
      <c r="H298" s="15">
        <v>60</v>
      </c>
      <c r="I298" s="14"/>
      <c r="J298" s="17">
        <v>2915</v>
      </c>
      <c r="K298" s="5">
        <v>60</v>
      </c>
      <c r="L298" s="16">
        <v>26.466666666666669</v>
      </c>
      <c r="M298" s="12"/>
      <c r="N298" s="14">
        <f t="shared" si="15"/>
        <v>0</v>
      </c>
      <c r="O298" s="23">
        <f>0.119*M298</f>
        <v>0</v>
      </c>
      <c r="P298" s="24">
        <f>0.00028*M298</f>
        <v>0</v>
      </c>
      <c r="Q298" s="25"/>
      <c r="R298" s="26" t="s">
        <v>1045</v>
      </c>
      <c r="S298" s="26" t="s">
        <v>93</v>
      </c>
      <c r="T298" s="6"/>
      <c r="U298" s="6"/>
      <c r="V298" s="33" t="s">
        <v>35</v>
      </c>
    </row>
    <row r="299" spans="2:22" ht="21" customHeight="1" outlineLevel="3" x14ac:dyDescent="0.2">
      <c r="B299" s="5">
        <v>266</v>
      </c>
      <c r="C299" s="6" t="s">
        <v>1046</v>
      </c>
      <c r="D299" s="6" t="s">
        <v>1047</v>
      </c>
      <c r="E299" s="7" t="s">
        <v>1048</v>
      </c>
      <c r="F299" s="13"/>
      <c r="G299" s="14"/>
      <c r="H299" s="15">
        <v>80</v>
      </c>
      <c r="I299" s="15">
        <v>5</v>
      </c>
      <c r="J299" s="15">
        <v>5</v>
      </c>
      <c r="K299" s="5">
        <v>5</v>
      </c>
      <c r="L299" s="16">
        <v>32.36</v>
      </c>
      <c r="M299" s="12"/>
      <c r="N299" s="14">
        <f t="shared" si="15"/>
        <v>0</v>
      </c>
      <c r="O299" s="23">
        <f>0.141*M299</f>
        <v>0</v>
      </c>
      <c r="P299" s="24">
        <f>0.00017*M299</f>
        <v>0</v>
      </c>
      <c r="Q299" s="25"/>
      <c r="R299" s="26"/>
      <c r="S299" s="26" t="s">
        <v>93</v>
      </c>
      <c r="T299" s="6"/>
      <c r="U299" s="6" t="s">
        <v>1049</v>
      </c>
      <c r="V299" s="33" t="s">
        <v>35</v>
      </c>
    </row>
    <row r="300" spans="2:22" ht="21" customHeight="1" outlineLevel="3" x14ac:dyDescent="0.2">
      <c r="B300" s="5">
        <v>267</v>
      </c>
      <c r="C300" s="6" t="s">
        <v>1050</v>
      </c>
      <c r="D300" s="6" t="s">
        <v>1051</v>
      </c>
      <c r="E300" s="7" t="s">
        <v>1052</v>
      </c>
      <c r="F300" s="13"/>
      <c r="G300" s="14"/>
      <c r="H300" s="15">
        <v>80</v>
      </c>
      <c r="I300" s="15">
        <v>10</v>
      </c>
      <c r="J300" s="15">
        <v>160</v>
      </c>
      <c r="K300" s="5">
        <v>80</v>
      </c>
      <c r="L300" s="16">
        <v>30.439999999999998</v>
      </c>
      <c r="M300" s="12"/>
      <c r="N300" s="14">
        <f t="shared" si="15"/>
        <v>0</v>
      </c>
      <c r="O300" s="23">
        <f>0.106*M300</f>
        <v>0</v>
      </c>
      <c r="P300" s="24">
        <f>0.00035*M300</f>
        <v>0</v>
      </c>
      <c r="Q300" s="25"/>
      <c r="R300" s="26" t="s">
        <v>1053</v>
      </c>
      <c r="S300" s="26" t="s">
        <v>93</v>
      </c>
      <c r="T300" s="6"/>
      <c r="U300" s="6"/>
      <c r="V300" s="33" t="s">
        <v>35</v>
      </c>
    </row>
    <row r="301" spans="2:22" ht="21" customHeight="1" outlineLevel="3" x14ac:dyDescent="0.2">
      <c r="B301" s="5">
        <v>268</v>
      </c>
      <c r="C301" s="6" t="s">
        <v>1054</v>
      </c>
      <c r="D301" s="6" t="s">
        <v>1055</v>
      </c>
      <c r="E301" s="7" t="s">
        <v>1056</v>
      </c>
      <c r="F301" s="13"/>
      <c r="G301" s="14"/>
      <c r="H301" s="15">
        <v>80</v>
      </c>
      <c r="I301" s="15">
        <v>10</v>
      </c>
      <c r="J301" s="15">
        <v>80</v>
      </c>
      <c r="K301" s="5">
        <v>80</v>
      </c>
      <c r="L301" s="16">
        <v>30.439999999999998</v>
      </c>
      <c r="M301" s="12"/>
      <c r="N301" s="14">
        <f t="shared" si="15"/>
        <v>0</v>
      </c>
      <c r="O301" s="23">
        <f>0.107*M301</f>
        <v>0</v>
      </c>
      <c r="P301" s="24">
        <f>0.00031*M301</f>
        <v>0</v>
      </c>
      <c r="Q301" s="25"/>
      <c r="R301" s="26" t="s">
        <v>1057</v>
      </c>
      <c r="S301" s="26" t="s">
        <v>93</v>
      </c>
      <c r="T301" s="6"/>
      <c r="U301" s="6"/>
      <c r="V301" s="33" t="s">
        <v>35</v>
      </c>
    </row>
    <row r="302" spans="2:22" ht="21" customHeight="1" outlineLevel="3" x14ac:dyDescent="0.2">
      <c r="B302" s="5">
        <v>269</v>
      </c>
      <c r="C302" s="6" t="s">
        <v>1058</v>
      </c>
      <c r="D302" s="6" t="s">
        <v>1059</v>
      </c>
      <c r="E302" s="7" t="s">
        <v>1060</v>
      </c>
      <c r="F302" s="13"/>
      <c r="G302" s="14"/>
      <c r="H302" s="15">
        <v>80</v>
      </c>
      <c r="I302" s="15">
        <v>10</v>
      </c>
      <c r="J302" s="15">
        <v>80</v>
      </c>
      <c r="K302" s="5">
        <v>80</v>
      </c>
      <c r="L302" s="16">
        <v>30.439999999999998</v>
      </c>
      <c r="M302" s="12"/>
      <c r="N302" s="14">
        <f t="shared" si="15"/>
        <v>0</v>
      </c>
      <c r="O302" s="23">
        <f>0.106*M302</f>
        <v>0</v>
      </c>
      <c r="P302" s="24">
        <f>0.00014*M302</f>
        <v>0</v>
      </c>
      <c r="Q302" s="25"/>
      <c r="R302" s="26" t="s">
        <v>1061</v>
      </c>
      <c r="S302" s="26" t="s">
        <v>93</v>
      </c>
      <c r="T302" s="6"/>
      <c r="U302" s="6"/>
      <c r="V302" s="33" t="s">
        <v>35</v>
      </c>
    </row>
    <row r="303" spans="2:22" ht="21" customHeight="1" outlineLevel="3" x14ac:dyDescent="0.2">
      <c r="B303" s="5">
        <v>270</v>
      </c>
      <c r="C303" s="6" t="s">
        <v>1062</v>
      </c>
      <c r="D303" s="6" t="s">
        <v>1063</v>
      </c>
      <c r="E303" s="7" t="s">
        <v>1064</v>
      </c>
      <c r="F303" s="13"/>
      <c r="G303" s="14"/>
      <c r="H303" s="15">
        <v>80</v>
      </c>
      <c r="I303" s="15">
        <v>5</v>
      </c>
      <c r="J303" s="15">
        <v>368</v>
      </c>
      <c r="K303" s="5">
        <v>80</v>
      </c>
      <c r="L303" s="16">
        <v>28.106666666666666</v>
      </c>
      <c r="M303" s="12"/>
      <c r="N303" s="14">
        <f t="shared" si="15"/>
        <v>0</v>
      </c>
      <c r="O303" s="23">
        <f>0.106*M303</f>
        <v>0</v>
      </c>
      <c r="P303" s="24">
        <f>0.00024*M303</f>
        <v>0</v>
      </c>
      <c r="Q303" s="25"/>
      <c r="R303" s="26"/>
      <c r="S303" s="26" t="s">
        <v>93</v>
      </c>
      <c r="T303" s="6"/>
      <c r="U303" s="6" t="s">
        <v>1065</v>
      </c>
      <c r="V303" s="33" t="s">
        <v>35</v>
      </c>
    </row>
    <row r="304" spans="2:22" ht="21" customHeight="1" outlineLevel="3" x14ac:dyDescent="0.2">
      <c r="B304" s="5">
        <v>271</v>
      </c>
      <c r="C304" s="6" t="s">
        <v>1066</v>
      </c>
      <c r="D304" s="6" t="s">
        <v>1067</v>
      </c>
      <c r="E304" s="7" t="s">
        <v>1068</v>
      </c>
      <c r="F304" s="13"/>
      <c r="G304" s="14"/>
      <c r="H304" s="15">
        <v>80</v>
      </c>
      <c r="I304" s="15">
        <v>10</v>
      </c>
      <c r="J304" s="15">
        <v>240</v>
      </c>
      <c r="K304" s="5">
        <v>80</v>
      </c>
      <c r="L304" s="16">
        <v>30.439999999999998</v>
      </c>
      <c r="M304" s="12"/>
      <c r="N304" s="14">
        <f t="shared" si="15"/>
        <v>0</v>
      </c>
      <c r="O304" s="23">
        <f>0.108*M304</f>
        <v>0</v>
      </c>
      <c r="P304" s="24">
        <f>0.00021*M304</f>
        <v>0</v>
      </c>
      <c r="Q304" s="25"/>
      <c r="R304" s="26" t="s">
        <v>1069</v>
      </c>
      <c r="S304" s="26" t="s">
        <v>93</v>
      </c>
      <c r="T304" s="6"/>
      <c r="U304" s="6"/>
      <c r="V304" s="33" t="s">
        <v>35</v>
      </c>
    </row>
    <row r="305" spans="2:22" ht="21" customHeight="1" outlineLevel="3" x14ac:dyDescent="0.2">
      <c r="B305" s="5">
        <v>272</v>
      </c>
      <c r="C305" s="6" t="s">
        <v>1070</v>
      </c>
      <c r="D305" s="6" t="s">
        <v>1071</v>
      </c>
      <c r="E305" s="7" t="s">
        <v>1072</v>
      </c>
      <c r="F305" s="13"/>
      <c r="G305" s="14"/>
      <c r="H305" s="15">
        <v>80</v>
      </c>
      <c r="I305" s="15">
        <v>10</v>
      </c>
      <c r="J305" s="15">
        <v>560</v>
      </c>
      <c r="K305" s="5">
        <v>80</v>
      </c>
      <c r="L305" s="16">
        <v>30.439999999999998</v>
      </c>
      <c r="M305" s="12"/>
      <c r="N305" s="14">
        <f t="shared" si="15"/>
        <v>0</v>
      </c>
      <c r="O305" s="23">
        <f>0.102*M305</f>
        <v>0</v>
      </c>
      <c r="P305" s="24">
        <f>0.00017*M305</f>
        <v>0</v>
      </c>
      <c r="Q305" s="25"/>
      <c r="R305" s="26" t="s">
        <v>1073</v>
      </c>
      <c r="S305" s="26" t="s">
        <v>93</v>
      </c>
      <c r="T305" s="6"/>
      <c r="U305" s="6"/>
      <c r="V305" s="33" t="s">
        <v>35</v>
      </c>
    </row>
    <row r="306" spans="2:22" ht="21" customHeight="1" outlineLevel="3" x14ac:dyDescent="0.2">
      <c r="B306" s="5">
        <v>273</v>
      </c>
      <c r="C306" s="6" t="s">
        <v>1074</v>
      </c>
      <c r="D306" s="6" t="s">
        <v>1075</v>
      </c>
      <c r="E306" s="7" t="s">
        <v>1076</v>
      </c>
      <c r="F306" s="13"/>
      <c r="G306" s="14"/>
      <c r="H306" s="15">
        <v>80</v>
      </c>
      <c r="I306" s="15">
        <v>10</v>
      </c>
      <c r="J306" s="17">
        <v>2800</v>
      </c>
      <c r="K306" s="5">
        <v>80</v>
      </c>
      <c r="L306" s="16">
        <v>30.439999999999998</v>
      </c>
      <c r="M306" s="12"/>
      <c r="N306" s="14">
        <f t="shared" si="15"/>
        <v>0</v>
      </c>
      <c r="O306" s="23">
        <f>0.108*M306</f>
        <v>0</v>
      </c>
      <c r="P306" s="24">
        <f>0.00021*M306</f>
        <v>0</v>
      </c>
      <c r="Q306" s="25"/>
      <c r="R306" s="26" t="s">
        <v>1077</v>
      </c>
      <c r="S306" s="26" t="s">
        <v>93</v>
      </c>
      <c r="T306" s="6"/>
      <c r="U306" s="6"/>
      <c r="V306" s="33" t="s">
        <v>35</v>
      </c>
    </row>
    <row r="307" spans="2:22" ht="21" customHeight="1" outlineLevel="3" x14ac:dyDescent="0.2">
      <c r="B307" s="5">
        <v>274</v>
      </c>
      <c r="C307" s="6" t="s">
        <v>1078</v>
      </c>
      <c r="D307" s="6" t="s">
        <v>1079</v>
      </c>
      <c r="E307" s="7" t="s">
        <v>1080</v>
      </c>
      <c r="F307" s="13"/>
      <c r="G307" s="14"/>
      <c r="H307" s="15">
        <v>80</v>
      </c>
      <c r="I307" s="15">
        <v>10</v>
      </c>
      <c r="J307" s="15">
        <v>80</v>
      </c>
      <c r="K307" s="5">
        <v>80</v>
      </c>
      <c r="L307" s="16">
        <v>30.439999999999998</v>
      </c>
      <c r="M307" s="12"/>
      <c r="N307" s="14">
        <f t="shared" si="15"/>
        <v>0</v>
      </c>
      <c r="O307" s="23">
        <f>0.107*M307</f>
        <v>0</v>
      </c>
      <c r="P307" s="24">
        <f>0.00034*M307</f>
        <v>0</v>
      </c>
      <c r="Q307" s="25"/>
      <c r="R307" s="26" t="s">
        <v>1081</v>
      </c>
      <c r="S307" s="26" t="s">
        <v>93</v>
      </c>
      <c r="T307" s="6"/>
      <c r="U307" s="6"/>
      <c r="V307" s="33" t="s">
        <v>35</v>
      </c>
    </row>
    <row r="308" spans="2:22" ht="21" customHeight="1" outlineLevel="3" x14ac:dyDescent="0.2">
      <c r="B308" s="5">
        <v>275</v>
      </c>
      <c r="C308" s="6" t="s">
        <v>1082</v>
      </c>
      <c r="D308" s="6" t="s">
        <v>1083</v>
      </c>
      <c r="E308" s="7" t="s">
        <v>1084</v>
      </c>
      <c r="F308" s="13"/>
      <c r="G308" s="14"/>
      <c r="H308" s="15">
        <v>80</v>
      </c>
      <c r="I308" s="15">
        <v>5</v>
      </c>
      <c r="J308" s="15">
        <v>90</v>
      </c>
      <c r="K308" s="5">
        <v>1</v>
      </c>
      <c r="L308" s="16">
        <v>32.746666666666663</v>
      </c>
      <c r="M308" s="12"/>
      <c r="N308" s="14">
        <f t="shared" si="15"/>
        <v>0</v>
      </c>
      <c r="O308" s="28">
        <f>0.12*M308</f>
        <v>0</v>
      </c>
      <c r="P308" s="24">
        <f>0.00017*M308</f>
        <v>0</v>
      </c>
      <c r="Q308" s="25"/>
      <c r="R308" s="26"/>
      <c r="S308" s="26" t="s">
        <v>93</v>
      </c>
      <c r="T308" s="6"/>
      <c r="U308" s="6" t="s">
        <v>1085</v>
      </c>
      <c r="V308" s="33" t="s">
        <v>35</v>
      </c>
    </row>
    <row r="309" spans="2:22" ht="21" customHeight="1" outlineLevel="3" x14ac:dyDescent="0.2">
      <c r="B309" s="5">
        <v>276</v>
      </c>
      <c r="C309" s="6" t="s">
        <v>1086</v>
      </c>
      <c r="D309" s="6" t="s">
        <v>1087</v>
      </c>
      <c r="E309" s="7" t="s">
        <v>1088</v>
      </c>
      <c r="F309" s="13"/>
      <c r="G309" s="14"/>
      <c r="H309" s="15">
        <v>80</v>
      </c>
      <c r="I309" s="15">
        <v>10</v>
      </c>
      <c r="J309" s="17">
        <v>2800</v>
      </c>
      <c r="K309" s="5">
        <v>80</v>
      </c>
      <c r="L309" s="16">
        <v>30.439999999999998</v>
      </c>
      <c r="M309" s="12"/>
      <c r="N309" s="14">
        <f t="shared" si="15"/>
        <v>0</v>
      </c>
      <c r="O309" s="23">
        <f>0.108*M309</f>
        <v>0</v>
      </c>
      <c r="P309" s="24">
        <f>0.00021*M309</f>
        <v>0</v>
      </c>
      <c r="Q309" s="25"/>
      <c r="R309" s="26" t="s">
        <v>1089</v>
      </c>
      <c r="S309" s="26" t="s">
        <v>93</v>
      </c>
      <c r="T309" s="6"/>
      <c r="U309" s="6"/>
      <c r="V309" s="33" t="s">
        <v>35</v>
      </c>
    </row>
    <row r="310" spans="2:22" ht="21" customHeight="1" outlineLevel="3" x14ac:dyDescent="0.2">
      <c r="B310" s="5">
        <v>277</v>
      </c>
      <c r="C310" s="6" t="s">
        <v>1090</v>
      </c>
      <c r="D310" s="6" t="s">
        <v>1091</v>
      </c>
      <c r="E310" s="7" t="s">
        <v>1092</v>
      </c>
      <c r="F310" s="13"/>
      <c r="G310" s="14"/>
      <c r="H310" s="15">
        <v>80</v>
      </c>
      <c r="I310" s="15">
        <v>10</v>
      </c>
      <c r="J310" s="15">
        <v>640</v>
      </c>
      <c r="K310" s="5">
        <v>80</v>
      </c>
      <c r="L310" s="16">
        <v>30.439999999999998</v>
      </c>
      <c r="M310" s="12"/>
      <c r="N310" s="14">
        <f t="shared" si="15"/>
        <v>0</v>
      </c>
      <c r="O310" s="23">
        <f>0.108*M310</f>
        <v>0</v>
      </c>
      <c r="P310" s="24">
        <f>0.00021*M310</f>
        <v>0</v>
      </c>
      <c r="Q310" s="25"/>
      <c r="R310" s="26" t="s">
        <v>1093</v>
      </c>
      <c r="S310" s="26" t="s">
        <v>93</v>
      </c>
      <c r="T310" s="6"/>
      <c r="U310" s="6"/>
      <c r="V310" s="33" t="s">
        <v>35</v>
      </c>
    </row>
    <row r="311" spans="2:22" ht="21" customHeight="1" outlineLevel="3" x14ac:dyDescent="0.2">
      <c r="B311" s="5">
        <v>278</v>
      </c>
      <c r="C311" s="6" t="s">
        <v>1094</v>
      </c>
      <c r="D311" s="6" t="s">
        <v>1095</v>
      </c>
      <c r="E311" s="7" t="s">
        <v>1096</v>
      </c>
      <c r="F311" s="13"/>
      <c r="G311" s="14"/>
      <c r="H311" s="15">
        <v>80</v>
      </c>
      <c r="I311" s="15">
        <v>10</v>
      </c>
      <c r="J311" s="15">
        <v>640</v>
      </c>
      <c r="K311" s="5">
        <v>80</v>
      </c>
      <c r="L311" s="16">
        <v>30.439999999999998</v>
      </c>
      <c r="M311" s="12"/>
      <c r="N311" s="14">
        <f t="shared" si="15"/>
        <v>0</v>
      </c>
      <c r="O311" s="23">
        <f>0.108*M311</f>
        <v>0</v>
      </c>
      <c r="P311" s="24">
        <f>0.00021*M311</f>
        <v>0</v>
      </c>
      <c r="Q311" s="25"/>
      <c r="R311" s="26" t="s">
        <v>1097</v>
      </c>
      <c r="S311" s="26" t="s">
        <v>93</v>
      </c>
      <c r="T311" s="6"/>
      <c r="U311" s="6"/>
      <c r="V311" s="33" t="s">
        <v>35</v>
      </c>
    </row>
    <row r="312" spans="2:22" ht="21" customHeight="1" outlineLevel="3" x14ac:dyDescent="0.2">
      <c r="B312" s="5">
        <v>279</v>
      </c>
      <c r="C312" s="6" t="s">
        <v>1098</v>
      </c>
      <c r="D312" s="6" t="s">
        <v>1099</v>
      </c>
      <c r="E312" s="7" t="s">
        <v>1100</v>
      </c>
      <c r="F312" s="13"/>
      <c r="G312" s="14"/>
      <c r="H312" s="15">
        <v>24</v>
      </c>
      <c r="I312" s="15">
        <v>2</v>
      </c>
      <c r="J312" s="15">
        <v>510</v>
      </c>
      <c r="K312" s="5">
        <v>2</v>
      </c>
      <c r="L312" s="16">
        <v>99.653333333333322</v>
      </c>
      <c r="M312" s="12"/>
      <c r="N312" s="14">
        <f t="shared" si="15"/>
        <v>0</v>
      </c>
      <c r="O312" s="23">
        <f>0.355*M312</f>
        <v>0</v>
      </c>
      <c r="P312" s="24">
        <f>0.00065*M312</f>
        <v>0</v>
      </c>
      <c r="Q312" s="25"/>
      <c r="R312" s="26"/>
      <c r="S312" s="26" t="s">
        <v>93</v>
      </c>
      <c r="T312" s="6" t="str">
        <f>HYPERLINK("https://kanzpp.ru/api/getInfo/image/2a99d01c-11d8-11eb-a25d-ac1f6b442184")</f>
        <v>https://kanzpp.ru/api/getInfo/image/2a99d01c-11d8-11eb-a25d-ac1f6b442184</v>
      </c>
      <c r="U312" s="6"/>
      <c r="V312" s="33" t="s">
        <v>35</v>
      </c>
    </row>
    <row r="313" spans="2:22" ht="21" customHeight="1" outlineLevel="3" x14ac:dyDescent="0.2">
      <c r="B313" s="5">
        <v>280</v>
      </c>
      <c r="C313" s="6" t="s">
        <v>1101</v>
      </c>
      <c r="D313" s="6" t="s">
        <v>1102</v>
      </c>
      <c r="E313" s="7" t="s">
        <v>1103</v>
      </c>
      <c r="F313" s="13"/>
      <c r="G313" s="14"/>
      <c r="H313" s="15">
        <v>30</v>
      </c>
      <c r="I313" s="14"/>
      <c r="J313" s="15">
        <v>55</v>
      </c>
      <c r="K313" s="5">
        <v>30</v>
      </c>
      <c r="L313" s="16">
        <v>108</v>
      </c>
      <c r="M313" s="12"/>
      <c r="N313" s="14">
        <f t="shared" si="15"/>
        <v>0</v>
      </c>
      <c r="O313" s="28">
        <f>0.35*M313</f>
        <v>0</v>
      </c>
      <c r="P313" s="24">
        <f>0.00047*M313</f>
        <v>0</v>
      </c>
      <c r="Q313" s="25"/>
      <c r="R313" s="26"/>
      <c r="S313" s="26" t="s">
        <v>93</v>
      </c>
      <c r="T313" s="6"/>
      <c r="U313" s="6"/>
      <c r="V313" s="33" t="s">
        <v>35</v>
      </c>
    </row>
    <row r="314" spans="2:22" ht="21" customHeight="1" outlineLevel="3" x14ac:dyDescent="0.2">
      <c r="B314" s="5">
        <v>281</v>
      </c>
      <c r="C314" s="6" t="s">
        <v>1104</v>
      </c>
      <c r="D314" s="6" t="s">
        <v>1105</v>
      </c>
      <c r="E314" s="7" t="s">
        <v>1106</v>
      </c>
      <c r="F314" s="13"/>
      <c r="G314" s="14"/>
      <c r="H314" s="15">
        <v>24</v>
      </c>
      <c r="I314" s="15">
        <v>2</v>
      </c>
      <c r="J314" s="15">
        <v>144</v>
      </c>
      <c r="K314" s="5">
        <v>2</v>
      </c>
      <c r="L314" s="16">
        <v>99.653333333333322</v>
      </c>
      <c r="M314" s="12"/>
      <c r="N314" s="14">
        <f t="shared" si="15"/>
        <v>0</v>
      </c>
      <c r="O314" s="23">
        <f>0.359*M314</f>
        <v>0</v>
      </c>
      <c r="P314" s="24">
        <f>0.00029*M314</f>
        <v>0</v>
      </c>
      <c r="Q314" s="25"/>
      <c r="R314" s="26"/>
      <c r="S314" s="26" t="s">
        <v>93</v>
      </c>
      <c r="T314" s="6" t="str">
        <f>HYPERLINK("https://kanzpp.ru/api/getInfo/image/2a99d01c-11d8-11eb-a25d-ac1f6b442184")</f>
        <v>https://kanzpp.ru/api/getInfo/image/2a99d01c-11d8-11eb-a25d-ac1f6b442184</v>
      </c>
      <c r="U314" s="6"/>
      <c r="V314" s="33" t="s">
        <v>35</v>
      </c>
    </row>
    <row r="315" spans="2:22" ht="21" customHeight="1" outlineLevel="3" x14ac:dyDescent="0.2">
      <c r="B315" s="5">
        <v>282</v>
      </c>
      <c r="C315" s="6" t="s">
        <v>1107</v>
      </c>
      <c r="D315" s="6" t="s">
        <v>1108</v>
      </c>
      <c r="E315" s="7" t="s">
        <v>1109</v>
      </c>
      <c r="F315" s="13"/>
      <c r="G315" s="14"/>
      <c r="H315" s="15">
        <v>30</v>
      </c>
      <c r="I315" s="15">
        <v>2</v>
      </c>
      <c r="J315" s="15">
        <v>404</v>
      </c>
      <c r="K315" s="5">
        <v>2</v>
      </c>
      <c r="L315" s="16">
        <v>103.77333333333333</v>
      </c>
      <c r="M315" s="12"/>
      <c r="N315" s="14">
        <f t="shared" si="15"/>
        <v>0</v>
      </c>
      <c r="O315" s="23">
        <f>0.347*M315</f>
        <v>0</v>
      </c>
      <c r="P315" s="24">
        <f>0.00077*M315</f>
        <v>0</v>
      </c>
      <c r="Q315" s="25"/>
      <c r="R315" s="26"/>
      <c r="S315" s="26" t="s">
        <v>93</v>
      </c>
      <c r="T315" s="6"/>
      <c r="U315" s="6" t="s">
        <v>1110</v>
      </c>
      <c r="V315" s="33" t="s">
        <v>35</v>
      </c>
    </row>
    <row r="316" spans="2:22" ht="21" customHeight="1" outlineLevel="3" x14ac:dyDescent="0.2">
      <c r="B316" s="5">
        <v>283</v>
      </c>
      <c r="C316" s="6" t="s">
        <v>1111</v>
      </c>
      <c r="D316" s="6" t="s">
        <v>1112</v>
      </c>
      <c r="E316" s="7" t="s">
        <v>1113</v>
      </c>
      <c r="F316" s="13"/>
      <c r="G316" s="14"/>
      <c r="H316" s="15">
        <v>30</v>
      </c>
      <c r="I316" s="14"/>
      <c r="J316" s="15">
        <v>614</v>
      </c>
      <c r="K316" s="5">
        <v>30</v>
      </c>
      <c r="L316" s="16">
        <v>108</v>
      </c>
      <c r="M316" s="12"/>
      <c r="N316" s="14">
        <f t="shared" si="15"/>
        <v>0</v>
      </c>
      <c r="O316" s="28">
        <f>0.35*M316</f>
        <v>0</v>
      </c>
      <c r="P316" s="24">
        <f>0.00047*M316</f>
        <v>0</v>
      </c>
      <c r="Q316" s="25"/>
      <c r="R316" s="26"/>
      <c r="S316" s="26" t="s">
        <v>93</v>
      </c>
      <c r="T316" s="6"/>
      <c r="U316" s="6"/>
      <c r="V316" s="33" t="s">
        <v>35</v>
      </c>
    </row>
    <row r="317" spans="2:22" ht="21" customHeight="1" outlineLevel="3" x14ac:dyDescent="0.2">
      <c r="B317" s="5">
        <v>284</v>
      </c>
      <c r="C317" s="6" t="s">
        <v>1114</v>
      </c>
      <c r="D317" s="6" t="s">
        <v>1115</v>
      </c>
      <c r="E317" s="7" t="s">
        <v>152</v>
      </c>
      <c r="F317" s="13"/>
      <c r="G317" s="14"/>
      <c r="H317" s="14"/>
      <c r="I317" s="15">
        <v>10</v>
      </c>
      <c r="J317" s="14" t="s">
        <v>144</v>
      </c>
      <c r="K317" s="5">
        <v>10</v>
      </c>
      <c r="L317" s="16">
        <v>121.2</v>
      </c>
      <c r="M317" s="12"/>
      <c r="N317" s="14">
        <f t="shared" si="15"/>
        <v>0</v>
      </c>
      <c r="O317" s="28">
        <f>0.35*M317</f>
        <v>0</v>
      </c>
      <c r="P317" s="24">
        <f>0.00054*M317</f>
        <v>0</v>
      </c>
      <c r="Q317" s="25"/>
      <c r="R317" s="26"/>
      <c r="S317" s="26" t="s">
        <v>93</v>
      </c>
      <c r="T317" s="6"/>
      <c r="U317" s="6"/>
      <c r="V317" s="33" t="s">
        <v>35</v>
      </c>
    </row>
    <row r="318" spans="2:22" ht="21" customHeight="1" outlineLevel="3" x14ac:dyDescent="0.2">
      <c r="B318" s="5">
        <v>285</v>
      </c>
      <c r="C318" s="6" t="s">
        <v>1116</v>
      </c>
      <c r="D318" s="6" t="s">
        <v>1117</v>
      </c>
      <c r="E318" s="7" t="s">
        <v>1118</v>
      </c>
      <c r="F318" s="13"/>
      <c r="G318" s="14"/>
      <c r="H318" s="15">
        <v>56</v>
      </c>
      <c r="I318" s="15">
        <v>2</v>
      </c>
      <c r="J318" s="15">
        <v>52</v>
      </c>
      <c r="K318" s="5">
        <v>2</v>
      </c>
      <c r="L318" s="16">
        <v>48.533333333333331</v>
      </c>
      <c r="M318" s="12"/>
      <c r="N318" s="14">
        <f t="shared" si="15"/>
        <v>0</v>
      </c>
      <c r="O318" s="23">
        <f>0.175*M318</f>
        <v>0</v>
      </c>
      <c r="P318" s="24">
        <f>0.00026*M318</f>
        <v>0</v>
      </c>
      <c r="Q318" s="25"/>
      <c r="R318" s="26"/>
      <c r="S318" s="26" t="s">
        <v>93</v>
      </c>
      <c r="T318" s="6"/>
      <c r="U318" s="6"/>
      <c r="V318" s="33" t="s">
        <v>35</v>
      </c>
    </row>
    <row r="319" spans="2:22" ht="21" customHeight="1" outlineLevel="3" x14ac:dyDescent="0.2">
      <c r="B319" s="5">
        <v>286</v>
      </c>
      <c r="C319" s="6" t="s">
        <v>1119</v>
      </c>
      <c r="D319" s="6" t="s">
        <v>1120</v>
      </c>
      <c r="E319" s="7" t="s">
        <v>152</v>
      </c>
      <c r="F319" s="13"/>
      <c r="G319" s="14"/>
      <c r="H319" s="15">
        <v>80</v>
      </c>
      <c r="I319" s="15">
        <v>10</v>
      </c>
      <c r="J319" s="15">
        <v>80</v>
      </c>
      <c r="K319" s="5">
        <v>80</v>
      </c>
      <c r="L319" s="16">
        <v>33.93333333333333</v>
      </c>
      <c r="M319" s="12"/>
      <c r="N319" s="14">
        <f t="shared" si="15"/>
        <v>0</v>
      </c>
      <c r="O319" s="23">
        <f>0.112*M319</f>
        <v>0</v>
      </c>
      <c r="P319" s="24">
        <f>0.00014*M319</f>
        <v>0</v>
      </c>
      <c r="Q319" s="25"/>
      <c r="R319" s="26"/>
      <c r="S319" s="26" t="s">
        <v>93</v>
      </c>
      <c r="T319" s="6"/>
      <c r="U319" s="6"/>
      <c r="V319" s="33" t="s">
        <v>35</v>
      </c>
    </row>
    <row r="320" spans="2:22" ht="21" customHeight="1" outlineLevel="3" x14ac:dyDescent="0.2">
      <c r="B320" s="5">
        <v>287</v>
      </c>
      <c r="C320" s="6" t="s">
        <v>1121</v>
      </c>
      <c r="D320" s="6" t="s">
        <v>1122</v>
      </c>
      <c r="E320" s="7" t="s">
        <v>1123</v>
      </c>
      <c r="F320" s="13"/>
      <c r="G320" s="14"/>
      <c r="H320" s="15">
        <v>80</v>
      </c>
      <c r="I320" s="15">
        <v>4</v>
      </c>
      <c r="J320" s="15">
        <v>4</v>
      </c>
      <c r="K320" s="5">
        <v>1</v>
      </c>
      <c r="L320" s="16">
        <v>34.266666666666666</v>
      </c>
      <c r="M320" s="12"/>
      <c r="N320" s="14">
        <f t="shared" si="15"/>
        <v>0</v>
      </c>
      <c r="O320" s="23">
        <f>0.112*M320</f>
        <v>0</v>
      </c>
      <c r="P320" s="24">
        <f>0.00014*M320</f>
        <v>0</v>
      </c>
      <c r="Q320" s="25"/>
      <c r="R320" s="26"/>
      <c r="S320" s="26" t="s">
        <v>93</v>
      </c>
      <c r="T320" s="6"/>
      <c r="U320" s="6"/>
      <c r="V320" s="33" t="s">
        <v>35</v>
      </c>
    </row>
    <row r="321" spans="2:22" ht="21" customHeight="1" outlineLevel="3" x14ac:dyDescent="0.2">
      <c r="B321" s="5">
        <v>288</v>
      </c>
      <c r="C321" s="6" t="s">
        <v>1124</v>
      </c>
      <c r="D321" s="6" t="s">
        <v>1125</v>
      </c>
      <c r="E321" s="7" t="s">
        <v>152</v>
      </c>
      <c r="F321" s="13"/>
      <c r="G321" s="14"/>
      <c r="H321" s="14"/>
      <c r="I321" s="15">
        <v>40</v>
      </c>
      <c r="J321" s="15">
        <v>240</v>
      </c>
      <c r="K321" s="5">
        <v>40</v>
      </c>
      <c r="L321" s="16">
        <v>13.906666666666666</v>
      </c>
      <c r="M321" s="12"/>
      <c r="N321" s="14">
        <f t="shared" si="15"/>
        <v>0</v>
      </c>
      <c r="O321" s="23">
        <f>0.075*M321</f>
        <v>0</v>
      </c>
      <c r="P321" s="24">
        <f>0.00007*M321</f>
        <v>0</v>
      </c>
      <c r="Q321" s="25"/>
      <c r="R321" s="26"/>
      <c r="S321" s="26" t="s">
        <v>29</v>
      </c>
      <c r="T321" s="6"/>
      <c r="U321" s="6"/>
      <c r="V321" s="33" t="s">
        <v>35</v>
      </c>
    </row>
    <row r="322" spans="2:22" ht="21" customHeight="1" outlineLevel="3" x14ac:dyDescent="0.2">
      <c r="B322" s="5">
        <v>289</v>
      </c>
      <c r="C322" s="6" t="s">
        <v>1126</v>
      </c>
      <c r="D322" s="6" t="s">
        <v>1127</v>
      </c>
      <c r="E322" s="7" t="s">
        <v>1128</v>
      </c>
      <c r="F322" s="13"/>
      <c r="G322" s="14"/>
      <c r="H322" s="15">
        <v>240</v>
      </c>
      <c r="I322" s="15">
        <v>20</v>
      </c>
      <c r="J322" s="15">
        <v>40</v>
      </c>
      <c r="K322" s="5">
        <v>20</v>
      </c>
      <c r="L322" s="16">
        <v>9.3333333333333339</v>
      </c>
      <c r="M322" s="12"/>
      <c r="N322" s="14">
        <f t="shared" si="15"/>
        <v>0</v>
      </c>
      <c r="O322" s="28">
        <f>0.04*M322</f>
        <v>0</v>
      </c>
      <c r="P322" s="24">
        <f>0.00003*M322</f>
        <v>0</v>
      </c>
      <c r="Q322" s="25"/>
      <c r="R322" s="26"/>
      <c r="S322" s="26" t="s">
        <v>29</v>
      </c>
      <c r="T322" s="6"/>
      <c r="U322" s="6"/>
      <c r="V322" s="33" t="s">
        <v>35</v>
      </c>
    </row>
    <row r="323" spans="2:22" ht="21" customHeight="1" outlineLevel="3" x14ac:dyDescent="0.2">
      <c r="B323" s="5">
        <v>290</v>
      </c>
      <c r="C323" s="6" t="s">
        <v>1129</v>
      </c>
      <c r="D323" s="6" t="s">
        <v>1130</v>
      </c>
      <c r="E323" s="7" t="s">
        <v>1131</v>
      </c>
      <c r="F323" s="13"/>
      <c r="G323" s="14"/>
      <c r="H323" s="15">
        <v>250</v>
      </c>
      <c r="I323" s="15">
        <v>10</v>
      </c>
      <c r="J323" s="15">
        <v>20</v>
      </c>
      <c r="K323" s="5">
        <v>10</v>
      </c>
      <c r="L323" s="16">
        <v>9.3333333333333339</v>
      </c>
      <c r="M323" s="12"/>
      <c r="N323" s="14">
        <f t="shared" si="15"/>
        <v>0</v>
      </c>
      <c r="O323" s="23">
        <f>8.948*M323</f>
        <v>0</v>
      </c>
      <c r="P323" s="24">
        <f>0.01855*M323</f>
        <v>0</v>
      </c>
      <c r="Q323" s="25"/>
      <c r="R323" s="26"/>
      <c r="S323" s="26" t="s">
        <v>29</v>
      </c>
      <c r="T323" s="6" t="str">
        <f>HYPERLINK("https://kanzpp.ru/api/getInfo/image/c223ee16-6fb0-11ed-a22a-00155d82e902")</f>
        <v>https://kanzpp.ru/api/getInfo/image/c223ee16-6fb0-11ed-a22a-00155d82e902</v>
      </c>
      <c r="U323" s="6"/>
      <c r="V323" s="33" t="s">
        <v>35</v>
      </c>
    </row>
    <row r="324" spans="2:22" ht="21" customHeight="1" outlineLevel="3" x14ac:dyDescent="0.2">
      <c r="B324" s="5">
        <v>291</v>
      </c>
      <c r="C324" s="6" t="s">
        <v>1132</v>
      </c>
      <c r="D324" s="6" t="s">
        <v>1133</v>
      </c>
      <c r="E324" s="7" t="s">
        <v>1134</v>
      </c>
      <c r="F324" s="13"/>
      <c r="G324" s="14"/>
      <c r="H324" s="15">
        <v>240</v>
      </c>
      <c r="I324" s="15">
        <v>10</v>
      </c>
      <c r="J324" s="15">
        <v>10</v>
      </c>
      <c r="K324" s="5">
        <v>10</v>
      </c>
      <c r="L324" s="16">
        <v>10.186666666666666</v>
      </c>
      <c r="M324" s="12"/>
      <c r="N324" s="14">
        <f t="shared" si="15"/>
        <v>0</v>
      </c>
      <c r="O324" s="23">
        <f>0.037*M324</f>
        <v>0</v>
      </c>
      <c r="P324" s="31">
        <f>0.0001*M324</f>
        <v>0</v>
      </c>
      <c r="Q324" s="25"/>
      <c r="R324" s="26"/>
      <c r="S324" s="26" t="s">
        <v>29</v>
      </c>
      <c r="T324" s="6"/>
      <c r="U324" s="6"/>
      <c r="V324" s="33" t="s">
        <v>35</v>
      </c>
    </row>
    <row r="325" spans="2:22" ht="21" customHeight="1" outlineLevel="3" x14ac:dyDescent="0.2">
      <c r="B325" s="5">
        <v>292</v>
      </c>
      <c r="C325" s="6" t="s">
        <v>1135</v>
      </c>
      <c r="D325" s="6" t="s">
        <v>1136</v>
      </c>
      <c r="E325" s="7" t="s">
        <v>1137</v>
      </c>
      <c r="F325" s="13"/>
      <c r="G325" s="14"/>
      <c r="H325" s="15">
        <v>250</v>
      </c>
      <c r="I325" s="15">
        <v>10</v>
      </c>
      <c r="J325" s="15">
        <v>40</v>
      </c>
      <c r="K325" s="5">
        <v>10</v>
      </c>
      <c r="L325" s="16">
        <v>9.3333333333333339</v>
      </c>
      <c r="M325" s="12"/>
      <c r="N325" s="14">
        <f t="shared" si="15"/>
        <v>0</v>
      </c>
      <c r="O325" s="23">
        <f>0.034*M325</f>
        <v>0</v>
      </c>
      <c r="P325" s="31">
        <f>0.0001*M325</f>
        <v>0</v>
      </c>
      <c r="Q325" s="25"/>
      <c r="R325" s="26"/>
      <c r="S325" s="26" t="s">
        <v>29</v>
      </c>
      <c r="T325" s="6" t="str">
        <f>HYPERLINK("https://kanzpp.ru/api/getInfo/image/640b7694-6fb2-11ed-a22a-00155d82e902")</f>
        <v>https://kanzpp.ru/api/getInfo/image/640b7694-6fb2-11ed-a22a-00155d82e902</v>
      </c>
      <c r="U325" s="6"/>
      <c r="V325" s="33" t="s">
        <v>35</v>
      </c>
    </row>
    <row r="326" spans="2:22" ht="21" customHeight="1" outlineLevel="3" x14ac:dyDescent="0.2">
      <c r="B326" s="5">
        <v>293</v>
      </c>
      <c r="C326" s="6" t="s">
        <v>1138</v>
      </c>
      <c r="D326" s="6" t="s">
        <v>1139</v>
      </c>
      <c r="E326" s="7" t="s">
        <v>1140</v>
      </c>
      <c r="F326" s="13"/>
      <c r="G326" s="14"/>
      <c r="H326" s="15">
        <v>240</v>
      </c>
      <c r="I326" s="15">
        <v>10</v>
      </c>
      <c r="J326" s="15">
        <v>5</v>
      </c>
      <c r="K326" s="5">
        <v>1</v>
      </c>
      <c r="L326" s="16">
        <v>10.88</v>
      </c>
      <c r="M326" s="12"/>
      <c r="N326" s="14">
        <f t="shared" si="15"/>
        <v>0</v>
      </c>
      <c r="O326" s="23">
        <f>0.037*M326</f>
        <v>0</v>
      </c>
      <c r="P326" s="24">
        <f>0.00003*M326</f>
        <v>0</v>
      </c>
      <c r="Q326" s="25"/>
      <c r="R326" s="26"/>
      <c r="S326" s="26" t="s">
        <v>29</v>
      </c>
      <c r="T326" s="6"/>
      <c r="U326" s="6" t="s">
        <v>1141</v>
      </c>
      <c r="V326" s="33" t="s">
        <v>35</v>
      </c>
    </row>
    <row r="327" spans="2:22" ht="21" customHeight="1" outlineLevel="3" x14ac:dyDescent="0.2">
      <c r="B327" s="5">
        <v>294</v>
      </c>
      <c r="C327" s="6" t="s">
        <v>1142</v>
      </c>
      <c r="D327" s="6" t="s">
        <v>1143</v>
      </c>
      <c r="E327" s="7" t="s">
        <v>1144</v>
      </c>
      <c r="F327" s="13"/>
      <c r="G327" s="14"/>
      <c r="H327" s="15">
        <v>240</v>
      </c>
      <c r="I327" s="15">
        <v>20</v>
      </c>
      <c r="J327" s="17">
        <v>14930</v>
      </c>
      <c r="K327" s="5">
        <v>20</v>
      </c>
      <c r="L327" s="16">
        <v>9.706666666666667</v>
      </c>
      <c r="M327" s="12"/>
      <c r="N327" s="14">
        <f t="shared" ref="N327:N358" si="16">L327*M327</f>
        <v>0</v>
      </c>
      <c r="O327" s="23">
        <f>0.037*M327</f>
        <v>0</v>
      </c>
      <c r="P327" s="24">
        <f>0.00003*M327</f>
        <v>0</v>
      </c>
      <c r="Q327" s="25"/>
      <c r="R327" s="26"/>
      <c r="S327" s="26" t="s">
        <v>29</v>
      </c>
      <c r="T327" s="6"/>
      <c r="U327" s="6" t="s">
        <v>1145</v>
      </c>
      <c r="V327" s="33" t="s">
        <v>35</v>
      </c>
    </row>
    <row r="328" spans="2:22" ht="21" customHeight="1" outlineLevel="3" x14ac:dyDescent="0.2">
      <c r="B328" s="5">
        <v>295</v>
      </c>
      <c r="C328" s="6" t="s">
        <v>1146</v>
      </c>
      <c r="D328" s="6" t="s">
        <v>1147</v>
      </c>
      <c r="E328" s="7" t="s">
        <v>1148</v>
      </c>
      <c r="F328" s="13"/>
      <c r="G328" s="14"/>
      <c r="H328" s="15">
        <v>250</v>
      </c>
      <c r="I328" s="15">
        <v>10</v>
      </c>
      <c r="J328" s="15">
        <v>50</v>
      </c>
      <c r="K328" s="5">
        <v>10</v>
      </c>
      <c r="L328" s="16">
        <v>10.08</v>
      </c>
      <c r="M328" s="12"/>
      <c r="N328" s="14">
        <f t="shared" si="16"/>
        <v>0</v>
      </c>
      <c r="O328" s="23">
        <f>0.041*M328</f>
        <v>0</v>
      </c>
      <c r="P328" s="24">
        <f>0.00003*M328</f>
        <v>0</v>
      </c>
      <c r="Q328" s="25"/>
      <c r="R328" s="26"/>
      <c r="S328" s="26" t="s">
        <v>29</v>
      </c>
      <c r="T328" s="6"/>
      <c r="U328" s="6"/>
      <c r="V328" s="33" t="s">
        <v>35</v>
      </c>
    </row>
    <row r="329" spans="2:22" ht="21" customHeight="1" outlineLevel="3" x14ac:dyDescent="0.2">
      <c r="B329" s="5">
        <v>296</v>
      </c>
      <c r="C329" s="6" t="s">
        <v>1149</v>
      </c>
      <c r="D329" s="6" t="s">
        <v>1150</v>
      </c>
      <c r="E329" s="7" t="s">
        <v>1151</v>
      </c>
      <c r="F329" s="13"/>
      <c r="G329" s="14"/>
      <c r="H329" s="15">
        <v>140</v>
      </c>
      <c r="I329" s="15">
        <v>20</v>
      </c>
      <c r="J329" s="15">
        <v>40</v>
      </c>
      <c r="K329" s="5">
        <v>20</v>
      </c>
      <c r="L329" s="16">
        <v>12.96</v>
      </c>
      <c r="M329" s="12"/>
      <c r="N329" s="14">
        <f t="shared" si="16"/>
        <v>0</v>
      </c>
      <c r="O329" s="23">
        <f>0.053*M329</f>
        <v>0</v>
      </c>
      <c r="P329" s="24">
        <f>0.00006*M329</f>
        <v>0</v>
      </c>
      <c r="Q329" s="25"/>
      <c r="R329" s="26"/>
      <c r="S329" s="26" t="s">
        <v>29</v>
      </c>
      <c r="T329" s="6"/>
      <c r="U329" s="6"/>
      <c r="V329" s="33" t="s">
        <v>35</v>
      </c>
    </row>
    <row r="330" spans="2:22" ht="21" customHeight="1" outlineLevel="3" x14ac:dyDescent="0.2">
      <c r="B330" s="5">
        <v>297</v>
      </c>
      <c r="C330" s="6" t="s">
        <v>1152</v>
      </c>
      <c r="D330" s="6" t="s">
        <v>1153</v>
      </c>
      <c r="E330" s="7" t="s">
        <v>1154</v>
      </c>
      <c r="F330" s="13"/>
      <c r="G330" s="14"/>
      <c r="H330" s="15">
        <v>140</v>
      </c>
      <c r="I330" s="15">
        <v>10</v>
      </c>
      <c r="J330" s="15">
        <v>10</v>
      </c>
      <c r="K330" s="5">
        <v>1</v>
      </c>
      <c r="L330" s="16">
        <v>18.986666666666668</v>
      </c>
      <c r="M330" s="12"/>
      <c r="N330" s="14">
        <f t="shared" si="16"/>
        <v>0</v>
      </c>
      <c r="O330" s="23">
        <f>0.074*M330</f>
        <v>0</v>
      </c>
      <c r="P330" s="31">
        <f>0.0001*M330</f>
        <v>0</v>
      </c>
      <c r="Q330" s="25"/>
      <c r="R330" s="26"/>
      <c r="S330" s="26" t="s">
        <v>29</v>
      </c>
      <c r="T330" s="6"/>
      <c r="U330" s="6"/>
      <c r="V330" s="33" t="s">
        <v>35</v>
      </c>
    </row>
    <row r="331" spans="2:22" ht="21" customHeight="1" outlineLevel="3" x14ac:dyDescent="0.2">
      <c r="B331" s="5">
        <v>298</v>
      </c>
      <c r="C331" s="6" t="s">
        <v>1155</v>
      </c>
      <c r="D331" s="6" t="s">
        <v>1156</v>
      </c>
      <c r="E331" s="7" t="s">
        <v>1157</v>
      </c>
      <c r="F331" s="13"/>
      <c r="G331" s="14"/>
      <c r="H331" s="15">
        <v>140</v>
      </c>
      <c r="I331" s="15">
        <v>10</v>
      </c>
      <c r="J331" s="15">
        <v>40</v>
      </c>
      <c r="K331" s="5">
        <v>1</v>
      </c>
      <c r="L331" s="16">
        <v>18.986666666666668</v>
      </c>
      <c r="M331" s="12"/>
      <c r="N331" s="14">
        <f t="shared" si="16"/>
        <v>0</v>
      </c>
      <c r="O331" s="23">
        <f>0.072*M331</f>
        <v>0</v>
      </c>
      <c r="P331" s="31">
        <f>0.0001*M331</f>
        <v>0</v>
      </c>
      <c r="Q331" s="25"/>
      <c r="R331" s="26"/>
      <c r="S331" s="26" t="s">
        <v>29</v>
      </c>
      <c r="T331" s="6"/>
      <c r="U331" s="6"/>
      <c r="V331" s="33" t="s">
        <v>35</v>
      </c>
    </row>
    <row r="332" spans="2:22" ht="21" customHeight="1" outlineLevel="3" x14ac:dyDescent="0.2">
      <c r="B332" s="5">
        <v>299</v>
      </c>
      <c r="C332" s="6" t="s">
        <v>1158</v>
      </c>
      <c r="D332" s="6" t="s">
        <v>1159</v>
      </c>
      <c r="E332" s="7" t="s">
        <v>1160</v>
      </c>
      <c r="F332" s="13"/>
      <c r="G332" s="14"/>
      <c r="H332" s="15">
        <v>150</v>
      </c>
      <c r="I332" s="15">
        <v>10</v>
      </c>
      <c r="J332" s="17">
        <v>1130</v>
      </c>
      <c r="K332" s="5">
        <v>150</v>
      </c>
      <c r="L332" s="16">
        <v>14.053333333333333</v>
      </c>
      <c r="M332" s="12"/>
      <c r="N332" s="14">
        <f t="shared" si="16"/>
        <v>0</v>
      </c>
      <c r="O332" s="23">
        <f>0.058*M332</f>
        <v>0</v>
      </c>
      <c r="P332" s="24">
        <f>0.00007*M332</f>
        <v>0</v>
      </c>
      <c r="Q332" s="25"/>
      <c r="R332" s="26"/>
      <c r="S332" s="26" t="s">
        <v>29</v>
      </c>
      <c r="T332" s="6"/>
      <c r="U332" s="6"/>
      <c r="V332" s="33" t="s">
        <v>35</v>
      </c>
    </row>
    <row r="333" spans="2:22" ht="21" customHeight="1" outlineLevel="3" x14ac:dyDescent="0.2">
      <c r="B333" s="5">
        <v>300</v>
      </c>
      <c r="C333" s="6" t="s">
        <v>1161</v>
      </c>
      <c r="D333" s="6" t="s">
        <v>1159</v>
      </c>
      <c r="E333" s="7" t="s">
        <v>1160</v>
      </c>
      <c r="F333" s="13"/>
      <c r="G333" s="14"/>
      <c r="H333" s="15">
        <v>150</v>
      </c>
      <c r="I333" s="15">
        <v>10</v>
      </c>
      <c r="J333" s="15">
        <v>420</v>
      </c>
      <c r="K333" s="5">
        <v>150</v>
      </c>
      <c r="L333" s="16">
        <v>14.32</v>
      </c>
      <c r="M333" s="12"/>
      <c r="N333" s="14">
        <f t="shared" si="16"/>
        <v>0</v>
      </c>
      <c r="O333" s="23">
        <f>0.058*M333</f>
        <v>0</v>
      </c>
      <c r="P333" s="24">
        <f>0.00007*M333</f>
        <v>0</v>
      </c>
      <c r="Q333" s="25"/>
      <c r="R333" s="26"/>
      <c r="S333" s="26" t="s">
        <v>29</v>
      </c>
      <c r="T333" s="6"/>
      <c r="U333" s="6"/>
      <c r="V333" s="33" t="s">
        <v>35</v>
      </c>
    </row>
    <row r="334" spans="2:22" ht="21" customHeight="1" outlineLevel="3" x14ac:dyDescent="0.2">
      <c r="B334" s="5">
        <v>301</v>
      </c>
      <c r="C334" s="6" t="s">
        <v>1162</v>
      </c>
      <c r="D334" s="6" t="s">
        <v>1163</v>
      </c>
      <c r="E334" s="7" t="s">
        <v>1164</v>
      </c>
      <c r="F334" s="13"/>
      <c r="G334" s="14"/>
      <c r="H334" s="15">
        <v>140</v>
      </c>
      <c r="I334" s="15">
        <v>10</v>
      </c>
      <c r="J334" s="15">
        <v>20</v>
      </c>
      <c r="K334" s="5">
        <v>10</v>
      </c>
      <c r="L334" s="16">
        <v>15.426666666666668</v>
      </c>
      <c r="M334" s="12"/>
      <c r="N334" s="14">
        <f t="shared" si="16"/>
        <v>0</v>
      </c>
      <c r="O334" s="28">
        <f>0.06*M334</f>
        <v>0</v>
      </c>
      <c r="P334" s="24">
        <f>0.00013*M334</f>
        <v>0</v>
      </c>
      <c r="Q334" s="25"/>
      <c r="R334" s="26"/>
      <c r="S334" s="26" t="s">
        <v>29</v>
      </c>
      <c r="T334" s="6"/>
      <c r="U334" s="6"/>
      <c r="V334" s="33" t="s">
        <v>35</v>
      </c>
    </row>
    <row r="335" spans="2:22" ht="21" customHeight="1" outlineLevel="3" x14ac:dyDescent="0.2">
      <c r="B335" s="5">
        <v>302</v>
      </c>
      <c r="C335" s="6" t="s">
        <v>1165</v>
      </c>
      <c r="D335" s="6" t="s">
        <v>1166</v>
      </c>
      <c r="E335" s="7" t="s">
        <v>1167</v>
      </c>
      <c r="F335" s="13"/>
      <c r="G335" s="14"/>
      <c r="H335" s="15">
        <v>140</v>
      </c>
      <c r="I335" s="15">
        <v>10</v>
      </c>
      <c r="J335" s="15">
        <v>10</v>
      </c>
      <c r="K335" s="5">
        <v>1</v>
      </c>
      <c r="L335" s="16">
        <v>18.533333333333335</v>
      </c>
      <c r="M335" s="12"/>
      <c r="N335" s="14">
        <f t="shared" si="16"/>
        <v>0</v>
      </c>
      <c r="O335" s="23">
        <f>0.088*M335</f>
        <v>0</v>
      </c>
      <c r="P335" s="31">
        <f>0.0001*M335</f>
        <v>0</v>
      </c>
      <c r="Q335" s="25"/>
      <c r="R335" s="26"/>
      <c r="S335" s="26" t="s">
        <v>29</v>
      </c>
      <c r="T335" s="6"/>
      <c r="U335" s="6"/>
      <c r="V335" s="33" t="s">
        <v>35</v>
      </c>
    </row>
    <row r="336" spans="2:22" ht="21" customHeight="1" outlineLevel="3" x14ac:dyDescent="0.2">
      <c r="B336" s="5">
        <v>303</v>
      </c>
      <c r="C336" s="6" t="s">
        <v>1168</v>
      </c>
      <c r="D336" s="6" t="s">
        <v>1169</v>
      </c>
      <c r="E336" s="7" t="s">
        <v>1170</v>
      </c>
      <c r="F336" s="13"/>
      <c r="G336" s="14"/>
      <c r="H336" s="15">
        <v>80</v>
      </c>
      <c r="I336" s="15">
        <v>10</v>
      </c>
      <c r="J336" s="15">
        <v>160</v>
      </c>
      <c r="K336" s="5">
        <v>80</v>
      </c>
      <c r="L336" s="16">
        <v>30.439999999999998</v>
      </c>
      <c r="M336" s="12"/>
      <c r="N336" s="14">
        <f t="shared" si="16"/>
        <v>0</v>
      </c>
      <c r="O336" s="23">
        <f>0.108*M336</f>
        <v>0</v>
      </c>
      <c r="P336" s="24">
        <f>0.00021*M336</f>
        <v>0</v>
      </c>
      <c r="Q336" s="25"/>
      <c r="R336" s="26" t="s">
        <v>1171</v>
      </c>
      <c r="S336" s="26" t="s">
        <v>93</v>
      </c>
      <c r="T336" s="6"/>
      <c r="U336" s="6"/>
      <c r="V336" s="33" t="s">
        <v>35</v>
      </c>
    </row>
    <row r="337" spans="2:22" ht="21" customHeight="1" outlineLevel="3" x14ac:dyDescent="0.2">
      <c r="B337" s="5">
        <v>304</v>
      </c>
      <c r="C337" s="6" t="s">
        <v>1172</v>
      </c>
      <c r="D337" s="6" t="s">
        <v>1173</v>
      </c>
      <c r="E337" s="7" t="s">
        <v>1174</v>
      </c>
      <c r="F337" s="13"/>
      <c r="G337" s="14"/>
      <c r="H337" s="15">
        <v>80</v>
      </c>
      <c r="I337" s="15">
        <v>10</v>
      </c>
      <c r="J337" s="15">
        <v>150</v>
      </c>
      <c r="K337" s="5">
        <v>80</v>
      </c>
      <c r="L337" s="16">
        <v>35.199999999999996</v>
      </c>
      <c r="M337" s="12"/>
      <c r="N337" s="14">
        <f t="shared" si="16"/>
        <v>0</v>
      </c>
      <c r="O337" s="23">
        <f>0.108*M337</f>
        <v>0</v>
      </c>
      <c r="P337" s="24">
        <f>0.00021*M337</f>
        <v>0</v>
      </c>
      <c r="Q337" s="25"/>
      <c r="R337" s="26" t="s">
        <v>1175</v>
      </c>
      <c r="S337" s="26" t="s">
        <v>93</v>
      </c>
      <c r="T337" s="6"/>
      <c r="U337" s="6"/>
      <c r="V337" s="33" t="s">
        <v>35</v>
      </c>
    </row>
    <row r="338" spans="2:22" ht="21" customHeight="1" outlineLevel="3" x14ac:dyDescent="0.2">
      <c r="B338" s="5">
        <v>305</v>
      </c>
      <c r="C338" s="6" t="s">
        <v>1176</v>
      </c>
      <c r="D338" s="6" t="s">
        <v>1177</v>
      </c>
      <c r="E338" s="7" t="s">
        <v>1178</v>
      </c>
      <c r="F338" s="13"/>
      <c r="G338" s="14"/>
      <c r="H338" s="15">
        <v>80</v>
      </c>
      <c r="I338" s="15">
        <v>10</v>
      </c>
      <c r="J338" s="15">
        <v>320</v>
      </c>
      <c r="K338" s="5">
        <v>80</v>
      </c>
      <c r="L338" s="16">
        <v>30.439999999999998</v>
      </c>
      <c r="M338" s="12"/>
      <c r="N338" s="14">
        <f t="shared" si="16"/>
        <v>0</v>
      </c>
      <c r="O338" s="28">
        <f>0.11*M338</f>
        <v>0</v>
      </c>
      <c r="P338" s="24">
        <f>0.00014*M338</f>
        <v>0</v>
      </c>
      <c r="Q338" s="25"/>
      <c r="R338" s="26" t="s">
        <v>1179</v>
      </c>
      <c r="S338" s="26" t="s">
        <v>93</v>
      </c>
      <c r="T338" s="6"/>
      <c r="U338" s="6"/>
      <c r="V338" s="33" t="s">
        <v>35</v>
      </c>
    </row>
    <row r="339" spans="2:22" ht="21" customHeight="1" outlineLevel="3" x14ac:dyDescent="0.2">
      <c r="B339" s="5">
        <v>306</v>
      </c>
      <c r="C339" s="6" t="s">
        <v>1180</v>
      </c>
      <c r="D339" s="6" t="s">
        <v>1181</v>
      </c>
      <c r="E339" s="7" t="s">
        <v>1182</v>
      </c>
      <c r="F339" s="13"/>
      <c r="G339" s="14"/>
      <c r="H339" s="15">
        <v>80</v>
      </c>
      <c r="I339" s="15">
        <v>10</v>
      </c>
      <c r="J339" s="15">
        <v>310</v>
      </c>
      <c r="K339" s="5">
        <v>80</v>
      </c>
      <c r="L339" s="16">
        <v>35.199999999999996</v>
      </c>
      <c r="M339" s="12"/>
      <c r="N339" s="14">
        <f t="shared" si="16"/>
        <v>0</v>
      </c>
      <c r="O339" s="23">
        <f>0.108*M339</f>
        <v>0</v>
      </c>
      <c r="P339" s="24">
        <f>0.00021*M339</f>
        <v>0</v>
      </c>
      <c r="Q339" s="25"/>
      <c r="R339" s="26" t="s">
        <v>1183</v>
      </c>
      <c r="S339" s="26" t="s">
        <v>93</v>
      </c>
      <c r="T339" s="6"/>
      <c r="U339" s="6"/>
      <c r="V339" s="33" t="s">
        <v>35</v>
      </c>
    </row>
    <row r="340" spans="2:22" ht="21" customHeight="1" outlineLevel="3" x14ac:dyDescent="0.2">
      <c r="B340" s="5">
        <v>307</v>
      </c>
      <c r="C340" s="6" t="s">
        <v>1184</v>
      </c>
      <c r="D340" s="6" t="s">
        <v>1185</v>
      </c>
      <c r="E340" s="7" t="s">
        <v>1186</v>
      </c>
      <c r="F340" s="13"/>
      <c r="G340" s="14"/>
      <c r="H340" s="15">
        <v>40</v>
      </c>
      <c r="I340" s="14"/>
      <c r="J340" s="14" t="s">
        <v>144</v>
      </c>
      <c r="K340" s="5">
        <v>2</v>
      </c>
      <c r="L340" s="16">
        <v>118.92</v>
      </c>
      <c r="M340" s="12"/>
      <c r="N340" s="14">
        <f t="shared" si="16"/>
        <v>0</v>
      </c>
      <c r="O340" s="23">
        <f>0.236*M340</f>
        <v>0</v>
      </c>
      <c r="P340" s="24">
        <f>0.00097*M340</f>
        <v>0</v>
      </c>
      <c r="Q340" s="25"/>
      <c r="R340" s="26" t="s">
        <v>1187</v>
      </c>
      <c r="S340" s="26" t="s">
        <v>93</v>
      </c>
      <c r="T340" s="6" t="str">
        <f>HYPERLINK("https://kanzpp.ru/api/getInfo/image/d90dfef5-b4da-11ec-a211-ac1f6b442185")</f>
        <v>https://kanzpp.ru/api/getInfo/image/d90dfef5-b4da-11ec-a211-ac1f6b442185</v>
      </c>
      <c r="U340" s="6"/>
      <c r="V340" s="33" t="s">
        <v>35</v>
      </c>
    </row>
    <row r="341" spans="2:22" ht="21" customHeight="1" outlineLevel="3" x14ac:dyDescent="0.2">
      <c r="B341" s="5">
        <v>308</v>
      </c>
      <c r="C341" s="6" t="s">
        <v>1188</v>
      </c>
      <c r="D341" s="6" t="s">
        <v>1189</v>
      </c>
      <c r="E341" s="7" t="s">
        <v>1190</v>
      </c>
      <c r="F341" s="13"/>
      <c r="G341" s="14"/>
      <c r="H341" s="15">
        <v>80</v>
      </c>
      <c r="I341" s="15">
        <v>10</v>
      </c>
      <c r="J341" s="15">
        <v>80</v>
      </c>
      <c r="K341" s="5">
        <v>1</v>
      </c>
      <c r="L341" s="16">
        <v>27.48</v>
      </c>
      <c r="M341" s="12"/>
      <c r="N341" s="14">
        <f t="shared" si="16"/>
        <v>0</v>
      </c>
      <c r="O341" s="23">
        <f>0.108*M341</f>
        <v>0</v>
      </c>
      <c r="P341" s="24">
        <f>0.00021*M341</f>
        <v>0</v>
      </c>
      <c r="Q341" s="25"/>
      <c r="R341" s="26"/>
      <c r="S341" s="26" t="s">
        <v>93</v>
      </c>
      <c r="T341" s="6"/>
      <c r="U341" s="6" t="s">
        <v>1191</v>
      </c>
      <c r="V341" s="33" t="s">
        <v>35</v>
      </c>
    </row>
    <row r="342" spans="2:22" ht="21" customHeight="1" outlineLevel="3" x14ac:dyDescent="0.2">
      <c r="B342" s="5">
        <v>309</v>
      </c>
      <c r="C342" s="6" t="s">
        <v>1192</v>
      </c>
      <c r="D342" s="6" t="s">
        <v>1193</v>
      </c>
      <c r="E342" s="7" t="s">
        <v>1194</v>
      </c>
      <c r="F342" s="13"/>
      <c r="G342" s="14"/>
      <c r="H342" s="15">
        <v>48</v>
      </c>
      <c r="I342" s="15">
        <v>16</v>
      </c>
      <c r="J342" s="17">
        <v>7200</v>
      </c>
      <c r="K342" s="5">
        <v>48</v>
      </c>
      <c r="L342" s="16">
        <v>74.16</v>
      </c>
      <c r="M342" s="12"/>
      <c r="N342" s="14">
        <f t="shared" si="16"/>
        <v>0</v>
      </c>
      <c r="O342" s="23">
        <f>0.209*M342</f>
        <v>0</v>
      </c>
      <c r="P342" s="24">
        <f>0.00052*M342</f>
        <v>0</v>
      </c>
      <c r="Q342" s="25"/>
      <c r="R342" s="26" t="s">
        <v>1195</v>
      </c>
      <c r="S342" s="26" t="s">
        <v>93</v>
      </c>
      <c r="T342" s="6"/>
      <c r="U342" s="6"/>
      <c r="V342" s="33" t="s">
        <v>35</v>
      </c>
    </row>
    <row r="343" spans="2:22" ht="21" customHeight="1" outlineLevel="3" x14ac:dyDescent="0.2">
      <c r="B343" s="5">
        <v>310</v>
      </c>
      <c r="C343" s="6" t="s">
        <v>1196</v>
      </c>
      <c r="D343" s="6" t="s">
        <v>1197</v>
      </c>
      <c r="E343" s="7" t="s">
        <v>1198</v>
      </c>
      <c r="F343" s="13"/>
      <c r="G343" s="14"/>
      <c r="H343" s="15">
        <v>80</v>
      </c>
      <c r="I343" s="15">
        <v>2</v>
      </c>
      <c r="J343" s="15">
        <v>6</v>
      </c>
      <c r="K343" s="5">
        <v>2</v>
      </c>
      <c r="L343" s="16">
        <v>49.56</v>
      </c>
      <c r="M343" s="12"/>
      <c r="N343" s="14">
        <f t="shared" si="16"/>
        <v>0</v>
      </c>
      <c r="O343" s="23">
        <f>0.113*M343</f>
        <v>0</v>
      </c>
      <c r="P343" s="24">
        <f>0.00014*M343</f>
        <v>0</v>
      </c>
      <c r="Q343" s="25"/>
      <c r="R343" s="26"/>
      <c r="S343" s="26" t="s">
        <v>93</v>
      </c>
      <c r="T343" s="6"/>
      <c r="U343" s="6"/>
      <c r="V343" s="33" t="s">
        <v>35</v>
      </c>
    </row>
    <row r="344" spans="2:22" ht="22.95" customHeight="1" outlineLevel="1" x14ac:dyDescent="0.2">
      <c r="B344" s="79" t="s">
        <v>1199</v>
      </c>
      <c r="C344" s="79"/>
      <c r="D344" s="79"/>
      <c r="L344">
        <v>0</v>
      </c>
    </row>
    <row r="345" spans="2:22" ht="22.95" customHeight="1" outlineLevel="2" x14ac:dyDescent="0.2">
      <c r="B345" s="80" t="s">
        <v>1200</v>
      </c>
      <c r="C345" s="80"/>
      <c r="D345" s="80"/>
      <c r="L345">
        <v>0</v>
      </c>
    </row>
    <row r="346" spans="2:22" ht="22.95" customHeight="1" outlineLevel="3" x14ac:dyDescent="0.2">
      <c r="B346" s="81" t="s">
        <v>1201</v>
      </c>
      <c r="C346" s="81"/>
      <c r="D346" s="81"/>
      <c r="L346">
        <v>0</v>
      </c>
    </row>
    <row r="347" spans="2:22" ht="21" customHeight="1" outlineLevel="4" x14ac:dyDescent="0.2">
      <c r="B347" s="5">
        <v>311</v>
      </c>
      <c r="C347" s="6" t="s">
        <v>1202</v>
      </c>
      <c r="D347" s="6" t="s">
        <v>1203</v>
      </c>
      <c r="E347" s="7" t="s">
        <v>1204</v>
      </c>
      <c r="F347" s="13"/>
      <c r="G347" s="14"/>
      <c r="H347" s="15">
        <v>20</v>
      </c>
      <c r="I347" s="14"/>
      <c r="J347" s="15">
        <v>31</v>
      </c>
      <c r="K347" s="5">
        <v>2</v>
      </c>
      <c r="L347" s="16">
        <v>322.13333333333333</v>
      </c>
      <c r="M347" s="12"/>
      <c r="N347" s="14">
        <f>L347*M347</f>
        <v>0</v>
      </c>
      <c r="O347" s="23">
        <f>0.452*M347</f>
        <v>0</v>
      </c>
      <c r="P347" s="24">
        <f>0.00052*M347</f>
        <v>0</v>
      </c>
      <c r="Q347" s="25"/>
      <c r="R347" s="26" t="s">
        <v>1205</v>
      </c>
      <c r="S347" s="26" t="s">
        <v>93</v>
      </c>
      <c r="T347" s="6" t="str">
        <f>HYPERLINK("https://kanzpp.ru/api/getInfo/image/c24a42a1-8065-11ed-a22a-00155d82e902")</f>
        <v>https://kanzpp.ru/api/getInfo/image/c24a42a1-8065-11ed-a22a-00155d82e902</v>
      </c>
      <c r="U347" s="6"/>
      <c r="V347" s="33" t="s">
        <v>35</v>
      </c>
    </row>
    <row r="348" spans="2:22" ht="22.95" customHeight="1" outlineLevel="3" x14ac:dyDescent="0.2">
      <c r="B348" s="81" t="s">
        <v>1206</v>
      </c>
      <c r="C348" s="81"/>
      <c r="D348" s="81"/>
      <c r="L348">
        <v>0</v>
      </c>
    </row>
    <row r="349" spans="2:22" ht="21" customHeight="1" outlineLevel="4" x14ac:dyDescent="0.2">
      <c r="B349" s="36">
        <v>312</v>
      </c>
      <c r="C349" s="37" t="s">
        <v>1207</v>
      </c>
      <c r="D349" s="37" t="s">
        <v>1208</v>
      </c>
      <c r="E349" s="38" t="s">
        <v>1209</v>
      </c>
      <c r="F349" s="39"/>
      <c r="G349" s="40"/>
      <c r="H349" s="41">
        <v>50</v>
      </c>
      <c r="I349" s="40"/>
      <c r="J349" s="41">
        <v>40</v>
      </c>
      <c r="K349" s="36">
        <v>10</v>
      </c>
      <c r="L349" s="42" t="e">
        <f>(IF(#REF!,77.53*(1-#REF!/100),77.53*(1-O3/100)))/0.75</f>
        <v>#REF!</v>
      </c>
      <c r="M349" s="12"/>
      <c r="N349" s="40" t="e">
        <f>L349*M349</f>
        <v>#REF!</v>
      </c>
      <c r="O349" s="43">
        <f>0.106*M349</f>
        <v>0</v>
      </c>
      <c r="P349" s="40">
        <v>0</v>
      </c>
      <c r="Q349" s="44"/>
      <c r="R349" s="45" t="s">
        <v>1210</v>
      </c>
      <c r="S349" s="45" t="s">
        <v>93</v>
      </c>
      <c r="T349" s="37" t="str">
        <f>HYPERLINK("https://kanzpp.ru/api/getInfo/image/5866b704-1eb8-11f1-a28f-00155d82e908")</f>
        <v>https://kanzpp.ru/api/getInfo/image/5866b704-1eb8-11f1-a28f-00155d82e908</v>
      </c>
      <c r="U349" s="37"/>
    </row>
    <row r="350" spans="2:22" ht="21" customHeight="1" outlineLevel="4" x14ac:dyDescent="0.2">
      <c r="B350" s="36">
        <v>313</v>
      </c>
      <c r="C350" s="37" t="s">
        <v>1211</v>
      </c>
      <c r="D350" s="37" t="s">
        <v>1212</v>
      </c>
      <c r="E350" s="38" t="s">
        <v>1213</v>
      </c>
      <c r="F350" s="39"/>
      <c r="G350" s="40"/>
      <c r="H350" s="41">
        <v>35</v>
      </c>
      <c r="I350" s="40"/>
      <c r="J350" s="41">
        <v>10</v>
      </c>
      <c r="K350" s="36">
        <v>10</v>
      </c>
      <c r="L350" s="42" t="e">
        <f>(IF(#REF!,74.61*(1-#REF!/100),74.61*(1-O3/100)))/0.75</f>
        <v>#REF!</v>
      </c>
      <c r="M350" s="12"/>
      <c r="N350" s="40" t="e">
        <f>L350*M350</f>
        <v>#REF!</v>
      </c>
      <c r="O350" s="43">
        <f>4.603*M350</f>
        <v>0</v>
      </c>
      <c r="P350" s="46">
        <f>0.0112*M350</f>
        <v>0</v>
      </c>
      <c r="Q350" s="44"/>
      <c r="R350" s="45" t="s">
        <v>1214</v>
      </c>
      <c r="S350" s="45" t="s">
        <v>93</v>
      </c>
      <c r="T350" s="37" t="str">
        <f>HYPERLINK("https://kanzpp.ru/api/getInfo/image/fb0cb089-1eb8-11f1-a28f-00155d82e908")</f>
        <v>https://kanzpp.ru/api/getInfo/image/fb0cb089-1eb8-11f1-a28f-00155d82e908</v>
      </c>
      <c r="U350" s="37"/>
    </row>
    <row r="351" spans="2:22" ht="22.95" customHeight="1" outlineLevel="3" x14ac:dyDescent="0.2">
      <c r="B351" s="81" t="s">
        <v>1215</v>
      </c>
      <c r="C351" s="81"/>
      <c r="D351" s="81"/>
      <c r="L351">
        <v>0</v>
      </c>
    </row>
    <row r="352" spans="2:22" ht="21" customHeight="1" outlineLevel="4" x14ac:dyDescent="0.2">
      <c r="B352" s="36">
        <v>314</v>
      </c>
      <c r="C352" s="37" t="s">
        <v>1216</v>
      </c>
      <c r="D352" s="37" t="s">
        <v>1217</v>
      </c>
      <c r="E352" s="38" t="s">
        <v>1218</v>
      </c>
      <c r="F352" s="39"/>
      <c r="G352" s="40"/>
      <c r="H352" s="41">
        <v>40</v>
      </c>
      <c r="I352" s="41">
        <v>1</v>
      </c>
      <c r="J352" s="41">
        <v>40</v>
      </c>
      <c r="K352" s="36">
        <v>4</v>
      </c>
      <c r="L352" s="42" t="e">
        <f>(IF(#REF!,152.01*(1-#REF!/100),152.01*(1-O3/100)))/0.75</f>
        <v>#REF!</v>
      </c>
      <c r="M352" s="12"/>
      <c r="N352" s="40" t="e">
        <f t="shared" ref="N352:N366" si="17">L352*M352</f>
        <v>#REF!</v>
      </c>
      <c r="O352" s="43">
        <f>0.263*M352</f>
        <v>0</v>
      </c>
      <c r="P352" s="47">
        <f>0.00072*M352</f>
        <v>0</v>
      </c>
      <c r="Q352" s="44"/>
      <c r="R352" s="45" t="s">
        <v>1219</v>
      </c>
      <c r="S352" s="45" t="s">
        <v>93</v>
      </c>
      <c r="T352" s="37" t="str">
        <f>HYPERLINK("https://kanzpp.ru/api/getInfo/image/417e72f7-0f07-11e7-b743-5cf3fc4a2490")</f>
        <v>https://kanzpp.ru/api/getInfo/image/417e72f7-0f07-11e7-b743-5cf3fc4a2490</v>
      </c>
      <c r="U352" s="37"/>
    </row>
    <row r="353" spans="2:22" ht="21" customHeight="1" outlineLevel="4" x14ac:dyDescent="0.2">
      <c r="B353" s="36">
        <v>315</v>
      </c>
      <c r="C353" s="37" t="s">
        <v>1220</v>
      </c>
      <c r="D353" s="37" t="s">
        <v>1221</v>
      </c>
      <c r="E353" s="38" t="s">
        <v>1222</v>
      </c>
      <c r="F353" s="39"/>
      <c r="G353" s="40"/>
      <c r="H353" s="41">
        <v>40</v>
      </c>
      <c r="I353" s="40"/>
      <c r="J353" s="41">
        <v>40</v>
      </c>
      <c r="K353" s="36">
        <v>4</v>
      </c>
      <c r="L353" s="42" t="e">
        <f>(IF(#REF!,152.01*(1-#REF!/100),152.01*(1-O3/100)))/0.75</f>
        <v>#REF!</v>
      </c>
      <c r="M353" s="12"/>
      <c r="N353" s="40" t="e">
        <f t="shared" si="17"/>
        <v>#REF!</v>
      </c>
      <c r="O353" s="43">
        <f>0.255*M353</f>
        <v>0</v>
      </c>
      <c r="P353" s="47">
        <f>0.00065*M353</f>
        <v>0</v>
      </c>
      <c r="Q353" s="44"/>
      <c r="R353" s="45" t="s">
        <v>1223</v>
      </c>
      <c r="S353" s="45" t="s">
        <v>93</v>
      </c>
      <c r="T353" s="37" t="str">
        <f>HYPERLINK("https://kanzpp.ru/api/getInfo/image/b28dc216-0f08-11e7-b743-5cf3fc4a2490")</f>
        <v>https://kanzpp.ru/api/getInfo/image/b28dc216-0f08-11e7-b743-5cf3fc4a2490</v>
      </c>
      <c r="U353" s="37"/>
    </row>
    <row r="354" spans="2:22" ht="21" customHeight="1" outlineLevel="4" x14ac:dyDescent="0.2">
      <c r="B354" s="36">
        <v>316</v>
      </c>
      <c r="C354" s="37" t="s">
        <v>1224</v>
      </c>
      <c r="D354" s="37" t="s">
        <v>1225</v>
      </c>
      <c r="E354" s="38" t="s">
        <v>1226</v>
      </c>
      <c r="F354" s="39"/>
      <c r="G354" s="40"/>
      <c r="H354" s="41">
        <v>40</v>
      </c>
      <c r="I354" s="41">
        <v>1</v>
      </c>
      <c r="J354" s="40" t="s">
        <v>144</v>
      </c>
      <c r="K354" s="36">
        <v>4</v>
      </c>
      <c r="L354" s="42" t="e">
        <f>(IF(#REF!,152.01*(1-#REF!/100),152.01*(1-O3/100)))/0.75</f>
        <v>#REF!</v>
      </c>
      <c r="M354" s="12"/>
      <c r="N354" s="40" t="e">
        <f t="shared" si="17"/>
        <v>#REF!</v>
      </c>
      <c r="O354" s="43">
        <f>0.255*M354</f>
        <v>0</v>
      </c>
      <c r="P354" s="47">
        <f>0.00033*M354</f>
        <v>0</v>
      </c>
      <c r="Q354" s="44"/>
      <c r="R354" s="45" t="s">
        <v>1227</v>
      </c>
      <c r="S354" s="45" t="s">
        <v>93</v>
      </c>
      <c r="T354" s="37" t="str">
        <f>HYPERLINK("https://kanzpp.ru/api/getInfo/image/1f7fcff7-0f07-11e7-b743-5cf3fc4a2490")</f>
        <v>https://kanzpp.ru/api/getInfo/image/1f7fcff7-0f07-11e7-b743-5cf3fc4a2490</v>
      </c>
      <c r="U354" s="37"/>
    </row>
    <row r="355" spans="2:22" ht="21" customHeight="1" outlineLevel="4" x14ac:dyDescent="0.2">
      <c r="B355" s="36">
        <v>317</v>
      </c>
      <c r="C355" s="37" t="s">
        <v>1228</v>
      </c>
      <c r="D355" s="37" t="s">
        <v>1229</v>
      </c>
      <c r="E355" s="38" t="s">
        <v>1230</v>
      </c>
      <c r="F355" s="39"/>
      <c r="G355" s="40"/>
      <c r="H355" s="41">
        <v>40</v>
      </c>
      <c r="I355" s="41">
        <v>1</v>
      </c>
      <c r="J355" s="41">
        <v>80</v>
      </c>
      <c r="K355" s="36">
        <v>4</v>
      </c>
      <c r="L355" s="42" t="e">
        <f>(IF(#REF!,152.01*(1-#REF!/100),152.01*(1-O3/100)))/0.75</f>
        <v>#REF!</v>
      </c>
      <c r="M355" s="12"/>
      <c r="N355" s="40" t="e">
        <f t="shared" si="17"/>
        <v>#REF!</v>
      </c>
      <c r="O355" s="43">
        <f>0.262*M355</f>
        <v>0</v>
      </c>
      <c r="P355" s="47">
        <f>0.00078*M355</f>
        <v>0</v>
      </c>
      <c r="Q355" s="44"/>
      <c r="R355" s="45" t="s">
        <v>1231</v>
      </c>
      <c r="S355" s="45" t="s">
        <v>93</v>
      </c>
      <c r="T355" s="37" t="str">
        <f>HYPERLINK("https://kanzpp.ru/api/getInfo/image/8574f558-0f08-11e7-b743-5cf3fc4a2490")</f>
        <v>https://kanzpp.ru/api/getInfo/image/8574f558-0f08-11e7-b743-5cf3fc4a2490</v>
      </c>
      <c r="U355" s="37"/>
    </row>
    <row r="356" spans="2:22" ht="21" customHeight="1" outlineLevel="4" x14ac:dyDescent="0.2">
      <c r="B356" s="36">
        <v>318</v>
      </c>
      <c r="C356" s="37" t="s">
        <v>1232</v>
      </c>
      <c r="D356" s="37" t="s">
        <v>1233</v>
      </c>
      <c r="E356" s="38" t="s">
        <v>1234</v>
      </c>
      <c r="F356" s="39"/>
      <c r="G356" s="40"/>
      <c r="H356" s="41">
        <v>40</v>
      </c>
      <c r="I356" s="41">
        <v>1</v>
      </c>
      <c r="J356" s="41">
        <v>80</v>
      </c>
      <c r="K356" s="36">
        <v>4</v>
      </c>
      <c r="L356" s="42" t="e">
        <f>(IF(#REF!,152.01*(1-#REF!/100),152.01*(1-O3/100)))/0.75</f>
        <v>#REF!</v>
      </c>
      <c r="M356" s="12"/>
      <c r="N356" s="40" t="e">
        <f t="shared" si="17"/>
        <v>#REF!</v>
      </c>
      <c r="O356" s="43">
        <f>0.262*M356</f>
        <v>0</v>
      </c>
      <c r="P356" s="47">
        <f>0.00039*M356</f>
        <v>0</v>
      </c>
      <c r="Q356" s="44"/>
      <c r="R356" s="45" t="s">
        <v>1235</v>
      </c>
      <c r="S356" s="45" t="s">
        <v>93</v>
      </c>
      <c r="T356" s="37" t="str">
        <f>HYPERLINK("https://kanzpp.ru/api/getInfo/image/d473d657-0f06-11e7-b743-5cf3fc4a2490")</f>
        <v>https://kanzpp.ru/api/getInfo/image/d473d657-0f06-11e7-b743-5cf3fc4a2490</v>
      </c>
      <c r="U356" s="37"/>
    </row>
    <row r="357" spans="2:22" ht="21" customHeight="1" outlineLevel="4" x14ac:dyDescent="0.2">
      <c r="B357" s="36">
        <v>319</v>
      </c>
      <c r="C357" s="37" t="s">
        <v>1236</v>
      </c>
      <c r="D357" s="37" t="s">
        <v>1237</v>
      </c>
      <c r="E357" s="38" t="s">
        <v>1238</v>
      </c>
      <c r="F357" s="39"/>
      <c r="G357" s="40"/>
      <c r="H357" s="41">
        <v>40</v>
      </c>
      <c r="I357" s="41">
        <v>1</v>
      </c>
      <c r="J357" s="40" t="s">
        <v>144</v>
      </c>
      <c r="K357" s="36">
        <v>4</v>
      </c>
      <c r="L357" s="42" t="e">
        <f>(IF(#REF!,153.74*(1-#REF!/100),153.74*(1-O3/100)))/0.75</f>
        <v>#REF!</v>
      </c>
      <c r="M357" s="12"/>
      <c r="N357" s="40" t="e">
        <f t="shared" si="17"/>
        <v>#REF!</v>
      </c>
      <c r="O357" s="43">
        <f>0.263*M357</f>
        <v>0</v>
      </c>
      <c r="P357" s="47">
        <f>0.00039*M357</f>
        <v>0</v>
      </c>
      <c r="Q357" s="44"/>
      <c r="R357" s="45" t="s">
        <v>1239</v>
      </c>
      <c r="S357" s="45" t="s">
        <v>93</v>
      </c>
      <c r="T357" s="37" t="str">
        <f>HYPERLINK("https://kanzpp.ru/api/getInfo/image/fbdefbf6-0f08-11e7-b743-5cf3fc4a2490")</f>
        <v>https://kanzpp.ru/api/getInfo/image/fbdefbf6-0f08-11e7-b743-5cf3fc4a2490</v>
      </c>
      <c r="U357" s="37"/>
    </row>
    <row r="358" spans="2:22" ht="21" customHeight="1" outlineLevel="4" x14ac:dyDescent="0.2">
      <c r="B358" s="36">
        <v>320</v>
      </c>
      <c r="C358" s="37" t="s">
        <v>1240</v>
      </c>
      <c r="D358" s="37" t="s">
        <v>1241</v>
      </c>
      <c r="E358" s="38" t="s">
        <v>1242</v>
      </c>
      <c r="F358" s="39"/>
      <c r="G358" s="40"/>
      <c r="H358" s="41">
        <v>20</v>
      </c>
      <c r="I358" s="40"/>
      <c r="J358" s="41">
        <v>20</v>
      </c>
      <c r="K358" s="36">
        <v>3</v>
      </c>
      <c r="L358" s="42" t="e">
        <f>(IF(#REF!,259.49*(1-#REF!/100),259.49*(1-O3/100)))/0.75</f>
        <v>#REF!</v>
      </c>
      <c r="M358" s="12"/>
      <c r="N358" s="40" t="e">
        <f t="shared" si="17"/>
        <v>#REF!</v>
      </c>
      <c r="O358" s="43">
        <f>0.537*M358</f>
        <v>0</v>
      </c>
      <c r="P358" s="47">
        <f>0.00097*M358</f>
        <v>0</v>
      </c>
      <c r="Q358" s="44"/>
      <c r="R358" s="45" t="s">
        <v>1243</v>
      </c>
      <c r="S358" s="45" t="s">
        <v>93</v>
      </c>
      <c r="T358" s="37" t="str">
        <f>HYPERLINK("https://kanzpp.ru/api/getInfo/image/cd809357-bb0d-11e7-ae40-5cf3fc4a2490")</f>
        <v>https://kanzpp.ru/api/getInfo/image/cd809357-bb0d-11e7-ae40-5cf3fc4a2490</v>
      </c>
      <c r="U358" s="37"/>
    </row>
    <row r="359" spans="2:22" ht="21" customHeight="1" outlineLevel="4" x14ac:dyDescent="0.2">
      <c r="B359" s="36">
        <v>321</v>
      </c>
      <c r="C359" s="37" t="s">
        <v>1244</v>
      </c>
      <c r="D359" s="37" t="s">
        <v>1245</v>
      </c>
      <c r="E359" s="38" t="s">
        <v>1246</v>
      </c>
      <c r="F359" s="39"/>
      <c r="G359" s="40"/>
      <c r="H359" s="41">
        <v>20</v>
      </c>
      <c r="I359" s="41">
        <v>1</v>
      </c>
      <c r="J359" s="41">
        <v>8</v>
      </c>
      <c r="K359" s="36">
        <v>3</v>
      </c>
      <c r="L359" s="42" t="e">
        <f>(IF(#REF!,259.49*(1-#REF!/100),259.49*(1-O3/100)))/0.75</f>
        <v>#REF!</v>
      </c>
      <c r="M359" s="12"/>
      <c r="N359" s="40" t="e">
        <f t="shared" si="17"/>
        <v>#REF!</v>
      </c>
      <c r="O359" s="43">
        <f>0.494*M359</f>
        <v>0</v>
      </c>
      <c r="P359" s="47">
        <f>0.00062*M359</f>
        <v>0</v>
      </c>
      <c r="Q359" s="44"/>
      <c r="R359" s="45" t="s">
        <v>1247</v>
      </c>
      <c r="S359" s="45" t="s">
        <v>93</v>
      </c>
      <c r="T359" s="37" t="str">
        <f>HYPERLINK("https://kanzpp.ru/api/getInfo/image/afb4cae2-a38f-11e7-b8ef-5cf3fc4a2490")</f>
        <v>https://kanzpp.ru/api/getInfo/image/afb4cae2-a38f-11e7-b8ef-5cf3fc4a2490</v>
      </c>
      <c r="U359" s="37"/>
    </row>
    <row r="360" spans="2:22" ht="21" customHeight="1" outlineLevel="4" x14ac:dyDescent="0.2">
      <c r="B360" s="36">
        <v>322</v>
      </c>
      <c r="C360" s="37" t="s">
        <v>1248</v>
      </c>
      <c r="D360" s="37" t="s">
        <v>1249</v>
      </c>
      <c r="E360" s="38" t="s">
        <v>1250</v>
      </c>
      <c r="F360" s="39"/>
      <c r="G360" s="40"/>
      <c r="H360" s="41">
        <v>20</v>
      </c>
      <c r="I360" s="41">
        <v>1</v>
      </c>
      <c r="J360" s="40" t="s">
        <v>144</v>
      </c>
      <c r="K360" s="36">
        <v>2</v>
      </c>
      <c r="L360" s="42" t="e">
        <f>(IF(#REF!,270.43*(1-#REF!/100),270.43*(1-O3/100)))/0.75</f>
        <v>#REF!</v>
      </c>
      <c r="M360" s="12"/>
      <c r="N360" s="40" t="e">
        <f t="shared" si="17"/>
        <v>#REF!</v>
      </c>
      <c r="O360" s="48">
        <f>0.51*M360</f>
        <v>0</v>
      </c>
      <c r="P360" s="47">
        <f>0.00092*M360</f>
        <v>0</v>
      </c>
      <c r="Q360" s="44"/>
      <c r="R360" s="45" t="s">
        <v>1251</v>
      </c>
      <c r="S360" s="45" t="s">
        <v>93</v>
      </c>
      <c r="T360" s="37" t="str">
        <f>HYPERLINK("https://kanzpp.ru/api/getInfo/image/f5888763-bb0d-11e7-ae40-5cf3fc4a2490")</f>
        <v>https://kanzpp.ru/api/getInfo/image/f5888763-bb0d-11e7-ae40-5cf3fc4a2490</v>
      </c>
      <c r="U360" s="37"/>
    </row>
    <row r="361" spans="2:22" ht="21" customHeight="1" outlineLevel="4" x14ac:dyDescent="0.2">
      <c r="B361" s="5">
        <v>323</v>
      </c>
      <c r="C361" s="6" t="s">
        <v>1252</v>
      </c>
      <c r="D361" s="6" t="s">
        <v>1253</v>
      </c>
      <c r="E361" s="7" t="s">
        <v>1250</v>
      </c>
      <c r="F361" s="13"/>
      <c r="G361" s="14"/>
      <c r="H361" s="15">
        <v>20</v>
      </c>
      <c r="I361" s="14"/>
      <c r="J361" s="14" t="s">
        <v>144</v>
      </c>
      <c r="K361" s="5">
        <v>3</v>
      </c>
      <c r="L361" s="16">
        <v>258.71999999999997</v>
      </c>
      <c r="M361" s="12"/>
      <c r="N361" s="14">
        <f t="shared" si="17"/>
        <v>0</v>
      </c>
      <c r="O361" s="28">
        <f>0.49*M361</f>
        <v>0</v>
      </c>
      <c r="P361" s="24">
        <f>0.00819*M361</f>
        <v>0</v>
      </c>
      <c r="Q361" s="25"/>
      <c r="R361" s="26"/>
      <c r="S361" s="26" t="s">
        <v>93</v>
      </c>
      <c r="T361" s="6" t="str">
        <f>HYPERLINK("https://kanzpp.ru/api/getInfo/image/66ec7665-18df-11ef-a25d-00155d82e908")</f>
        <v>https://kanzpp.ru/api/getInfo/image/66ec7665-18df-11ef-a25d-00155d82e908</v>
      </c>
      <c r="U361" s="6"/>
      <c r="V361" s="33" t="s">
        <v>35</v>
      </c>
    </row>
    <row r="362" spans="2:22" ht="21" customHeight="1" outlineLevel="4" x14ac:dyDescent="0.2">
      <c r="B362" s="5">
        <v>324</v>
      </c>
      <c r="C362" s="6" t="s">
        <v>1254</v>
      </c>
      <c r="D362" s="6" t="s">
        <v>1255</v>
      </c>
      <c r="E362" s="7" t="s">
        <v>1256</v>
      </c>
      <c r="F362" s="13"/>
      <c r="G362" s="14"/>
      <c r="H362" s="15">
        <v>20</v>
      </c>
      <c r="I362" s="14"/>
      <c r="J362" s="14" t="s">
        <v>144</v>
      </c>
      <c r="K362" s="5">
        <v>4</v>
      </c>
      <c r="L362" s="16">
        <v>224.78666666666666</v>
      </c>
      <c r="M362" s="12"/>
      <c r="N362" s="14">
        <f t="shared" si="17"/>
        <v>0</v>
      </c>
      <c r="O362" s="27">
        <f>0.5*M362</f>
        <v>0</v>
      </c>
      <c r="P362" s="24">
        <f>0.00072*M362</f>
        <v>0</v>
      </c>
      <c r="Q362" s="25"/>
      <c r="R362" s="26" t="s">
        <v>1257</v>
      </c>
      <c r="S362" s="26" t="s">
        <v>93</v>
      </c>
      <c r="T362" s="6"/>
      <c r="U362" s="6"/>
      <c r="V362" s="33" t="s">
        <v>35</v>
      </c>
    </row>
    <row r="363" spans="2:22" ht="21" customHeight="1" outlineLevel="4" x14ac:dyDescent="0.2">
      <c r="B363" s="36">
        <v>325</v>
      </c>
      <c r="C363" s="37" t="s">
        <v>1258</v>
      </c>
      <c r="D363" s="37" t="s">
        <v>1259</v>
      </c>
      <c r="E363" s="38" t="s">
        <v>1260</v>
      </c>
      <c r="F363" s="39"/>
      <c r="G363" s="40"/>
      <c r="H363" s="41">
        <v>40</v>
      </c>
      <c r="I363" s="40"/>
      <c r="J363" s="41">
        <v>11</v>
      </c>
      <c r="K363" s="36">
        <v>5</v>
      </c>
      <c r="L363" s="42" t="e">
        <f>(IF(#REF!,125.58*(1-#REF!/100),125.58*(1-O3/100)))/0.75</f>
        <v>#REF!</v>
      </c>
      <c r="M363" s="12"/>
      <c r="N363" s="40" t="e">
        <f t="shared" si="17"/>
        <v>#REF!</v>
      </c>
      <c r="O363" s="48">
        <f>0.25*M363</f>
        <v>0</v>
      </c>
      <c r="P363" s="47">
        <f>0.00039*M363</f>
        <v>0</v>
      </c>
      <c r="Q363" s="44"/>
      <c r="R363" s="45" t="s">
        <v>1261</v>
      </c>
      <c r="S363" s="45" t="s">
        <v>93</v>
      </c>
      <c r="T363" s="37" t="str">
        <f>HYPERLINK("https://kanzpp.ru/api/getInfo/image/12180440-1eba-11f1-a28f-00155d82e908")</f>
        <v>https://kanzpp.ru/api/getInfo/image/12180440-1eba-11f1-a28f-00155d82e908</v>
      </c>
      <c r="U363" s="37"/>
    </row>
    <row r="364" spans="2:22" ht="21" customHeight="1" outlineLevel="4" x14ac:dyDescent="0.2">
      <c r="B364" s="36">
        <v>326</v>
      </c>
      <c r="C364" s="37" t="s">
        <v>1262</v>
      </c>
      <c r="D364" s="37" t="s">
        <v>1263</v>
      </c>
      <c r="E364" s="38" t="s">
        <v>1264</v>
      </c>
      <c r="F364" s="39"/>
      <c r="G364" s="40"/>
      <c r="H364" s="41">
        <v>50</v>
      </c>
      <c r="I364" s="40"/>
      <c r="J364" s="41">
        <v>97</v>
      </c>
      <c r="K364" s="36">
        <v>5</v>
      </c>
      <c r="L364" s="42" t="e">
        <f>(IF(#REF!,130.2*(1-#REF!/100),130.2*(1-O3/100)))/0.75</f>
        <v>#REF!</v>
      </c>
      <c r="M364" s="12"/>
      <c r="N364" s="40" t="e">
        <f t="shared" si="17"/>
        <v>#REF!</v>
      </c>
      <c r="O364" s="43">
        <f>0.211*M364</f>
        <v>0</v>
      </c>
      <c r="P364" s="47">
        <f>0.00039*M364</f>
        <v>0</v>
      </c>
      <c r="Q364" s="44"/>
      <c r="R364" s="45" t="s">
        <v>1265</v>
      </c>
      <c r="S364" s="45" t="s">
        <v>93</v>
      </c>
      <c r="T364" s="37" t="str">
        <f>HYPERLINK("https://kanzpp.ru/api/getInfo/image/663938b7-1eb9-11f1-a28f-00155d82e908")</f>
        <v>https://kanzpp.ru/api/getInfo/image/663938b7-1eb9-11f1-a28f-00155d82e908</v>
      </c>
      <c r="U364" s="37"/>
    </row>
    <row r="365" spans="2:22" ht="21" customHeight="1" outlineLevel="4" x14ac:dyDescent="0.2">
      <c r="B365" s="36">
        <v>327</v>
      </c>
      <c r="C365" s="37" t="s">
        <v>1266</v>
      </c>
      <c r="D365" s="37" t="s">
        <v>1267</v>
      </c>
      <c r="E365" s="38" t="s">
        <v>1268</v>
      </c>
      <c r="F365" s="39"/>
      <c r="G365" s="40"/>
      <c r="H365" s="41">
        <v>20</v>
      </c>
      <c r="I365" s="40"/>
      <c r="J365" s="40" t="s">
        <v>144</v>
      </c>
      <c r="K365" s="36">
        <v>2</v>
      </c>
      <c r="L365" s="42" t="e">
        <f>(IF(#REF!,306.75*(1-#REF!/100),306.75*(1-O3/100)))/0.75</f>
        <v>#REF!</v>
      </c>
      <c r="M365" s="12"/>
      <c r="N365" s="40" t="e">
        <f t="shared" si="17"/>
        <v>#REF!</v>
      </c>
      <c r="O365" s="43">
        <f>0.631*M365</f>
        <v>0</v>
      </c>
      <c r="P365" s="47">
        <f>0.00082*M365</f>
        <v>0</v>
      </c>
      <c r="Q365" s="44"/>
      <c r="R365" s="45" t="s">
        <v>1269</v>
      </c>
      <c r="S365" s="45" t="s">
        <v>93</v>
      </c>
      <c r="T365" s="37" t="str">
        <f>HYPERLINK("https://kanzpp.ru/api/getInfo/image/c0ed0ad6-1eba-11f1-a28f-00155d82e908")</f>
        <v>https://kanzpp.ru/api/getInfo/image/c0ed0ad6-1eba-11f1-a28f-00155d82e908</v>
      </c>
      <c r="U365" s="37"/>
    </row>
    <row r="366" spans="2:22" ht="21" customHeight="1" outlineLevel="4" x14ac:dyDescent="0.2">
      <c r="B366" s="36">
        <v>328</v>
      </c>
      <c r="C366" s="37" t="s">
        <v>1270</v>
      </c>
      <c r="D366" s="37" t="s">
        <v>1271</v>
      </c>
      <c r="E366" s="38" t="s">
        <v>1272</v>
      </c>
      <c r="F366" s="39"/>
      <c r="G366" s="40"/>
      <c r="H366" s="41">
        <v>20</v>
      </c>
      <c r="I366" s="40"/>
      <c r="J366" s="40" t="s">
        <v>144</v>
      </c>
      <c r="K366" s="36">
        <v>4</v>
      </c>
      <c r="L366" s="42" t="e">
        <f>(IF(#REF!,196.03*(1-#REF!/100),196.03*(1-O3/100)))/0.75</f>
        <v>#REF!</v>
      </c>
      <c r="M366" s="12"/>
      <c r="N366" s="40" t="e">
        <f t="shared" si="17"/>
        <v>#REF!</v>
      </c>
      <c r="O366" s="49">
        <f>0.5*M366</f>
        <v>0</v>
      </c>
      <c r="P366" s="46">
        <f>0.0006*M366</f>
        <v>0</v>
      </c>
      <c r="Q366" s="44"/>
      <c r="R366" s="45" t="s">
        <v>1273</v>
      </c>
      <c r="S366" s="45" t="s">
        <v>93</v>
      </c>
      <c r="T366" s="37" t="str">
        <f>HYPERLINK("https://kanzpp.ru/api/getInfo/image/7bb66cbf-1eba-11f1-a28f-00155d82e908")</f>
        <v>https://kanzpp.ru/api/getInfo/image/7bb66cbf-1eba-11f1-a28f-00155d82e908</v>
      </c>
      <c r="U366" s="37"/>
    </row>
    <row r="367" spans="2:22" ht="22.95" customHeight="1" outlineLevel="3" x14ac:dyDescent="0.2">
      <c r="B367" s="81" t="s">
        <v>1274</v>
      </c>
      <c r="C367" s="81"/>
      <c r="D367" s="81"/>
      <c r="L367">
        <v>0</v>
      </c>
    </row>
    <row r="368" spans="2:22" ht="21" customHeight="1" outlineLevel="4" x14ac:dyDescent="0.2">
      <c r="B368" s="36">
        <v>329</v>
      </c>
      <c r="C368" s="37" t="s">
        <v>1275</v>
      </c>
      <c r="D368" s="37" t="s">
        <v>1276</v>
      </c>
      <c r="E368" s="38" t="s">
        <v>1277</v>
      </c>
      <c r="F368" s="39"/>
      <c r="G368" s="40"/>
      <c r="H368" s="41">
        <v>40</v>
      </c>
      <c r="I368" s="40"/>
      <c r="J368" s="41">
        <v>80</v>
      </c>
      <c r="K368" s="36">
        <v>5</v>
      </c>
      <c r="L368" s="42" t="e">
        <f>(IF(#REF!,113*(1-#REF!/100),113*(1-O3/100)))/0.75</f>
        <v>#REF!</v>
      </c>
      <c r="M368" s="12"/>
      <c r="N368" s="40" t="e">
        <f t="shared" ref="N368:N373" si="18">L368*M368</f>
        <v>#REF!</v>
      </c>
      <c r="O368" s="43">
        <f>0.263*M368</f>
        <v>0</v>
      </c>
      <c r="P368" s="47">
        <f>0.00047*M368</f>
        <v>0</v>
      </c>
      <c r="Q368" s="44"/>
      <c r="R368" s="45" t="s">
        <v>1278</v>
      </c>
      <c r="S368" s="45" t="s">
        <v>93</v>
      </c>
      <c r="T368" s="37" t="str">
        <f>HYPERLINK("https://kanzpp.ru/api/getInfo/image/c926d056-0f0a-11e7-b743-5cf3fc4a2490")</f>
        <v>https://kanzpp.ru/api/getInfo/image/c926d056-0f0a-11e7-b743-5cf3fc4a2490</v>
      </c>
      <c r="U368" s="37"/>
    </row>
    <row r="369" spans="2:22" ht="21" customHeight="1" outlineLevel="4" x14ac:dyDescent="0.2">
      <c r="B369" s="36">
        <v>330</v>
      </c>
      <c r="C369" s="37" t="s">
        <v>1279</v>
      </c>
      <c r="D369" s="37" t="s">
        <v>1280</v>
      </c>
      <c r="E369" s="38" t="s">
        <v>1281</v>
      </c>
      <c r="F369" s="39"/>
      <c r="G369" s="40"/>
      <c r="H369" s="41">
        <v>20</v>
      </c>
      <c r="I369" s="41">
        <v>1</v>
      </c>
      <c r="J369" s="41">
        <v>40</v>
      </c>
      <c r="K369" s="36">
        <v>4</v>
      </c>
      <c r="L369" s="42" t="e">
        <f>(IF(#REF!,182*(1-#REF!/100),182*(1-O3/100)))/0.75</f>
        <v>#REF!</v>
      </c>
      <c r="M369" s="12"/>
      <c r="N369" s="40" t="e">
        <f t="shared" si="18"/>
        <v>#REF!</v>
      </c>
      <c r="O369" s="43">
        <f>0.508*M369</f>
        <v>0</v>
      </c>
      <c r="P369" s="47">
        <f>0.00066*M369</f>
        <v>0</v>
      </c>
      <c r="Q369" s="44"/>
      <c r="R369" s="45" t="s">
        <v>1282</v>
      </c>
      <c r="S369" s="45" t="s">
        <v>93</v>
      </c>
      <c r="T369" s="37" t="str">
        <f>HYPERLINK("https://kanzpp.ru/api/getInfo/image/e1170641-a38f-11e7-b8ef-5cf3fc4a2490")</f>
        <v>https://kanzpp.ru/api/getInfo/image/e1170641-a38f-11e7-b8ef-5cf3fc4a2490</v>
      </c>
      <c r="U369" s="37"/>
    </row>
    <row r="370" spans="2:22" ht="21" customHeight="1" outlineLevel="4" x14ac:dyDescent="0.2">
      <c r="B370" s="5">
        <v>331</v>
      </c>
      <c r="C370" s="6" t="s">
        <v>1283</v>
      </c>
      <c r="D370" s="6" t="s">
        <v>1284</v>
      </c>
      <c r="E370" s="7" t="s">
        <v>1285</v>
      </c>
      <c r="F370" s="13"/>
      <c r="G370" s="14"/>
      <c r="H370" s="15">
        <v>20</v>
      </c>
      <c r="I370" s="15">
        <v>1</v>
      </c>
      <c r="J370" s="15">
        <v>80</v>
      </c>
      <c r="K370" s="5">
        <v>4</v>
      </c>
      <c r="L370" s="16">
        <v>132</v>
      </c>
      <c r="M370" s="12"/>
      <c r="N370" s="14">
        <f t="shared" si="18"/>
        <v>0</v>
      </c>
      <c r="O370" s="23">
        <f>0.507*M370</f>
        <v>0</v>
      </c>
      <c r="P370" s="24">
        <f>0.00086*M370</f>
        <v>0</v>
      </c>
      <c r="Q370" s="25"/>
      <c r="R370" s="26" t="s">
        <v>1286</v>
      </c>
      <c r="S370" s="26" t="s">
        <v>93</v>
      </c>
      <c r="T370" s="6" t="str">
        <f>HYPERLINK("https://kanzpp.ru/api/getInfo/image/21cdaef5-a40b-11e7-b8ef-5cf3fc4a2490")</f>
        <v>https://kanzpp.ru/api/getInfo/image/21cdaef5-a40b-11e7-b8ef-5cf3fc4a2490</v>
      </c>
      <c r="U370" s="6"/>
      <c r="V370" s="33" t="s">
        <v>35</v>
      </c>
    </row>
    <row r="371" spans="2:22" ht="21" customHeight="1" outlineLevel="4" x14ac:dyDescent="0.2">
      <c r="B371" s="5">
        <v>332</v>
      </c>
      <c r="C371" s="6" t="s">
        <v>1287</v>
      </c>
      <c r="D371" s="6" t="s">
        <v>1288</v>
      </c>
      <c r="E371" s="7" t="s">
        <v>1289</v>
      </c>
      <c r="F371" s="13"/>
      <c r="G371" s="14"/>
      <c r="H371" s="15">
        <v>20</v>
      </c>
      <c r="I371" s="15">
        <v>1</v>
      </c>
      <c r="J371" s="15">
        <v>40</v>
      </c>
      <c r="K371" s="5">
        <v>4</v>
      </c>
      <c r="L371" s="16">
        <v>132</v>
      </c>
      <c r="M371" s="12"/>
      <c r="N371" s="14">
        <f t="shared" si="18"/>
        <v>0</v>
      </c>
      <c r="O371" s="23">
        <f>0.494*M371</f>
        <v>0</v>
      </c>
      <c r="P371" s="24">
        <f>0.00062*M371</f>
        <v>0</v>
      </c>
      <c r="Q371" s="25"/>
      <c r="R371" s="26" t="s">
        <v>1290</v>
      </c>
      <c r="S371" s="26" t="s">
        <v>93</v>
      </c>
      <c r="T371" s="6" t="str">
        <f>HYPERLINK("https://kanzpp.ru/api/getInfo/image/100d86a0-a40b-11e7-b8ef-5cf3fc4a2490")</f>
        <v>https://kanzpp.ru/api/getInfo/image/100d86a0-a40b-11e7-b8ef-5cf3fc4a2490</v>
      </c>
      <c r="U371" s="6"/>
      <c r="V371" s="33" t="s">
        <v>35</v>
      </c>
    </row>
    <row r="372" spans="2:22" ht="21" customHeight="1" outlineLevel="4" x14ac:dyDescent="0.2">
      <c r="B372" s="5">
        <v>333</v>
      </c>
      <c r="C372" s="6" t="s">
        <v>1291</v>
      </c>
      <c r="D372" s="6" t="s">
        <v>1292</v>
      </c>
      <c r="E372" s="7" t="s">
        <v>1293</v>
      </c>
      <c r="F372" s="13"/>
      <c r="G372" s="14"/>
      <c r="H372" s="15">
        <v>20</v>
      </c>
      <c r="I372" s="15">
        <v>1</v>
      </c>
      <c r="J372" s="15">
        <v>80</v>
      </c>
      <c r="K372" s="5">
        <v>4</v>
      </c>
      <c r="L372" s="16">
        <v>79.986666666666665</v>
      </c>
      <c r="M372" s="12"/>
      <c r="N372" s="14">
        <f t="shared" si="18"/>
        <v>0</v>
      </c>
      <c r="O372" s="23">
        <f>0.493*M372</f>
        <v>0</v>
      </c>
      <c r="P372" s="24">
        <f>0.00058*M372</f>
        <v>0</v>
      </c>
      <c r="Q372" s="25"/>
      <c r="R372" s="26" t="s">
        <v>1294</v>
      </c>
      <c r="S372" s="26" t="s">
        <v>93</v>
      </c>
      <c r="T372" s="6" t="str">
        <f>HYPERLINK("https://kanzpp.ru/api/getInfo/image/4a04daba-a40b-11e7-b8ef-5cf3fc4a2490")</f>
        <v>https://kanzpp.ru/api/getInfo/image/4a04daba-a40b-11e7-b8ef-5cf3fc4a2490</v>
      </c>
      <c r="U372" s="6"/>
      <c r="V372" s="33" t="s">
        <v>35</v>
      </c>
    </row>
    <row r="373" spans="2:22" ht="21" customHeight="1" outlineLevel="4" x14ac:dyDescent="0.2">
      <c r="B373" s="36">
        <v>334</v>
      </c>
      <c r="C373" s="37" t="s">
        <v>1295</v>
      </c>
      <c r="D373" s="37" t="s">
        <v>1296</v>
      </c>
      <c r="E373" s="38" t="s">
        <v>1297</v>
      </c>
      <c r="F373" s="39"/>
      <c r="G373" s="40"/>
      <c r="H373" s="41">
        <v>20</v>
      </c>
      <c r="I373" s="41">
        <v>1</v>
      </c>
      <c r="J373" s="41">
        <v>40</v>
      </c>
      <c r="K373" s="36">
        <v>4</v>
      </c>
      <c r="L373" s="42" t="e">
        <f>(IF(#REF!,195*(1-#REF!/100),195*(1-O3/100)))/0.75</f>
        <v>#REF!</v>
      </c>
      <c r="M373" s="12"/>
      <c r="N373" s="40" t="e">
        <f t="shared" si="18"/>
        <v>#REF!</v>
      </c>
      <c r="O373" s="43">
        <f>0.543*M373</f>
        <v>0</v>
      </c>
      <c r="P373" s="47">
        <f>0.00085*M373</f>
        <v>0</v>
      </c>
      <c r="Q373" s="44"/>
      <c r="R373" s="45" t="s">
        <v>1298</v>
      </c>
      <c r="S373" s="45" t="s">
        <v>93</v>
      </c>
      <c r="T373" s="37" t="str">
        <f>HYPERLINK("https://kanzpp.ru/api/getInfo/image/26cb2fd3-a38e-11e7-b8ef-5cf3fc4a2490")</f>
        <v>https://kanzpp.ru/api/getInfo/image/26cb2fd3-a38e-11e7-b8ef-5cf3fc4a2490</v>
      </c>
      <c r="U373" s="37"/>
    </row>
    <row r="374" spans="2:22" ht="22.95" customHeight="1" outlineLevel="2" x14ac:dyDescent="0.2">
      <c r="B374" s="80" t="s">
        <v>1299</v>
      </c>
      <c r="C374" s="80"/>
      <c r="D374" s="80"/>
      <c r="L374">
        <v>0</v>
      </c>
    </row>
    <row r="375" spans="2:22" ht="21" customHeight="1" outlineLevel="3" x14ac:dyDescent="0.2">
      <c r="B375" s="36">
        <v>335</v>
      </c>
      <c r="C375" s="37" t="s">
        <v>1300</v>
      </c>
      <c r="D375" s="37" t="s">
        <v>1301</v>
      </c>
      <c r="E375" s="38" t="s">
        <v>1302</v>
      </c>
      <c r="F375" s="39"/>
      <c r="G375" s="40"/>
      <c r="H375" s="41">
        <v>10</v>
      </c>
      <c r="I375" s="40"/>
      <c r="J375" s="41">
        <v>9</v>
      </c>
      <c r="K375" s="36">
        <v>1</v>
      </c>
      <c r="L375" s="42" t="e">
        <f>(IF(#REF!,676.3*(1-#REF!/100),676.3*(1-O3/100)))/0.75</f>
        <v>#REF!</v>
      </c>
      <c r="M375" s="12"/>
      <c r="N375" s="40" t="e">
        <f>L375*M375</f>
        <v>#REF!</v>
      </c>
      <c r="O375" s="43">
        <f>1.443*M375</f>
        <v>0</v>
      </c>
      <c r="P375" s="47">
        <f>0.00254*M375</f>
        <v>0</v>
      </c>
      <c r="Q375" s="44"/>
      <c r="R375" s="45" t="s">
        <v>1303</v>
      </c>
      <c r="S375" s="45" t="s">
        <v>93</v>
      </c>
      <c r="T375" s="37" t="str">
        <f>HYPERLINK("https://kanzpp.ru/api/getInfo/image/c925c383-3ac0-11ef-a261-00155d82e908")</f>
        <v>https://kanzpp.ru/api/getInfo/image/c925c383-3ac0-11ef-a261-00155d82e908</v>
      </c>
      <c r="U375" s="37"/>
    </row>
    <row r="376" spans="2:22" ht="21" customHeight="1" outlineLevel="3" x14ac:dyDescent="0.2">
      <c r="B376" s="5">
        <v>336</v>
      </c>
      <c r="C376" s="6" t="s">
        <v>1304</v>
      </c>
      <c r="D376" s="6" t="s">
        <v>1305</v>
      </c>
      <c r="E376" s="7" t="s">
        <v>1306</v>
      </c>
      <c r="F376" s="13"/>
      <c r="G376" s="14"/>
      <c r="H376" s="15">
        <v>10</v>
      </c>
      <c r="I376" s="14"/>
      <c r="J376" s="14" t="s">
        <v>144</v>
      </c>
      <c r="K376" s="5">
        <v>1</v>
      </c>
      <c r="L376" s="16">
        <v>638.89333333333332</v>
      </c>
      <c r="M376" s="12"/>
      <c r="N376" s="14">
        <f>L376*M376</f>
        <v>0</v>
      </c>
      <c r="O376" s="28">
        <f>1.17*M376</f>
        <v>0</v>
      </c>
      <c r="P376" s="24">
        <f>0.00237*M376</f>
        <v>0</v>
      </c>
      <c r="Q376" s="25"/>
      <c r="R376" s="26" t="s">
        <v>1307</v>
      </c>
      <c r="S376" s="26" t="s">
        <v>93</v>
      </c>
      <c r="T376" s="6" t="str">
        <f>HYPERLINK("https://kanzpp.ru/api/getInfo/image/6710885e-3ac1-11ef-a261-00155d82e908")</f>
        <v>https://kanzpp.ru/api/getInfo/image/6710885e-3ac1-11ef-a261-00155d82e908</v>
      </c>
      <c r="U376" s="6"/>
      <c r="V376" s="33" t="s">
        <v>35</v>
      </c>
    </row>
    <row r="377" spans="2:22" ht="22.95" customHeight="1" outlineLevel="1" x14ac:dyDescent="0.2">
      <c r="B377" s="79" t="s">
        <v>1308</v>
      </c>
      <c r="C377" s="79"/>
      <c r="D377" s="79"/>
      <c r="L377">
        <v>0</v>
      </c>
    </row>
    <row r="378" spans="2:22" ht="22.95" customHeight="1" outlineLevel="2" x14ac:dyDescent="0.2">
      <c r="B378" s="80" t="s">
        <v>1309</v>
      </c>
      <c r="C378" s="80"/>
      <c r="D378" s="80"/>
      <c r="L378">
        <v>0</v>
      </c>
    </row>
    <row r="379" spans="2:22" ht="22.95" customHeight="1" outlineLevel="3" x14ac:dyDescent="0.2">
      <c r="B379" s="81" t="s">
        <v>1310</v>
      </c>
      <c r="C379" s="81"/>
      <c r="D379" s="81"/>
      <c r="L379">
        <v>0</v>
      </c>
    </row>
    <row r="380" spans="2:22" ht="22.95" customHeight="1" outlineLevel="4" x14ac:dyDescent="0.2">
      <c r="B380" s="82" t="s">
        <v>1311</v>
      </c>
      <c r="C380" s="82"/>
      <c r="D380" s="82"/>
      <c r="L380">
        <v>0</v>
      </c>
    </row>
    <row r="381" spans="2:22" ht="22.95" customHeight="1" outlineLevel="5" x14ac:dyDescent="0.2">
      <c r="B381" s="83" t="s">
        <v>1312</v>
      </c>
      <c r="C381" s="83"/>
      <c r="D381" s="83"/>
      <c r="L381">
        <v>0</v>
      </c>
    </row>
    <row r="382" spans="2:22" ht="21" customHeight="1" outlineLevel="6" x14ac:dyDescent="0.2">
      <c r="B382" s="5">
        <v>337</v>
      </c>
      <c r="C382" s="6" t="s">
        <v>1313</v>
      </c>
      <c r="D382" s="6" t="s">
        <v>1314</v>
      </c>
      <c r="E382" s="7" t="s">
        <v>1315</v>
      </c>
      <c r="F382" s="13"/>
      <c r="G382" s="14"/>
      <c r="H382" s="15">
        <v>18</v>
      </c>
      <c r="I382" s="14"/>
      <c r="J382" s="15">
        <v>18</v>
      </c>
      <c r="K382" s="5">
        <v>10</v>
      </c>
      <c r="L382" s="16">
        <v>65.08</v>
      </c>
      <c r="M382" s="12"/>
      <c r="N382" s="14">
        <f>L382*M382</f>
        <v>0</v>
      </c>
      <c r="O382" s="23">
        <f>0.258*M382</f>
        <v>0</v>
      </c>
      <c r="P382" s="24">
        <f>0.00043*M382</f>
        <v>0</v>
      </c>
      <c r="Q382" s="25"/>
      <c r="R382" s="26" t="s">
        <v>1316</v>
      </c>
      <c r="S382" s="26" t="s">
        <v>93</v>
      </c>
      <c r="T382" s="6" t="str">
        <f>HYPERLINK("https://kanzpp.ru/api/getInfo/image/c5fb665c-c686-11e1-81d3-5ef3fc502493")</f>
        <v>https://kanzpp.ru/api/getInfo/image/c5fb665c-c686-11e1-81d3-5ef3fc502493</v>
      </c>
      <c r="U382" s="6"/>
      <c r="V382" s="33" t="s">
        <v>35</v>
      </c>
    </row>
    <row r="383" spans="2:22" ht="22.95" customHeight="1" outlineLevel="5" x14ac:dyDescent="0.2">
      <c r="B383" s="83" t="s">
        <v>1317</v>
      </c>
      <c r="C383" s="83"/>
      <c r="D383" s="83"/>
      <c r="L383">
        <v>0</v>
      </c>
    </row>
    <row r="384" spans="2:22" ht="21" customHeight="1" outlineLevel="6" x14ac:dyDescent="0.2">
      <c r="B384" s="5">
        <v>338</v>
      </c>
      <c r="C384" s="6" t="s">
        <v>1318</v>
      </c>
      <c r="D384" s="6" t="s">
        <v>1319</v>
      </c>
      <c r="E384" s="7" t="s">
        <v>1320</v>
      </c>
      <c r="F384" s="13"/>
      <c r="G384" s="14"/>
      <c r="H384" s="15">
        <v>576</v>
      </c>
      <c r="I384" s="15">
        <v>12</v>
      </c>
      <c r="J384" s="14" t="s">
        <v>144</v>
      </c>
      <c r="K384" s="5">
        <v>36</v>
      </c>
      <c r="L384" s="16">
        <v>14.653333333333334</v>
      </c>
      <c r="M384" s="12"/>
      <c r="N384" s="14">
        <f t="shared" ref="N384:N405" si="19">L384*M384</f>
        <v>0</v>
      </c>
      <c r="O384" s="23">
        <f>0.042*M384</f>
        <v>0</v>
      </c>
      <c r="P384" s="24">
        <f>0.00006*M384</f>
        <v>0</v>
      </c>
      <c r="Q384" s="25"/>
      <c r="R384" s="26" t="s">
        <v>1321</v>
      </c>
      <c r="S384" s="26" t="s">
        <v>93</v>
      </c>
      <c r="T384" s="6" t="str">
        <f>HYPERLINK("https://kanzpp.ru/api/getInfo/image/fc497e81-6893-11e8-84c9-5cf3fc4a2490")</f>
        <v>https://kanzpp.ru/api/getInfo/image/fc497e81-6893-11e8-84c9-5cf3fc4a2490</v>
      </c>
      <c r="U384" s="6"/>
      <c r="V384" s="33" t="s">
        <v>35</v>
      </c>
    </row>
    <row r="385" spans="2:22" ht="21" customHeight="1" outlineLevel="6" x14ac:dyDescent="0.2">
      <c r="B385" s="5">
        <v>339</v>
      </c>
      <c r="C385" s="6" t="s">
        <v>1322</v>
      </c>
      <c r="D385" s="6" t="s">
        <v>1323</v>
      </c>
      <c r="E385" s="7" t="s">
        <v>1324</v>
      </c>
      <c r="F385" s="13"/>
      <c r="G385" s="14"/>
      <c r="H385" s="15">
        <v>864</v>
      </c>
      <c r="I385" s="15">
        <v>12</v>
      </c>
      <c r="J385" s="17">
        <v>1459</v>
      </c>
      <c r="K385" s="5">
        <v>36</v>
      </c>
      <c r="L385" s="16">
        <v>14.506666666666668</v>
      </c>
      <c r="M385" s="12"/>
      <c r="N385" s="14">
        <f t="shared" si="19"/>
        <v>0</v>
      </c>
      <c r="O385" s="23">
        <f>0.029*M385</f>
        <v>0</v>
      </c>
      <c r="P385" s="24">
        <f>0.00004*M385</f>
        <v>0</v>
      </c>
      <c r="Q385" s="25"/>
      <c r="R385" s="26" t="s">
        <v>1325</v>
      </c>
      <c r="S385" s="26" t="s">
        <v>93</v>
      </c>
      <c r="T385" s="6" t="str">
        <f>HYPERLINK("https://kanzpp.ru/api/getInfo/image/e59c1a5e-a82f-11e7-b8ef-5cf3fc4a2490")</f>
        <v>https://kanzpp.ru/api/getInfo/image/e59c1a5e-a82f-11e7-b8ef-5cf3fc4a2490</v>
      </c>
      <c r="U385" s="6"/>
      <c r="V385" s="33" t="s">
        <v>35</v>
      </c>
    </row>
    <row r="386" spans="2:22" ht="21" customHeight="1" outlineLevel="6" x14ac:dyDescent="0.2">
      <c r="B386" s="36">
        <v>340</v>
      </c>
      <c r="C386" s="37" t="s">
        <v>1326</v>
      </c>
      <c r="D386" s="37" t="s">
        <v>1327</v>
      </c>
      <c r="E386" s="38" t="s">
        <v>1328</v>
      </c>
      <c r="F386" s="39"/>
      <c r="G386" s="40"/>
      <c r="H386" s="41">
        <v>864</v>
      </c>
      <c r="I386" s="41">
        <v>12</v>
      </c>
      <c r="J386" s="41">
        <v>529</v>
      </c>
      <c r="K386" s="36">
        <v>36</v>
      </c>
      <c r="L386" s="42" t="e">
        <f>(IF(#REF!,17.09*(1-#REF!/100),17.09*(1-O3/100)))/0.75</f>
        <v>#REF!</v>
      </c>
      <c r="M386" s="12"/>
      <c r="N386" s="40" t="e">
        <f t="shared" si="19"/>
        <v>#REF!</v>
      </c>
      <c r="O386" s="43">
        <f>0.029*M386</f>
        <v>0</v>
      </c>
      <c r="P386" s="47">
        <f>0.00004*M386</f>
        <v>0</v>
      </c>
      <c r="Q386" s="44"/>
      <c r="R386" s="45" t="s">
        <v>1329</v>
      </c>
      <c r="S386" s="45" t="s">
        <v>93</v>
      </c>
      <c r="T386" s="37" t="str">
        <f>HYPERLINK("https://kanzpp.ru/api/getInfo/image/a5fb1e82-a82f-11e7-b8ef-5cf3fc4a2490")</f>
        <v>https://kanzpp.ru/api/getInfo/image/a5fb1e82-a82f-11e7-b8ef-5cf3fc4a2490</v>
      </c>
      <c r="U386" s="37"/>
    </row>
    <row r="387" spans="2:22" ht="21" customHeight="1" outlineLevel="6" x14ac:dyDescent="0.2">
      <c r="B387" s="5">
        <v>341</v>
      </c>
      <c r="C387" s="6" t="s">
        <v>1330</v>
      </c>
      <c r="D387" s="6" t="s">
        <v>1331</v>
      </c>
      <c r="E387" s="7" t="s">
        <v>1332</v>
      </c>
      <c r="F387" s="13"/>
      <c r="G387" s="14"/>
      <c r="H387" s="15">
        <v>864</v>
      </c>
      <c r="I387" s="15">
        <v>12</v>
      </c>
      <c r="J387" s="17">
        <v>3841</v>
      </c>
      <c r="K387" s="5">
        <v>36</v>
      </c>
      <c r="L387" s="16">
        <v>14.506666666666668</v>
      </c>
      <c r="M387" s="12"/>
      <c r="N387" s="14">
        <f t="shared" si="19"/>
        <v>0</v>
      </c>
      <c r="O387" s="23">
        <f>0.029*M387</f>
        <v>0</v>
      </c>
      <c r="P387" s="24">
        <f>0.00004*M387</f>
        <v>0</v>
      </c>
      <c r="Q387" s="25"/>
      <c r="R387" s="26" t="s">
        <v>1333</v>
      </c>
      <c r="S387" s="26" t="s">
        <v>93</v>
      </c>
      <c r="T387" s="6" t="str">
        <f>HYPERLINK("https://kanzpp.ru/api/getInfo/image/fc55c469-a82f-11e7-b8ef-5cf3fc4a2490")</f>
        <v>https://kanzpp.ru/api/getInfo/image/fc55c469-a82f-11e7-b8ef-5cf3fc4a2490</v>
      </c>
      <c r="U387" s="6"/>
      <c r="V387" s="33" t="s">
        <v>35</v>
      </c>
    </row>
    <row r="388" spans="2:22" ht="21" customHeight="1" outlineLevel="6" x14ac:dyDescent="0.2">
      <c r="B388" s="5">
        <v>342</v>
      </c>
      <c r="C388" s="6" t="s">
        <v>1334</v>
      </c>
      <c r="D388" s="6" t="s">
        <v>1335</v>
      </c>
      <c r="E388" s="7" t="s">
        <v>1336</v>
      </c>
      <c r="F388" s="13"/>
      <c r="G388" s="14"/>
      <c r="H388" s="15">
        <v>384</v>
      </c>
      <c r="I388" s="15">
        <v>12</v>
      </c>
      <c r="J388" s="17">
        <v>6800</v>
      </c>
      <c r="K388" s="5">
        <v>36</v>
      </c>
      <c r="L388" s="16">
        <v>20.013333333333332</v>
      </c>
      <c r="M388" s="12"/>
      <c r="N388" s="14">
        <f t="shared" si="19"/>
        <v>0</v>
      </c>
      <c r="O388" s="23">
        <f>0.043*M388</f>
        <v>0</v>
      </c>
      <c r="P388" s="24">
        <f>0.00006*M388</f>
        <v>0</v>
      </c>
      <c r="Q388" s="25"/>
      <c r="R388" s="26" t="s">
        <v>1337</v>
      </c>
      <c r="S388" s="26" t="s">
        <v>93</v>
      </c>
      <c r="T388" s="6" t="str">
        <f>HYPERLINK("https://kanzpp.ru/api/getInfo/image/427b66e1-a830-11e7-b8ef-5cf3fc4a2490")</f>
        <v>https://kanzpp.ru/api/getInfo/image/427b66e1-a830-11e7-b8ef-5cf3fc4a2490</v>
      </c>
      <c r="U388" s="6"/>
      <c r="V388" s="33" t="s">
        <v>35</v>
      </c>
    </row>
    <row r="389" spans="2:22" ht="21" customHeight="1" outlineLevel="6" x14ac:dyDescent="0.2">
      <c r="B389" s="5">
        <v>343</v>
      </c>
      <c r="C389" s="6" t="s">
        <v>1338</v>
      </c>
      <c r="D389" s="6" t="s">
        <v>1339</v>
      </c>
      <c r="E389" s="7" t="s">
        <v>1340</v>
      </c>
      <c r="F389" s="13"/>
      <c r="G389" s="14"/>
      <c r="H389" s="15">
        <v>384</v>
      </c>
      <c r="I389" s="15">
        <v>12</v>
      </c>
      <c r="J389" s="14" t="s">
        <v>144</v>
      </c>
      <c r="K389" s="5">
        <v>36</v>
      </c>
      <c r="L389" s="16">
        <v>20.013333333333332</v>
      </c>
      <c r="M389" s="12"/>
      <c r="N389" s="14">
        <f t="shared" si="19"/>
        <v>0</v>
      </c>
      <c r="O389" s="23">
        <f>0.043*M389</f>
        <v>0</v>
      </c>
      <c r="P389" s="24">
        <f>0.00006*M389</f>
        <v>0</v>
      </c>
      <c r="Q389" s="25"/>
      <c r="R389" s="26" t="s">
        <v>1341</v>
      </c>
      <c r="S389" s="26" t="s">
        <v>93</v>
      </c>
      <c r="T389" s="6" t="str">
        <f>HYPERLINK("https://kanzpp.ru/api/getInfo/image/3067ee4a-a830-11e7-b8ef-5cf3fc4a2490")</f>
        <v>https://kanzpp.ru/api/getInfo/image/3067ee4a-a830-11e7-b8ef-5cf3fc4a2490</v>
      </c>
      <c r="U389" s="6"/>
      <c r="V389" s="33" t="s">
        <v>35</v>
      </c>
    </row>
    <row r="390" spans="2:22" ht="21" customHeight="1" outlineLevel="6" x14ac:dyDescent="0.2">
      <c r="B390" s="5">
        <v>344</v>
      </c>
      <c r="C390" s="6" t="s">
        <v>1342</v>
      </c>
      <c r="D390" s="6" t="s">
        <v>1343</v>
      </c>
      <c r="E390" s="7" t="s">
        <v>1344</v>
      </c>
      <c r="F390" s="13"/>
      <c r="G390" s="14"/>
      <c r="H390" s="15">
        <v>384</v>
      </c>
      <c r="I390" s="15">
        <v>12</v>
      </c>
      <c r="J390" s="17">
        <v>1158</v>
      </c>
      <c r="K390" s="5">
        <v>36</v>
      </c>
      <c r="L390" s="16">
        <v>20.013333333333332</v>
      </c>
      <c r="M390" s="12"/>
      <c r="N390" s="14">
        <f t="shared" si="19"/>
        <v>0</v>
      </c>
      <c r="O390" s="23">
        <f>0.043*M390</f>
        <v>0</v>
      </c>
      <c r="P390" s="24">
        <f>0.00006*M390</f>
        <v>0</v>
      </c>
      <c r="Q390" s="25"/>
      <c r="R390" s="26" t="s">
        <v>1345</v>
      </c>
      <c r="S390" s="26" t="s">
        <v>93</v>
      </c>
      <c r="T390" s="6" t="str">
        <f>HYPERLINK("https://kanzpp.ru/api/getInfo/image/53a0d595-a830-11e7-b8ef-5cf3fc4a2490")</f>
        <v>https://kanzpp.ru/api/getInfo/image/53a0d595-a830-11e7-b8ef-5cf3fc4a2490</v>
      </c>
      <c r="U390" s="6"/>
      <c r="V390" s="33" t="s">
        <v>35</v>
      </c>
    </row>
    <row r="391" spans="2:22" ht="21" customHeight="1" outlineLevel="6" x14ac:dyDescent="0.2">
      <c r="B391" s="36">
        <v>345</v>
      </c>
      <c r="C391" s="37" t="s">
        <v>1346</v>
      </c>
      <c r="D391" s="37" t="s">
        <v>1347</v>
      </c>
      <c r="E391" s="38" t="s">
        <v>1348</v>
      </c>
      <c r="F391" s="39"/>
      <c r="G391" s="40"/>
      <c r="H391" s="41">
        <v>576</v>
      </c>
      <c r="I391" s="41">
        <v>12</v>
      </c>
      <c r="J391" s="41">
        <v>360</v>
      </c>
      <c r="K391" s="36">
        <v>24</v>
      </c>
      <c r="L391" s="42" t="e">
        <f>(IF(#REF!,22.91*(1-#REF!/100),22.91*(1-O3/100)))/0.75</f>
        <v>#REF!</v>
      </c>
      <c r="M391" s="12"/>
      <c r="N391" s="40" t="e">
        <f t="shared" si="19"/>
        <v>#REF!</v>
      </c>
      <c r="O391" s="43">
        <f>0.043*M391</f>
        <v>0</v>
      </c>
      <c r="P391" s="47">
        <f>0.00006*M391</f>
        <v>0</v>
      </c>
      <c r="Q391" s="44"/>
      <c r="R391" s="45" t="s">
        <v>1349</v>
      </c>
      <c r="S391" s="45" t="s">
        <v>93</v>
      </c>
      <c r="T391" s="37" t="str">
        <f>HYPERLINK("https://kanzpp.ru/api/getInfo/image/7e3700f9-a830-11e7-b8ef-5cf3fc4a2490")</f>
        <v>https://kanzpp.ru/api/getInfo/image/7e3700f9-a830-11e7-b8ef-5cf3fc4a2490</v>
      </c>
      <c r="U391" s="37"/>
    </row>
    <row r="392" spans="2:22" ht="21" customHeight="1" outlineLevel="6" x14ac:dyDescent="0.2">
      <c r="B392" s="36">
        <v>346</v>
      </c>
      <c r="C392" s="37" t="s">
        <v>1350</v>
      </c>
      <c r="D392" s="37" t="s">
        <v>1351</v>
      </c>
      <c r="E392" s="38" t="s">
        <v>1352</v>
      </c>
      <c r="F392" s="39"/>
      <c r="G392" s="40"/>
      <c r="H392" s="41">
        <v>576</v>
      </c>
      <c r="I392" s="41">
        <v>12</v>
      </c>
      <c r="J392" s="40" t="s">
        <v>144</v>
      </c>
      <c r="K392" s="36">
        <v>24</v>
      </c>
      <c r="L392" s="42" t="e">
        <f>(IF(#REF!,19.65*(1-#REF!/100),19.65*(1-O3/100)))/0.75</f>
        <v>#REF!</v>
      </c>
      <c r="M392" s="12"/>
      <c r="N392" s="40" t="e">
        <f t="shared" si="19"/>
        <v>#REF!</v>
      </c>
      <c r="O392" s="43">
        <f>0.042*M392</f>
        <v>0</v>
      </c>
      <c r="P392" s="47">
        <f>0.00006*M392</f>
        <v>0</v>
      </c>
      <c r="Q392" s="44"/>
      <c r="R392" s="45" t="s">
        <v>1353</v>
      </c>
      <c r="S392" s="45" t="s">
        <v>93</v>
      </c>
      <c r="T392" s="37" t="str">
        <f>HYPERLINK("https://kanzpp.ru/api/getInfo/image/66f9c0e0-689a-11e8-84c9-5cf3fc4a2490")</f>
        <v>https://kanzpp.ru/api/getInfo/image/66f9c0e0-689a-11e8-84c9-5cf3fc4a2490</v>
      </c>
      <c r="U392" s="37"/>
    </row>
    <row r="393" spans="2:22" ht="21" customHeight="1" outlineLevel="6" x14ac:dyDescent="0.2">
      <c r="B393" s="5">
        <v>347</v>
      </c>
      <c r="C393" s="6" t="s">
        <v>1354</v>
      </c>
      <c r="D393" s="6" t="s">
        <v>1355</v>
      </c>
      <c r="E393" s="7" t="s">
        <v>1356</v>
      </c>
      <c r="F393" s="13"/>
      <c r="G393" s="14"/>
      <c r="H393" s="15">
        <v>432</v>
      </c>
      <c r="I393" s="15">
        <v>12</v>
      </c>
      <c r="J393" s="14" t="s">
        <v>144</v>
      </c>
      <c r="K393" s="5">
        <v>12</v>
      </c>
      <c r="L393" s="16">
        <v>34.653333333333329</v>
      </c>
      <c r="M393" s="12"/>
      <c r="N393" s="14">
        <f t="shared" si="19"/>
        <v>0</v>
      </c>
      <c r="O393" s="23">
        <f t="shared" ref="O393:O399" si="20">0.028*M393</f>
        <v>0</v>
      </c>
      <c r="P393" s="24">
        <f t="shared" ref="P393:P399" si="21">0.00004*M393</f>
        <v>0</v>
      </c>
      <c r="Q393" s="25"/>
      <c r="R393" s="26" t="s">
        <v>1357</v>
      </c>
      <c r="S393" s="26" t="s">
        <v>93</v>
      </c>
      <c r="T393" s="6" t="str">
        <f>HYPERLINK("https://kanzpp.ru/api/getInfo/image/3d947620-3c29-11ea-a240-ac1f6b442184")</f>
        <v>https://kanzpp.ru/api/getInfo/image/3d947620-3c29-11ea-a240-ac1f6b442184</v>
      </c>
      <c r="U393" s="6"/>
      <c r="V393" s="33" t="s">
        <v>35</v>
      </c>
    </row>
    <row r="394" spans="2:22" ht="21" customHeight="1" outlineLevel="6" x14ac:dyDescent="0.2">
      <c r="B394" s="5">
        <v>348</v>
      </c>
      <c r="C394" s="6" t="s">
        <v>1358</v>
      </c>
      <c r="D394" s="6" t="s">
        <v>1359</v>
      </c>
      <c r="E394" s="7" t="s">
        <v>1360</v>
      </c>
      <c r="F394" s="13"/>
      <c r="G394" s="14"/>
      <c r="H394" s="15">
        <v>432</v>
      </c>
      <c r="I394" s="15">
        <v>12</v>
      </c>
      <c r="J394" s="14" t="s">
        <v>144</v>
      </c>
      <c r="K394" s="5">
        <v>12</v>
      </c>
      <c r="L394" s="16">
        <v>34.653333333333329</v>
      </c>
      <c r="M394" s="12"/>
      <c r="N394" s="14">
        <f t="shared" si="19"/>
        <v>0</v>
      </c>
      <c r="O394" s="23">
        <f t="shared" si="20"/>
        <v>0</v>
      </c>
      <c r="P394" s="24">
        <f t="shared" si="21"/>
        <v>0</v>
      </c>
      <c r="Q394" s="25"/>
      <c r="R394" s="26" t="s">
        <v>1361</v>
      </c>
      <c r="S394" s="26" t="s">
        <v>93</v>
      </c>
      <c r="T394" s="6" t="str">
        <f>HYPERLINK("https://kanzpp.ru/api/getInfo/image/620fd034-3c2a-11ea-a240-ac1f6b442184")</f>
        <v>https://kanzpp.ru/api/getInfo/image/620fd034-3c2a-11ea-a240-ac1f6b442184</v>
      </c>
      <c r="U394" s="6"/>
      <c r="V394" s="33" t="s">
        <v>35</v>
      </c>
    </row>
    <row r="395" spans="2:22" ht="21" customHeight="1" outlineLevel="6" x14ac:dyDescent="0.2">
      <c r="B395" s="5">
        <v>349</v>
      </c>
      <c r="C395" s="6" t="s">
        <v>1362</v>
      </c>
      <c r="D395" s="6" t="s">
        <v>1363</v>
      </c>
      <c r="E395" s="7" t="s">
        <v>1364</v>
      </c>
      <c r="F395" s="13"/>
      <c r="G395" s="14"/>
      <c r="H395" s="15">
        <v>600</v>
      </c>
      <c r="I395" s="15">
        <v>12</v>
      </c>
      <c r="J395" s="15">
        <v>791</v>
      </c>
      <c r="K395" s="5">
        <v>36</v>
      </c>
      <c r="L395" s="16">
        <v>13.32</v>
      </c>
      <c r="M395" s="12"/>
      <c r="N395" s="14">
        <f t="shared" si="19"/>
        <v>0</v>
      </c>
      <c r="O395" s="23">
        <f t="shared" si="20"/>
        <v>0</v>
      </c>
      <c r="P395" s="24">
        <f t="shared" si="21"/>
        <v>0</v>
      </c>
      <c r="Q395" s="25"/>
      <c r="R395" s="26" t="s">
        <v>1365</v>
      </c>
      <c r="S395" s="26" t="s">
        <v>93</v>
      </c>
      <c r="T395" s="6" t="str">
        <f>HYPERLINK("https://kanzpp.ru/api/getInfo/image/e9421d4e-3c2b-11ea-a240-ac1f6b442184")</f>
        <v>https://kanzpp.ru/api/getInfo/image/e9421d4e-3c2b-11ea-a240-ac1f6b442184</v>
      </c>
      <c r="U395" s="6"/>
      <c r="V395" s="33" t="s">
        <v>35</v>
      </c>
    </row>
    <row r="396" spans="2:22" ht="21" customHeight="1" outlineLevel="6" x14ac:dyDescent="0.2">
      <c r="B396" s="5">
        <v>350</v>
      </c>
      <c r="C396" s="6" t="s">
        <v>1366</v>
      </c>
      <c r="D396" s="6" t="s">
        <v>1367</v>
      </c>
      <c r="E396" s="7" t="s">
        <v>1368</v>
      </c>
      <c r="F396" s="13"/>
      <c r="G396" s="14"/>
      <c r="H396" s="15">
        <v>600</v>
      </c>
      <c r="I396" s="15">
        <v>12</v>
      </c>
      <c r="J396" s="17">
        <v>3692</v>
      </c>
      <c r="K396" s="5">
        <v>48</v>
      </c>
      <c r="L396" s="16">
        <v>15.133333333333333</v>
      </c>
      <c r="M396" s="12"/>
      <c r="N396" s="14">
        <f t="shared" si="19"/>
        <v>0</v>
      </c>
      <c r="O396" s="23">
        <f t="shared" si="20"/>
        <v>0</v>
      </c>
      <c r="P396" s="24">
        <f t="shared" si="21"/>
        <v>0</v>
      </c>
      <c r="Q396" s="25"/>
      <c r="R396" s="26" t="s">
        <v>1369</v>
      </c>
      <c r="S396" s="26" t="s">
        <v>93</v>
      </c>
      <c r="T396" s="6" t="str">
        <f>HYPERLINK("https://kanzpp.ru/api/getInfo/image/43dbe5b0-3c26-11ea-a240-ac1f6b442184")</f>
        <v>https://kanzpp.ru/api/getInfo/image/43dbe5b0-3c26-11ea-a240-ac1f6b442184</v>
      </c>
      <c r="U396" s="6"/>
      <c r="V396" s="33" t="s">
        <v>35</v>
      </c>
    </row>
    <row r="397" spans="2:22" ht="21" customHeight="1" outlineLevel="6" x14ac:dyDescent="0.2">
      <c r="B397" s="5">
        <v>351</v>
      </c>
      <c r="C397" s="6" t="s">
        <v>1370</v>
      </c>
      <c r="D397" s="6" t="s">
        <v>1371</v>
      </c>
      <c r="E397" s="7" t="s">
        <v>1372</v>
      </c>
      <c r="F397" s="13"/>
      <c r="G397" s="14"/>
      <c r="H397" s="15">
        <v>600</v>
      </c>
      <c r="I397" s="15">
        <v>12</v>
      </c>
      <c r="J397" s="17">
        <v>1194</v>
      </c>
      <c r="K397" s="5">
        <v>48</v>
      </c>
      <c r="L397" s="16">
        <v>15.133333333333333</v>
      </c>
      <c r="M397" s="12"/>
      <c r="N397" s="14">
        <f t="shared" si="19"/>
        <v>0</v>
      </c>
      <c r="O397" s="23">
        <f t="shared" si="20"/>
        <v>0</v>
      </c>
      <c r="P397" s="24">
        <f t="shared" si="21"/>
        <v>0</v>
      </c>
      <c r="Q397" s="25"/>
      <c r="R397" s="26" t="s">
        <v>1373</v>
      </c>
      <c r="S397" s="26" t="s">
        <v>93</v>
      </c>
      <c r="T397" s="6" t="str">
        <f>HYPERLINK("https://kanzpp.ru/api/getInfo/image/a12efe60-3c25-11ea-a240-ac1f6b442184")</f>
        <v>https://kanzpp.ru/api/getInfo/image/a12efe60-3c25-11ea-a240-ac1f6b442184</v>
      </c>
      <c r="U397" s="6"/>
      <c r="V397" s="33" t="s">
        <v>35</v>
      </c>
    </row>
    <row r="398" spans="2:22" ht="21" customHeight="1" outlineLevel="6" x14ac:dyDescent="0.2">
      <c r="B398" s="5">
        <v>352</v>
      </c>
      <c r="C398" s="6" t="s">
        <v>1374</v>
      </c>
      <c r="D398" s="6" t="s">
        <v>1375</v>
      </c>
      <c r="E398" s="7" t="s">
        <v>1376</v>
      </c>
      <c r="F398" s="13"/>
      <c r="G398" s="14"/>
      <c r="H398" s="15">
        <v>600</v>
      </c>
      <c r="I398" s="15">
        <v>12</v>
      </c>
      <c r="J398" s="17">
        <v>2178</v>
      </c>
      <c r="K398" s="5">
        <v>48</v>
      </c>
      <c r="L398" s="16">
        <v>15.133333333333333</v>
      </c>
      <c r="M398" s="12"/>
      <c r="N398" s="14">
        <f t="shared" si="19"/>
        <v>0</v>
      </c>
      <c r="O398" s="23">
        <f t="shared" si="20"/>
        <v>0</v>
      </c>
      <c r="P398" s="24">
        <f t="shared" si="21"/>
        <v>0</v>
      </c>
      <c r="Q398" s="25"/>
      <c r="R398" s="26" t="s">
        <v>1377</v>
      </c>
      <c r="S398" s="26" t="s">
        <v>93</v>
      </c>
      <c r="T398" s="6" t="str">
        <f>HYPERLINK("https://kanzpp.ru/api/getInfo/image/e4daa70f-3c25-11ea-a240-ac1f6b442184")</f>
        <v>https://kanzpp.ru/api/getInfo/image/e4daa70f-3c25-11ea-a240-ac1f6b442184</v>
      </c>
      <c r="U398" s="6"/>
      <c r="V398" s="33" t="s">
        <v>35</v>
      </c>
    </row>
    <row r="399" spans="2:22" ht="21" customHeight="1" outlineLevel="6" x14ac:dyDescent="0.2">
      <c r="B399" s="5">
        <v>353</v>
      </c>
      <c r="C399" s="6" t="s">
        <v>1378</v>
      </c>
      <c r="D399" s="6" t="s">
        <v>1379</v>
      </c>
      <c r="E399" s="7" t="s">
        <v>1380</v>
      </c>
      <c r="F399" s="13"/>
      <c r="G399" s="14"/>
      <c r="H399" s="15">
        <v>600</v>
      </c>
      <c r="I399" s="15">
        <v>12</v>
      </c>
      <c r="J399" s="17">
        <v>4050</v>
      </c>
      <c r="K399" s="5">
        <v>48</v>
      </c>
      <c r="L399" s="16">
        <v>15.133333333333333</v>
      </c>
      <c r="M399" s="12"/>
      <c r="N399" s="14">
        <f t="shared" si="19"/>
        <v>0</v>
      </c>
      <c r="O399" s="23">
        <f t="shared" si="20"/>
        <v>0</v>
      </c>
      <c r="P399" s="24">
        <f t="shared" si="21"/>
        <v>0</v>
      </c>
      <c r="Q399" s="25"/>
      <c r="R399" s="26" t="s">
        <v>1381</v>
      </c>
      <c r="S399" s="26" t="s">
        <v>93</v>
      </c>
      <c r="T399" s="6" t="str">
        <f>HYPERLINK("https://kanzpp.ru/api/getInfo/image/7eff88c3-3c26-11ea-a240-ac1f6b442184")</f>
        <v>https://kanzpp.ru/api/getInfo/image/7eff88c3-3c26-11ea-a240-ac1f6b442184</v>
      </c>
      <c r="U399" s="6"/>
      <c r="V399" s="33" t="s">
        <v>35</v>
      </c>
    </row>
    <row r="400" spans="2:22" ht="21" customHeight="1" outlineLevel="6" x14ac:dyDescent="0.2">
      <c r="B400" s="36">
        <v>354</v>
      </c>
      <c r="C400" s="37" t="s">
        <v>1382</v>
      </c>
      <c r="D400" s="37" t="s">
        <v>1383</v>
      </c>
      <c r="E400" s="38" t="s">
        <v>1384</v>
      </c>
      <c r="F400" s="39"/>
      <c r="G400" s="40"/>
      <c r="H400" s="41">
        <v>144</v>
      </c>
      <c r="I400" s="41">
        <v>4</v>
      </c>
      <c r="J400" s="40" t="s">
        <v>144</v>
      </c>
      <c r="K400" s="36">
        <v>8</v>
      </c>
      <c r="L400" s="42" t="e">
        <f>(IF(#REF!,81.51*(1-#REF!/100),81.51*(1-O3/100)))/0.75</f>
        <v>#REF!</v>
      </c>
      <c r="M400" s="12"/>
      <c r="N400" s="40" t="e">
        <f t="shared" si="19"/>
        <v>#REF!</v>
      </c>
      <c r="O400" s="43">
        <f>0.167*M400</f>
        <v>0</v>
      </c>
      <c r="P400" s="47">
        <f>0.00023*M400</f>
        <v>0</v>
      </c>
      <c r="Q400" s="44"/>
      <c r="R400" s="45" t="s">
        <v>1385</v>
      </c>
      <c r="S400" s="45" t="s">
        <v>93</v>
      </c>
      <c r="T400" s="37" t="str">
        <f>HYPERLINK("https://kanzpp.ru/api/getInfo/image/3aee5002-689b-11e8-84c9-5cf3fc4a2490")</f>
        <v>https://kanzpp.ru/api/getInfo/image/3aee5002-689b-11e8-84c9-5cf3fc4a2490</v>
      </c>
      <c r="U400" s="37"/>
    </row>
    <row r="401" spans="2:22" ht="21" customHeight="1" outlineLevel="6" x14ac:dyDescent="0.2">
      <c r="B401" s="36">
        <v>355</v>
      </c>
      <c r="C401" s="37" t="s">
        <v>1386</v>
      </c>
      <c r="D401" s="37" t="s">
        <v>1387</v>
      </c>
      <c r="E401" s="38" t="s">
        <v>1388</v>
      </c>
      <c r="F401" s="39"/>
      <c r="G401" s="40"/>
      <c r="H401" s="41">
        <v>144</v>
      </c>
      <c r="I401" s="41">
        <v>4</v>
      </c>
      <c r="J401" s="50">
        <v>4796</v>
      </c>
      <c r="K401" s="36">
        <v>8</v>
      </c>
      <c r="L401" s="42" t="e">
        <f>(IF(#REF!,97.67*(1-#REF!/100),97.67*(1-O3/100)))/0.75</f>
        <v>#REF!</v>
      </c>
      <c r="M401" s="12"/>
      <c r="N401" s="40" t="e">
        <f t="shared" si="19"/>
        <v>#REF!</v>
      </c>
      <c r="O401" s="43">
        <f>0.178*M401</f>
        <v>0</v>
      </c>
      <c r="P401" s="47">
        <f>0.00006*M401</f>
        <v>0</v>
      </c>
      <c r="Q401" s="44"/>
      <c r="R401" s="45" t="s">
        <v>1389</v>
      </c>
      <c r="S401" s="45" t="s">
        <v>93</v>
      </c>
      <c r="T401" s="37" t="str">
        <f>HYPERLINK("https://kanzpp.ru/api/getInfo/image/cfd79420-689a-11e8-84c9-5cf3fc4a2490")</f>
        <v>https://kanzpp.ru/api/getInfo/image/cfd79420-689a-11e8-84c9-5cf3fc4a2490</v>
      </c>
      <c r="U401" s="37"/>
    </row>
    <row r="402" spans="2:22" ht="21" customHeight="1" outlineLevel="6" x14ac:dyDescent="0.2">
      <c r="B402" s="5">
        <v>356</v>
      </c>
      <c r="C402" s="6" t="s">
        <v>1390</v>
      </c>
      <c r="D402" s="6" t="s">
        <v>1391</v>
      </c>
      <c r="E402" s="7" t="s">
        <v>1392</v>
      </c>
      <c r="F402" s="13"/>
      <c r="G402" s="14"/>
      <c r="H402" s="15">
        <v>576</v>
      </c>
      <c r="I402" s="15">
        <v>12</v>
      </c>
      <c r="J402" s="14" t="s">
        <v>144</v>
      </c>
      <c r="K402" s="5">
        <v>24</v>
      </c>
      <c r="L402" s="16">
        <v>20.013333333333332</v>
      </c>
      <c r="M402" s="12"/>
      <c r="N402" s="14">
        <f t="shared" si="19"/>
        <v>0</v>
      </c>
      <c r="O402" s="23">
        <f>0.042*M402</f>
        <v>0</v>
      </c>
      <c r="P402" s="24">
        <f>0.00006*M402</f>
        <v>0</v>
      </c>
      <c r="Q402" s="25"/>
      <c r="R402" s="26" t="s">
        <v>1393</v>
      </c>
      <c r="S402" s="26" t="s">
        <v>93</v>
      </c>
      <c r="T402" s="6" t="str">
        <f>HYPERLINK("https://kanzpp.ru/api/getInfo/image/81e4ab60-6893-11e8-84c9-5cf3fc4a2490")</f>
        <v>https://kanzpp.ru/api/getInfo/image/81e4ab60-6893-11e8-84c9-5cf3fc4a2490</v>
      </c>
      <c r="U402" s="6"/>
      <c r="V402" s="33" t="s">
        <v>35</v>
      </c>
    </row>
    <row r="403" spans="2:22" ht="21" customHeight="1" outlineLevel="6" x14ac:dyDescent="0.2">
      <c r="B403" s="36">
        <v>357</v>
      </c>
      <c r="C403" s="37" t="s">
        <v>1394</v>
      </c>
      <c r="D403" s="37" t="s">
        <v>1395</v>
      </c>
      <c r="E403" s="38" t="s">
        <v>1396</v>
      </c>
      <c r="F403" s="39"/>
      <c r="G403" s="40"/>
      <c r="H403" s="41">
        <v>576</v>
      </c>
      <c r="I403" s="41">
        <v>12</v>
      </c>
      <c r="J403" s="50">
        <v>8879</v>
      </c>
      <c r="K403" s="36">
        <v>24</v>
      </c>
      <c r="L403" s="42" t="e">
        <f>(IF(#REF!,21.86*(1-#REF!/100),21.86*(1-O3/100)))/0.75</f>
        <v>#REF!</v>
      </c>
      <c r="M403" s="12"/>
      <c r="N403" s="40" t="e">
        <f t="shared" si="19"/>
        <v>#REF!</v>
      </c>
      <c r="O403" s="43">
        <f>0.042*M403</f>
        <v>0</v>
      </c>
      <c r="P403" s="47">
        <f>0.00006*M403</f>
        <v>0</v>
      </c>
      <c r="Q403" s="44"/>
      <c r="R403" s="45" t="s">
        <v>1397</v>
      </c>
      <c r="S403" s="45" t="s">
        <v>93</v>
      </c>
      <c r="T403" s="37" t="str">
        <f>HYPERLINK("https://kanzpp.ru/api/getInfo/image/4123c3e0-6893-11e8-84c9-5cf3fc4a2490")</f>
        <v>https://kanzpp.ru/api/getInfo/image/4123c3e0-6893-11e8-84c9-5cf3fc4a2490</v>
      </c>
      <c r="U403" s="37"/>
    </row>
    <row r="404" spans="2:22" ht="21" customHeight="1" outlineLevel="6" x14ac:dyDescent="0.2">
      <c r="B404" s="5">
        <v>358</v>
      </c>
      <c r="C404" s="6" t="s">
        <v>1398</v>
      </c>
      <c r="D404" s="6" t="s">
        <v>1399</v>
      </c>
      <c r="E404" s="7" t="s">
        <v>1400</v>
      </c>
      <c r="F404" s="13"/>
      <c r="G404" s="14"/>
      <c r="H404" s="15">
        <v>600</v>
      </c>
      <c r="I404" s="15">
        <v>12</v>
      </c>
      <c r="J404" s="17">
        <v>1521</v>
      </c>
      <c r="K404" s="5">
        <v>12</v>
      </c>
      <c r="L404" s="16">
        <v>26.653333333333332</v>
      </c>
      <c r="M404" s="12"/>
      <c r="N404" s="14">
        <f t="shared" si="19"/>
        <v>0</v>
      </c>
      <c r="O404" s="23">
        <f>0.028*M404</f>
        <v>0</v>
      </c>
      <c r="P404" s="24">
        <f>0.00004*M404</f>
        <v>0</v>
      </c>
      <c r="Q404" s="25"/>
      <c r="R404" s="26" t="s">
        <v>1401</v>
      </c>
      <c r="S404" s="26" t="s">
        <v>93</v>
      </c>
      <c r="T404" s="6" t="str">
        <f>HYPERLINK("https://kanzpp.ru/api/getInfo/image/f64e3394-3c2a-11ea-a240-ac1f6b442184")</f>
        <v>https://kanzpp.ru/api/getInfo/image/f64e3394-3c2a-11ea-a240-ac1f6b442184</v>
      </c>
      <c r="U404" s="6"/>
      <c r="V404" s="33" t="s">
        <v>35</v>
      </c>
    </row>
    <row r="405" spans="2:22" ht="21" customHeight="1" outlineLevel="6" x14ac:dyDescent="0.2">
      <c r="B405" s="5">
        <v>359</v>
      </c>
      <c r="C405" s="6" t="s">
        <v>1402</v>
      </c>
      <c r="D405" s="6" t="s">
        <v>1403</v>
      </c>
      <c r="E405" s="7" t="s">
        <v>1404</v>
      </c>
      <c r="F405" s="13"/>
      <c r="G405" s="14"/>
      <c r="H405" s="15">
        <v>600</v>
      </c>
      <c r="I405" s="15">
        <v>12</v>
      </c>
      <c r="J405" s="17">
        <v>8399</v>
      </c>
      <c r="K405" s="5">
        <v>12</v>
      </c>
      <c r="L405" s="16">
        <v>21.32</v>
      </c>
      <c r="M405" s="12"/>
      <c r="N405" s="14">
        <f t="shared" si="19"/>
        <v>0</v>
      </c>
      <c r="O405" s="23">
        <f>0.028*M405</f>
        <v>0</v>
      </c>
      <c r="P405" s="24">
        <f>0.00004*M405</f>
        <v>0</v>
      </c>
      <c r="Q405" s="25"/>
      <c r="R405" s="26" t="s">
        <v>1405</v>
      </c>
      <c r="S405" s="26" t="s">
        <v>93</v>
      </c>
      <c r="T405" s="6" t="str">
        <f>HYPERLINK("https://kanzpp.ru/api/getInfo/image/a44fc103-3c2b-11ea-a240-ac1f6b442184")</f>
        <v>https://kanzpp.ru/api/getInfo/image/a44fc103-3c2b-11ea-a240-ac1f6b442184</v>
      </c>
      <c r="U405" s="6"/>
      <c r="V405" s="33" t="s">
        <v>35</v>
      </c>
    </row>
    <row r="406" spans="2:22" ht="22.95" customHeight="1" outlineLevel="4" x14ac:dyDescent="0.2">
      <c r="B406" s="82" t="s">
        <v>1406</v>
      </c>
      <c r="C406" s="82"/>
      <c r="D406" s="82"/>
      <c r="L406">
        <v>0</v>
      </c>
    </row>
    <row r="407" spans="2:22" ht="22.95" customHeight="1" outlineLevel="5" x14ac:dyDescent="0.2">
      <c r="B407" s="83" t="s">
        <v>1407</v>
      </c>
      <c r="C407" s="83"/>
      <c r="D407" s="83"/>
      <c r="L407">
        <v>0</v>
      </c>
    </row>
    <row r="408" spans="2:22" ht="21" customHeight="1" outlineLevel="6" x14ac:dyDescent="0.2">
      <c r="B408" s="5">
        <v>360</v>
      </c>
      <c r="C408" s="6" t="s">
        <v>1408</v>
      </c>
      <c r="D408" s="6" t="s">
        <v>1409</v>
      </c>
      <c r="E408" s="7" t="s">
        <v>1410</v>
      </c>
      <c r="F408" s="13"/>
      <c r="G408" s="14"/>
      <c r="H408" s="14"/>
      <c r="I408" s="14"/>
      <c r="J408" s="15">
        <v>19</v>
      </c>
      <c r="K408" s="5">
        <v>5</v>
      </c>
      <c r="L408" s="16">
        <v>26.533333333333331</v>
      </c>
      <c r="M408" s="12"/>
      <c r="N408" s="14">
        <f>L408*M408</f>
        <v>0</v>
      </c>
      <c r="O408" s="28">
        <f>0.08*M408</f>
        <v>0</v>
      </c>
      <c r="P408" s="24">
        <f>0.00019*M408</f>
        <v>0</v>
      </c>
      <c r="Q408" s="25"/>
      <c r="R408" s="26" t="s">
        <v>1411</v>
      </c>
      <c r="S408" s="26" t="s">
        <v>93</v>
      </c>
      <c r="T408" s="6" t="str">
        <f>HYPERLINK("https://kanzpp.ru/api/getInfo/image/e4c36380-35a1-11ed-a216-ac1f6b442185")</f>
        <v>https://kanzpp.ru/api/getInfo/image/e4c36380-35a1-11ed-a216-ac1f6b442185</v>
      </c>
      <c r="U408" s="6"/>
      <c r="V408" s="33" t="s">
        <v>35</v>
      </c>
    </row>
    <row r="409" spans="2:22" ht="21" customHeight="1" outlineLevel="6" x14ac:dyDescent="0.2">
      <c r="B409" s="2">
        <v>361</v>
      </c>
      <c r="C409" s="3" t="s">
        <v>1412</v>
      </c>
      <c r="D409" s="3" t="s">
        <v>1413</v>
      </c>
      <c r="E409" s="4" t="s">
        <v>1414</v>
      </c>
      <c r="F409" s="8"/>
      <c r="G409" s="9"/>
      <c r="H409" s="9"/>
      <c r="I409" s="9"/>
      <c r="J409" s="10">
        <v>60</v>
      </c>
      <c r="K409" s="2">
        <v>5</v>
      </c>
      <c r="L409" s="18">
        <v>35.373333333333335</v>
      </c>
      <c r="M409" s="12"/>
      <c r="N409" s="9">
        <f>L409*M409</f>
        <v>0</v>
      </c>
      <c r="O409" s="51">
        <f>0.1*M409</f>
        <v>0</v>
      </c>
      <c r="P409" s="30">
        <f>0.00003*M409</f>
        <v>0</v>
      </c>
      <c r="Q409" s="21"/>
      <c r="R409" s="22" t="s">
        <v>1415</v>
      </c>
      <c r="S409" s="22" t="s">
        <v>93</v>
      </c>
      <c r="T409" s="3" t="str">
        <f>HYPERLINK("https://kanzpp.ru/api/getInfo/image/b9b73c42-35a3-11ed-a216-ac1f6b442185")</f>
        <v>https://kanzpp.ru/api/getInfo/image/b9b73c42-35a3-11ed-a216-ac1f6b442185</v>
      </c>
      <c r="U409" s="3"/>
      <c r="V409" s="32" t="s">
        <v>30</v>
      </c>
    </row>
    <row r="410" spans="2:22" ht="22.95" customHeight="1" outlineLevel="5" x14ac:dyDescent="0.2">
      <c r="B410" s="83" t="s">
        <v>1416</v>
      </c>
      <c r="C410" s="83"/>
      <c r="D410" s="83"/>
      <c r="L410">
        <v>0</v>
      </c>
    </row>
    <row r="411" spans="2:22" ht="21" customHeight="1" outlineLevel="6" x14ac:dyDescent="0.2">
      <c r="B411" s="5">
        <v>362</v>
      </c>
      <c r="C411" s="6" t="s">
        <v>1417</v>
      </c>
      <c r="D411" s="6" t="s">
        <v>1418</v>
      </c>
      <c r="E411" s="7" t="s">
        <v>1419</v>
      </c>
      <c r="F411" s="13"/>
      <c r="G411" s="14"/>
      <c r="H411" s="17">
        <v>1600</v>
      </c>
      <c r="I411" s="15">
        <v>80</v>
      </c>
      <c r="J411" s="14" t="s">
        <v>144</v>
      </c>
      <c r="K411" s="5">
        <v>80</v>
      </c>
      <c r="L411" s="16">
        <v>26.533333333333331</v>
      </c>
      <c r="M411" s="12"/>
      <c r="N411" s="14">
        <f>L411*M411</f>
        <v>0</v>
      </c>
      <c r="O411" s="23">
        <f>0.011*M411</f>
        <v>0</v>
      </c>
      <c r="P411" s="24">
        <f>0.00003*M411</f>
        <v>0</v>
      </c>
      <c r="Q411" s="25"/>
      <c r="R411" s="26" t="s">
        <v>1420</v>
      </c>
      <c r="S411" s="26" t="s">
        <v>93</v>
      </c>
      <c r="T411" s="6" t="str">
        <f>HYPERLINK("https://kanzpp.ru/api/getInfo/image/ca31d9de-7544-11ec-a210-ac1f6b442185")</f>
        <v>https://kanzpp.ru/api/getInfo/image/ca31d9de-7544-11ec-a210-ac1f6b442185</v>
      </c>
      <c r="U411" s="6"/>
      <c r="V411" s="33" t="s">
        <v>35</v>
      </c>
    </row>
    <row r="412" spans="2:22" ht="22.95" customHeight="1" outlineLevel="4" x14ac:dyDescent="0.2">
      <c r="B412" s="82" t="s">
        <v>1421</v>
      </c>
      <c r="C412" s="82"/>
      <c r="D412" s="82"/>
      <c r="L412">
        <v>0</v>
      </c>
    </row>
    <row r="413" spans="2:22" ht="22.95" customHeight="1" outlineLevel="5" x14ac:dyDescent="0.2">
      <c r="B413" s="83" t="s">
        <v>1422</v>
      </c>
      <c r="C413" s="83"/>
      <c r="D413" s="83"/>
      <c r="L413">
        <v>0</v>
      </c>
    </row>
    <row r="414" spans="2:22" ht="21" customHeight="1" outlineLevel="6" x14ac:dyDescent="0.2">
      <c r="B414" s="5">
        <v>363</v>
      </c>
      <c r="C414" s="6" t="s">
        <v>1423</v>
      </c>
      <c r="D414" s="6" t="s">
        <v>1424</v>
      </c>
      <c r="E414" s="7" t="s">
        <v>1425</v>
      </c>
      <c r="F414" s="13"/>
      <c r="G414" s="14"/>
      <c r="H414" s="17">
        <v>1440</v>
      </c>
      <c r="I414" s="15">
        <v>24</v>
      </c>
      <c r="J414" s="14" t="s">
        <v>144</v>
      </c>
      <c r="K414" s="5">
        <v>48</v>
      </c>
      <c r="L414" s="16">
        <v>17.586666666666666</v>
      </c>
      <c r="M414" s="12"/>
      <c r="N414" s="14">
        <f>L414*M414</f>
        <v>0</v>
      </c>
      <c r="O414" s="23">
        <f>0.014*M414</f>
        <v>0</v>
      </c>
      <c r="P414" s="24">
        <f>0.00002*M414</f>
        <v>0</v>
      </c>
      <c r="Q414" s="25"/>
      <c r="R414" s="26" t="s">
        <v>1426</v>
      </c>
      <c r="S414" s="26" t="s">
        <v>93</v>
      </c>
      <c r="T414" s="6" t="str">
        <f>HYPERLINK("https://kanzpp.ru/api/getInfo/image/579b7ee1-6895-11e8-84c9-5cf3fc4a2490")</f>
        <v>https://kanzpp.ru/api/getInfo/image/579b7ee1-6895-11e8-84c9-5cf3fc4a2490</v>
      </c>
      <c r="U414" s="6"/>
      <c r="V414" s="33" t="s">
        <v>35</v>
      </c>
    </row>
    <row r="415" spans="2:22" ht="21" customHeight="1" outlineLevel="6" x14ac:dyDescent="0.2">
      <c r="B415" s="5">
        <v>364</v>
      </c>
      <c r="C415" s="6" t="s">
        <v>1427</v>
      </c>
      <c r="D415" s="6" t="s">
        <v>1428</v>
      </c>
      <c r="E415" s="7" t="s">
        <v>1429</v>
      </c>
      <c r="F415" s="13"/>
      <c r="G415" s="14"/>
      <c r="H415" s="17">
        <v>1440</v>
      </c>
      <c r="I415" s="15">
        <v>24</v>
      </c>
      <c r="J415" s="14" t="s">
        <v>144</v>
      </c>
      <c r="K415" s="5">
        <v>24</v>
      </c>
      <c r="L415" s="16">
        <v>13.32</v>
      </c>
      <c r="M415" s="12"/>
      <c r="N415" s="14">
        <f>L415*M415</f>
        <v>0</v>
      </c>
      <c r="O415" s="23">
        <f>0.014*M415</f>
        <v>0</v>
      </c>
      <c r="P415" s="24">
        <f>0.00004*M415</f>
        <v>0</v>
      </c>
      <c r="Q415" s="25"/>
      <c r="R415" s="26" t="s">
        <v>1430</v>
      </c>
      <c r="S415" s="26" t="s">
        <v>93</v>
      </c>
      <c r="T415" s="6" t="str">
        <f>HYPERLINK("https://kanzpp.ru/api/getInfo/image/a7b60401-6894-11e8-84c9-5cf3fc4a2490")</f>
        <v>https://kanzpp.ru/api/getInfo/image/a7b60401-6894-11e8-84c9-5cf3fc4a2490</v>
      </c>
      <c r="U415" s="6"/>
      <c r="V415" s="33" t="s">
        <v>35</v>
      </c>
    </row>
    <row r="416" spans="2:22" ht="21" customHeight="1" outlineLevel="6" x14ac:dyDescent="0.2">
      <c r="B416" s="5">
        <v>365</v>
      </c>
      <c r="C416" s="6" t="s">
        <v>1431</v>
      </c>
      <c r="D416" s="6" t="s">
        <v>1432</v>
      </c>
      <c r="E416" s="7" t="s">
        <v>1433</v>
      </c>
      <c r="F416" s="13"/>
      <c r="G416" s="14"/>
      <c r="H416" s="17">
        <v>1440</v>
      </c>
      <c r="I416" s="15">
        <v>24</v>
      </c>
      <c r="J416" s="14" t="s">
        <v>144</v>
      </c>
      <c r="K416" s="5">
        <v>48</v>
      </c>
      <c r="L416" s="16">
        <v>10.933333333333332</v>
      </c>
      <c r="M416" s="12"/>
      <c r="N416" s="14">
        <f>L416*M416</f>
        <v>0</v>
      </c>
      <c r="O416" s="23">
        <f>0.018*M416</f>
        <v>0</v>
      </c>
      <c r="P416" s="24">
        <f>0.00003*M416</f>
        <v>0</v>
      </c>
      <c r="Q416" s="25"/>
      <c r="R416" s="26" t="s">
        <v>1434</v>
      </c>
      <c r="S416" s="26" t="s">
        <v>93</v>
      </c>
      <c r="T416" s="6" t="str">
        <f>HYPERLINK("https://kanzpp.ru/api/getInfo/image/dd3b6e80-6894-11e8-84c9-5cf3fc4a2490")</f>
        <v>https://kanzpp.ru/api/getInfo/image/dd3b6e80-6894-11e8-84c9-5cf3fc4a2490</v>
      </c>
      <c r="U416" s="6"/>
      <c r="V416" s="33" t="s">
        <v>35</v>
      </c>
    </row>
    <row r="417" spans="2:22" ht="22.95" customHeight="1" outlineLevel="5" x14ac:dyDescent="0.2">
      <c r="B417" s="83" t="s">
        <v>1435</v>
      </c>
      <c r="C417" s="83"/>
      <c r="D417" s="83"/>
      <c r="L417">
        <v>0</v>
      </c>
    </row>
    <row r="418" spans="2:22" ht="21" customHeight="1" outlineLevel="6" x14ac:dyDescent="0.2">
      <c r="B418" s="5">
        <v>366</v>
      </c>
      <c r="C418" s="6" t="s">
        <v>1436</v>
      </c>
      <c r="D418" s="6" t="s">
        <v>1437</v>
      </c>
      <c r="E418" s="7" t="s">
        <v>1438</v>
      </c>
      <c r="F418" s="13"/>
      <c r="G418" s="14"/>
      <c r="H418" s="17">
        <v>1152</v>
      </c>
      <c r="I418" s="15">
        <v>72</v>
      </c>
      <c r="J418" s="14" t="s">
        <v>144</v>
      </c>
      <c r="K418" s="5">
        <v>72</v>
      </c>
      <c r="L418" s="16">
        <v>12.799999999999999</v>
      </c>
      <c r="M418" s="12"/>
      <c r="N418" s="14">
        <f t="shared" ref="N418:N423" si="22">L418*M418</f>
        <v>0</v>
      </c>
      <c r="O418" s="23">
        <f>0.006*M418</f>
        <v>0</v>
      </c>
      <c r="P418" s="24">
        <f>0.00002*M418</f>
        <v>0</v>
      </c>
      <c r="Q418" s="25"/>
      <c r="R418" s="26" t="s">
        <v>1439</v>
      </c>
      <c r="S418" s="26" t="s">
        <v>93</v>
      </c>
      <c r="T418" s="6" t="str">
        <f>HYPERLINK("https://kanzpp.ru/api/getInfo/image/16b0980f-9661-11e8-a208-ac1f6b442184")</f>
        <v>https://kanzpp.ru/api/getInfo/image/16b0980f-9661-11e8-a208-ac1f6b442184</v>
      </c>
      <c r="U418" s="6"/>
      <c r="V418" s="33" t="s">
        <v>35</v>
      </c>
    </row>
    <row r="419" spans="2:22" ht="21" customHeight="1" outlineLevel="6" x14ac:dyDescent="0.2">
      <c r="B419" s="5">
        <v>367</v>
      </c>
      <c r="C419" s="6" t="s">
        <v>1440</v>
      </c>
      <c r="D419" s="6" t="s">
        <v>1441</v>
      </c>
      <c r="E419" s="7" t="s">
        <v>1442</v>
      </c>
      <c r="F419" s="13"/>
      <c r="G419" s="14"/>
      <c r="H419" s="17">
        <v>1152</v>
      </c>
      <c r="I419" s="15">
        <v>72</v>
      </c>
      <c r="J419" s="14" t="s">
        <v>144</v>
      </c>
      <c r="K419" s="5">
        <v>72</v>
      </c>
      <c r="L419" s="16">
        <v>16.8</v>
      </c>
      <c r="M419" s="12"/>
      <c r="N419" s="14">
        <f t="shared" si="22"/>
        <v>0</v>
      </c>
      <c r="O419" s="28">
        <f>0.37*M419</f>
        <v>0</v>
      </c>
      <c r="P419" s="24">
        <f>0.00082*M419</f>
        <v>0</v>
      </c>
      <c r="Q419" s="25"/>
      <c r="R419" s="26" t="s">
        <v>1443</v>
      </c>
      <c r="S419" s="26" t="s">
        <v>93</v>
      </c>
      <c r="T419" s="6" t="str">
        <f>HYPERLINK("https://kanzpp.ru/api/getInfo/image/e5b893a8-a190-11ea-a248-ac1f6b442184")</f>
        <v>https://kanzpp.ru/api/getInfo/image/e5b893a8-a190-11ea-a248-ac1f6b442184</v>
      </c>
      <c r="U419" s="6"/>
      <c r="V419" s="33" t="s">
        <v>35</v>
      </c>
    </row>
    <row r="420" spans="2:22" ht="21" customHeight="1" outlineLevel="6" x14ac:dyDescent="0.2">
      <c r="B420" s="5">
        <v>368</v>
      </c>
      <c r="C420" s="6" t="s">
        <v>1444</v>
      </c>
      <c r="D420" s="6" t="s">
        <v>1445</v>
      </c>
      <c r="E420" s="7" t="s">
        <v>1446</v>
      </c>
      <c r="F420" s="13"/>
      <c r="G420" s="14"/>
      <c r="H420" s="17">
        <v>1152</v>
      </c>
      <c r="I420" s="15">
        <v>72</v>
      </c>
      <c r="J420" s="14" t="s">
        <v>144</v>
      </c>
      <c r="K420" s="5">
        <v>72</v>
      </c>
      <c r="L420" s="16">
        <v>23.24</v>
      </c>
      <c r="M420" s="12"/>
      <c r="N420" s="14">
        <f t="shared" si="22"/>
        <v>0</v>
      </c>
      <c r="O420" s="23">
        <f>0.007*M420</f>
        <v>0</v>
      </c>
      <c r="P420" s="24">
        <f>0.00001*M420</f>
        <v>0</v>
      </c>
      <c r="Q420" s="25"/>
      <c r="R420" s="26" t="s">
        <v>1447</v>
      </c>
      <c r="S420" s="26" t="s">
        <v>93</v>
      </c>
      <c r="T420" s="6" t="str">
        <f>HYPERLINK("https://kanzpp.ru/api/getInfo/image/303de77a-9660-11e8-a208-ac1f6b442184")</f>
        <v>https://kanzpp.ru/api/getInfo/image/303de77a-9660-11e8-a208-ac1f6b442184</v>
      </c>
      <c r="U420" s="6"/>
      <c r="V420" s="33" t="s">
        <v>35</v>
      </c>
    </row>
    <row r="421" spans="2:22" ht="21" customHeight="1" outlineLevel="6" x14ac:dyDescent="0.2">
      <c r="B421" s="36">
        <v>369</v>
      </c>
      <c r="C421" s="37" t="s">
        <v>1448</v>
      </c>
      <c r="D421" s="37" t="s">
        <v>1449</v>
      </c>
      <c r="E421" s="38" t="s">
        <v>1450</v>
      </c>
      <c r="F421" s="39"/>
      <c r="G421" s="40"/>
      <c r="H421" s="50">
        <v>1152</v>
      </c>
      <c r="I421" s="41">
        <v>72</v>
      </c>
      <c r="J421" s="40" t="s">
        <v>144</v>
      </c>
      <c r="K421" s="36">
        <v>72</v>
      </c>
      <c r="L421" s="42" t="e">
        <f>(IF(#REF!,14.07*(1-#REF!/100),14.07*(1-O3/100)))/0.75</f>
        <v>#REF!</v>
      </c>
      <c r="M421" s="12"/>
      <c r="N421" s="40" t="e">
        <f t="shared" si="22"/>
        <v>#REF!</v>
      </c>
      <c r="O421" s="43">
        <f>0.007*M421</f>
        <v>0</v>
      </c>
      <c r="P421" s="47">
        <f>0.00001*M421</f>
        <v>0</v>
      </c>
      <c r="Q421" s="44"/>
      <c r="R421" s="45" t="s">
        <v>1451</v>
      </c>
      <c r="S421" s="45" t="s">
        <v>93</v>
      </c>
      <c r="T421" s="37" t="str">
        <f>HYPERLINK("https://kanzpp.ru/api/getInfo/image/9c9c2389-9660-11e8-a208-ac1f6b442184")</f>
        <v>https://kanzpp.ru/api/getInfo/image/9c9c2389-9660-11e8-a208-ac1f6b442184</v>
      </c>
      <c r="U421" s="37"/>
    </row>
    <row r="422" spans="2:22" ht="21" customHeight="1" outlineLevel="6" x14ac:dyDescent="0.2">
      <c r="B422" s="36">
        <v>370</v>
      </c>
      <c r="C422" s="37" t="s">
        <v>1452</v>
      </c>
      <c r="D422" s="37" t="s">
        <v>1453</v>
      </c>
      <c r="E422" s="38" t="s">
        <v>1454</v>
      </c>
      <c r="F422" s="39"/>
      <c r="G422" s="40"/>
      <c r="H422" s="50">
        <v>1250</v>
      </c>
      <c r="I422" s="41">
        <v>50</v>
      </c>
      <c r="J422" s="40" t="s">
        <v>144</v>
      </c>
      <c r="K422" s="36">
        <v>50</v>
      </c>
      <c r="L422" s="42" t="e">
        <f>(IF(#REF!,31.28*(1-#REF!/100),31.28*(1-O3/100)))/0.75</f>
        <v>#REF!</v>
      </c>
      <c r="M422" s="12"/>
      <c r="N422" s="40" t="e">
        <f t="shared" si="22"/>
        <v>#REF!</v>
      </c>
      <c r="O422" s="48">
        <f>0.01*M422</f>
        <v>0</v>
      </c>
      <c r="P422" s="47">
        <f>0.00001*M422</f>
        <v>0</v>
      </c>
      <c r="Q422" s="44"/>
      <c r="R422" s="45" t="s">
        <v>1455</v>
      </c>
      <c r="S422" s="45" t="s">
        <v>93</v>
      </c>
      <c r="T422" s="37" t="str">
        <f>HYPERLINK("https://kanzpp.ru/api/getInfo/image/7e44c636-965e-11e8-a208-ac1f6b442184")</f>
        <v>https://kanzpp.ru/api/getInfo/image/7e44c636-965e-11e8-a208-ac1f6b442184</v>
      </c>
      <c r="U422" s="37"/>
    </row>
    <row r="423" spans="2:22" ht="21" customHeight="1" outlineLevel="6" x14ac:dyDescent="0.2">
      <c r="B423" s="36">
        <v>371</v>
      </c>
      <c r="C423" s="37" t="s">
        <v>1456</v>
      </c>
      <c r="D423" s="37" t="s">
        <v>1457</v>
      </c>
      <c r="E423" s="38" t="s">
        <v>1458</v>
      </c>
      <c r="F423" s="39"/>
      <c r="G423" s="40"/>
      <c r="H423" s="50">
        <v>1152</v>
      </c>
      <c r="I423" s="41">
        <v>72</v>
      </c>
      <c r="J423" s="40" t="s">
        <v>144</v>
      </c>
      <c r="K423" s="36">
        <v>72</v>
      </c>
      <c r="L423" s="42" t="e">
        <f>(IF(#REF!,18.72*(1-#REF!/100),18.72*(1-O3/100)))/0.75</f>
        <v>#REF!</v>
      </c>
      <c r="M423" s="12"/>
      <c r="N423" s="40" t="e">
        <f t="shared" si="22"/>
        <v>#REF!</v>
      </c>
      <c r="O423" s="43">
        <f>0.008*M423</f>
        <v>0</v>
      </c>
      <c r="P423" s="47">
        <f>0.00001*M423</f>
        <v>0</v>
      </c>
      <c r="Q423" s="44"/>
      <c r="R423" s="45" t="s">
        <v>1459</v>
      </c>
      <c r="S423" s="45" t="s">
        <v>93</v>
      </c>
      <c r="T423" s="37" t="str">
        <f>HYPERLINK("https://kanzpp.ru/api/getInfo/image/be0976e0-965f-11e8-a208-ac1f6b442184")</f>
        <v>https://kanzpp.ru/api/getInfo/image/be0976e0-965f-11e8-a208-ac1f6b442184</v>
      </c>
      <c r="U423" s="37"/>
    </row>
    <row r="424" spans="2:22" ht="22.95" customHeight="1" outlineLevel="3" x14ac:dyDescent="0.2">
      <c r="B424" s="81" t="s">
        <v>1460</v>
      </c>
      <c r="C424" s="81"/>
      <c r="D424" s="81"/>
      <c r="L424">
        <v>0</v>
      </c>
    </row>
    <row r="425" spans="2:22" ht="21" customHeight="1" outlineLevel="4" x14ac:dyDescent="0.2">
      <c r="B425" s="5">
        <v>372</v>
      </c>
      <c r="C425" s="6" t="s">
        <v>1461</v>
      </c>
      <c r="D425" s="6" t="s">
        <v>1462</v>
      </c>
      <c r="E425" s="7" t="s">
        <v>1463</v>
      </c>
      <c r="F425" s="13"/>
      <c r="G425" s="14"/>
      <c r="H425" s="15">
        <v>96</v>
      </c>
      <c r="I425" s="15">
        <v>12</v>
      </c>
      <c r="J425" s="14" t="s">
        <v>144</v>
      </c>
      <c r="K425" s="5">
        <v>4</v>
      </c>
      <c r="L425" s="16">
        <v>133.01333333333335</v>
      </c>
      <c r="M425" s="12"/>
      <c r="N425" s="14">
        <f t="shared" ref="N425:N440" si="23">L425*M425</f>
        <v>0</v>
      </c>
      <c r="O425" s="23">
        <f>0.143*M425</f>
        <v>0</v>
      </c>
      <c r="P425" s="24">
        <f>0.00041*M425</f>
        <v>0</v>
      </c>
      <c r="Q425" s="25"/>
      <c r="R425" s="26" t="s">
        <v>1464</v>
      </c>
      <c r="S425" s="26" t="s">
        <v>93</v>
      </c>
      <c r="T425" s="6" t="str">
        <f>HYPERLINK("https://kanzpp.ru/api/getInfo/image/e08e8dc7-4216-11ec-a20f-ac1f6b442185")</f>
        <v>https://kanzpp.ru/api/getInfo/image/e08e8dc7-4216-11ec-a20f-ac1f6b442185</v>
      </c>
      <c r="U425" s="6"/>
      <c r="V425" s="33" t="s">
        <v>35</v>
      </c>
    </row>
    <row r="426" spans="2:22" ht="21" customHeight="1" outlineLevel="4" x14ac:dyDescent="0.2">
      <c r="B426" s="5">
        <v>373</v>
      </c>
      <c r="C426" s="6" t="s">
        <v>1465</v>
      </c>
      <c r="D426" s="6" t="s">
        <v>1466</v>
      </c>
      <c r="E426" s="7" t="s">
        <v>1467</v>
      </c>
      <c r="F426" s="13"/>
      <c r="G426" s="14"/>
      <c r="H426" s="15">
        <v>72</v>
      </c>
      <c r="I426" s="15">
        <v>12</v>
      </c>
      <c r="J426" s="14" t="s">
        <v>144</v>
      </c>
      <c r="K426" s="5">
        <v>3</v>
      </c>
      <c r="L426" s="16">
        <v>185.79999999999998</v>
      </c>
      <c r="M426" s="12"/>
      <c r="N426" s="14">
        <f t="shared" si="23"/>
        <v>0</v>
      </c>
      <c r="O426" s="28">
        <f>0.22*M426</f>
        <v>0</v>
      </c>
      <c r="P426" s="24">
        <f>0.00058*M426</f>
        <v>0</v>
      </c>
      <c r="Q426" s="25"/>
      <c r="R426" s="26" t="s">
        <v>1468</v>
      </c>
      <c r="S426" s="26" t="s">
        <v>93</v>
      </c>
      <c r="T426" s="6" t="str">
        <f>HYPERLINK("https://kanzpp.ru/api/getInfo/image/43fc6728-4217-11ec-a20f-ac1f6b442185")</f>
        <v>https://kanzpp.ru/api/getInfo/image/43fc6728-4217-11ec-a20f-ac1f6b442185</v>
      </c>
      <c r="U426" s="6"/>
      <c r="V426" s="33" t="s">
        <v>35</v>
      </c>
    </row>
    <row r="427" spans="2:22" ht="21" customHeight="1" outlineLevel="4" x14ac:dyDescent="0.2">
      <c r="B427" s="5">
        <v>374</v>
      </c>
      <c r="C427" s="6" t="s">
        <v>1469</v>
      </c>
      <c r="D427" s="6" t="s">
        <v>1470</v>
      </c>
      <c r="E427" s="7" t="s">
        <v>1471</v>
      </c>
      <c r="F427" s="13"/>
      <c r="G427" s="14"/>
      <c r="H427" s="15">
        <v>96</v>
      </c>
      <c r="I427" s="15">
        <v>12</v>
      </c>
      <c r="J427" s="14" t="s">
        <v>144</v>
      </c>
      <c r="K427" s="5">
        <v>4</v>
      </c>
      <c r="L427" s="16">
        <v>133.01333333333335</v>
      </c>
      <c r="M427" s="12"/>
      <c r="N427" s="14">
        <f t="shared" si="23"/>
        <v>0</v>
      </c>
      <c r="O427" s="23">
        <f>0.139*M427</f>
        <v>0</v>
      </c>
      <c r="P427" s="24">
        <f>0.00036*M427</f>
        <v>0</v>
      </c>
      <c r="Q427" s="25"/>
      <c r="R427" s="26" t="s">
        <v>1472</v>
      </c>
      <c r="S427" s="26" t="s">
        <v>93</v>
      </c>
      <c r="T427" s="6" t="str">
        <f>HYPERLINK("https://kanzpp.ru/api/getInfo/image/99613fb7-4217-11ec-a20f-ac1f6b442185")</f>
        <v>https://kanzpp.ru/api/getInfo/image/99613fb7-4217-11ec-a20f-ac1f6b442185</v>
      </c>
      <c r="U427" s="6"/>
      <c r="V427" s="33" t="s">
        <v>35</v>
      </c>
    </row>
    <row r="428" spans="2:22" ht="21" customHeight="1" outlineLevel="4" x14ac:dyDescent="0.2">
      <c r="B428" s="5">
        <v>375</v>
      </c>
      <c r="C428" s="6" t="s">
        <v>1473</v>
      </c>
      <c r="D428" s="6" t="s">
        <v>1474</v>
      </c>
      <c r="E428" s="7" t="s">
        <v>1475</v>
      </c>
      <c r="F428" s="13"/>
      <c r="G428" s="14"/>
      <c r="H428" s="15">
        <v>72</v>
      </c>
      <c r="I428" s="15">
        <v>12</v>
      </c>
      <c r="J428" s="14" t="s">
        <v>144</v>
      </c>
      <c r="K428" s="5">
        <v>3</v>
      </c>
      <c r="L428" s="16">
        <v>185.79999999999998</v>
      </c>
      <c r="M428" s="12"/>
      <c r="N428" s="14">
        <f t="shared" si="23"/>
        <v>0</v>
      </c>
      <c r="O428" s="28">
        <f>0.22*M428</f>
        <v>0</v>
      </c>
      <c r="P428" s="24">
        <f>0.00057*M428</f>
        <v>0</v>
      </c>
      <c r="Q428" s="25"/>
      <c r="R428" s="26" t="s">
        <v>1476</v>
      </c>
      <c r="S428" s="26" t="s">
        <v>93</v>
      </c>
      <c r="T428" s="6" t="str">
        <f>HYPERLINK("https://kanzpp.ru/api/getInfo/image/274fbcd1-4219-11ec-a20f-ac1f6b442185")</f>
        <v>https://kanzpp.ru/api/getInfo/image/274fbcd1-4219-11ec-a20f-ac1f6b442185</v>
      </c>
      <c r="U428" s="6"/>
      <c r="V428" s="33" t="s">
        <v>35</v>
      </c>
    </row>
    <row r="429" spans="2:22" ht="21" customHeight="1" outlineLevel="4" x14ac:dyDescent="0.2">
      <c r="B429" s="5">
        <v>376</v>
      </c>
      <c r="C429" s="6" t="s">
        <v>1477</v>
      </c>
      <c r="D429" s="6" t="s">
        <v>1478</v>
      </c>
      <c r="E429" s="7" t="s">
        <v>1475</v>
      </c>
      <c r="F429" s="13"/>
      <c r="G429" s="14"/>
      <c r="H429" s="15">
        <v>72</v>
      </c>
      <c r="I429" s="14"/>
      <c r="J429" s="14" t="s">
        <v>144</v>
      </c>
      <c r="K429" s="5">
        <v>4</v>
      </c>
      <c r="L429" s="16">
        <v>132</v>
      </c>
      <c r="M429" s="12"/>
      <c r="N429" s="14">
        <f t="shared" si="23"/>
        <v>0</v>
      </c>
      <c r="O429" s="23">
        <f>0.219*M429</f>
        <v>0</v>
      </c>
      <c r="P429" s="24">
        <f>0.00065*M429</f>
        <v>0</v>
      </c>
      <c r="Q429" s="25"/>
      <c r="R429" s="26"/>
      <c r="S429" s="26" t="s">
        <v>93</v>
      </c>
      <c r="T429" s="6" t="str">
        <f>HYPERLINK("https://kanzpp.ru/api/getInfo/image/49c80430-a098-11ed-a22f-00155d82e902")</f>
        <v>https://kanzpp.ru/api/getInfo/image/49c80430-a098-11ed-a22f-00155d82e902</v>
      </c>
      <c r="U429" s="6" t="s">
        <v>1476</v>
      </c>
      <c r="V429" s="33" t="s">
        <v>35</v>
      </c>
    </row>
    <row r="430" spans="2:22" ht="21" customHeight="1" outlineLevel="4" x14ac:dyDescent="0.2">
      <c r="B430" s="5">
        <v>377</v>
      </c>
      <c r="C430" s="6" t="s">
        <v>1479</v>
      </c>
      <c r="D430" s="6" t="s">
        <v>1480</v>
      </c>
      <c r="E430" s="7" t="s">
        <v>1481</v>
      </c>
      <c r="F430" s="13"/>
      <c r="G430" s="14"/>
      <c r="H430" s="15">
        <v>96</v>
      </c>
      <c r="I430" s="15">
        <v>12</v>
      </c>
      <c r="J430" s="14" t="s">
        <v>144</v>
      </c>
      <c r="K430" s="5">
        <v>3</v>
      </c>
      <c r="L430" s="16">
        <v>138.81333333333333</v>
      </c>
      <c r="M430" s="12"/>
      <c r="N430" s="14">
        <f t="shared" si="23"/>
        <v>0</v>
      </c>
      <c r="O430" s="23">
        <f>0.158*M430</f>
        <v>0</v>
      </c>
      <c r="P430" s="24">
        <f>0.00032*M430</f>
        <v>0</v>
      </c>
      <c r="Q430" s="25"/>
      <c r="R430" s="26" t="s">
        <v>1482</v>
      </c>
      <c r="S430" s="26" t="s">
        <v>93</v>
      </c>
      <c r="T430" s="6" t="str">
        <f>HYPERLINK("https://kanzpp.ru/api/getInfo/image/7de36042-4219-11ec-a20f-ac1f6b442185")</f>
        <v>https://kanzpp.ru/api/getInfo/image/7de36042-4219-11ec-a20f-ac1f6b442185</v>
      </c>
      <c r="U430" s="6"/>
      <c r="V430" s="33" t="s">
        <v>35</v>
      </c>
    </row>
    <row r="431" spans="2:22" ht="21" customHeight="1" outlineLevel="4" x14ac:dyDescent="0.2">
      <c r="B431" s="5">
        <v>378</v>
      </c>
      <c r="C431" s="6" t="s">
        <v>1483</v>
      </c>
      <c r="D431" s="6" t="s">
        <v>1484</v>
      </c>
      <c r="E431" s="7" t="s">
        <v>1485</v>
      </c>
      <c r="F431" s="13"/>
      <c r="G431" s="14"/>
      <c r="H431" s="15">
        <v>72</v>
      </c>
      <c r="I431" s="15">
        <v>12</v>
      </c>
      <c r="J431" s="14" t="s">
        <v>144</v>
      </c>
      <c r="K431" s="5">
        <v>3</v>
      </c>
      <c r="L431" s="16">
        <v>199.24</v>
      </c>
      <c r="M431" s="12"/>
      <c r="N431" s="14">
        <f t="shared" si="23"/>
        <v>0</v>
      </c>
      <c r="O431" s="23">
        <f>0.264*M431</f>
        <v>0</v>
      </c>
      <c r="P431" s="31">
        <f>0.0006*M431</f>
        <v>0</v>
      </c>
      <c r="Q431" s="25"/>
      <c r="R431" s="26" t="s">
        <v>1486</v>
      </c>
      <c r="S431" s="26" t="s">
        <v>93</v>
      </c>
      <c r="T431" s="6" t="str">
        <f>HYPERLINK("https://kanzpp.ru/api/getInfo/image/b1f0be0e-4219-11ec-a20f-ac1f6b442185")</f>
        <v>https://kanzpp.ru/api/getInfo/image/b1f0be0e-4219-11ec-a20f-ac1f6b442185</v>
      </c>
      <c r="U431" s="6"/>
      <c r="V431" s="33" t="s">
        <v>35</v>
      </c>
    </row>
    <row r="432" spans="2:22" ht="21" customHeight="1" outlineLevel="4" x14ac:dyDescent="0.2">
      <c r="B432" s="5">
        <v>379</v>
      </c>
      <c r="C432" s="6" t="s">
        <v>1487</v>
      </c>
      <c r="D432" s="6" t="s">
        <v>1488</v>
      </c>
      <c r="E432" s="7" t="s">
        <v>1489</v>
      </c>
      <c r="F432" s="13"/>
      <c r="G432" s="14"/>
      <c r="H432" s="15">
        <v>48</v>
      </c>
      <c r="I432" s="15">
        <v>6</v>
      </c>
      <c r="J432" s="14" t="s">
        <v>144</v>
      </c>
      <c r="K432" s="5">
        <v>2</v>
      </c>
      <c r="L432" s="16">
        <v>253.85333333333332</v>
      </c>
      <c r="M432" s="12"/>
      <c r="N432" s="14">
        <f t="shared" si="23"/>
        <v>0</v>
      </c>
      <c r="O432" s="23">
        <f>0.369*M432</f>
        <v>0</v>
      </c>
      <c r="P432" s="24">
        <f>0.00088*M432</f>
        <v>0</v>
      </c>
      <c r="Q432" s="25"/>
      <c r="R432" s="26" t="s">
        <v>1490</v>
      </c>
      <c r="S432" s="26" t="s">
        <v>93</v>
      </c>
      <c r="T432" s="6" t="str">
        <f>HYPERLINK("https://kanzpp.ru/api/getInfo/image/f11cd9f6-4219-11ec-a20f-ac1f6b442185")</f>
        <v>https://kanzpp.ru/api/getInfo/image/f11cd9f6-4219-11ec-a20f-ac1f6b442185</v>
      </c>
      <c r="U432" s="6"/>
      <c r="V432" s="33" t="s">
        <v>35</v>
      </c>
    </row>
    <row r="433" spans="2:22" ht="21" customHeight="1" outlineLevel="4" x14ac:dyDescent="0.2">
      <c r="B433" s="5">
        <v>380</v>
      </c>
      <c r="C433" s="6" t="s">
        <v>1491</v>
      </c>
      <c r="D433" s="6" t="s">
        <v>1492</v>
      </c>
      <c r="E433" s="7" t="s">
        <v>1489</v>
      </c>
      <c r="F433" s="13"/>
      <c r="G433" s="14"/>
      <c r="H433" s="15">
        <v>48</v>
      </c>
      <c r="I433" s="14"/>
      <c r="J433" s="14" t="s">
        <v>144</v>
      </c>
      <c r="K433" s="5">
        <v>3</v>
      </c>
      <c r="L433" s="16">
        <v>186.65333333333334</v>
      </c>
      <c r="M433" s="12"/>
      <c r="N433" s="14">
        <f t="shared" si="23"/>
        <v>0</v>
      </c>
      <c r="O433" s="23">
        <f>0.374*M433</f>
        <v>0</v>
      </c>
      <c r="P433" s="24">
        <f>0.00101*M433</f>
        <v>0</v>
      </c>
      <c r="Q433" s="25"/>
      <c r="R433" s="26"/>
      <c r="S433" s="26" t="s">
        <v>93</v>
      </c>
      <c r="T433" s="6" t="str">
        <f>HYPERLINK("https://kanzpp.ru/api/getInfo/image/5c351be8-a0a3-11ed-a22f-00155d82e902")</f>
        <v>https://kanzpp.ru/api/getInfo/image/5c351be8-a0a3-11ed-a22f-00155d82e902</v>
      </c>
      <c r="U433" s="6" t="s">
        <v>1490</v>
      </c>
      <c r="V433" s="33" t="s">
        <v>35</v>
      </c>
    </row>
    <row r="434" spans="2:22" ht="21" customHeight="1" outlineLevel="4" x14ac:dyDescent="0.2">
      <c r="B434" s="5">
        <v>381</v>
      </c>
      <c r="C434" s="6" t="s">
        <v>1493</v>
      </c>
      <c r="D434" s="6" t="s">
        <v>1494</v>
      </c>
      <c r="E434" s="7" t="s">
        <v>1495</v>
      </c>
      <c r="F434" s="13"/>
      <c r="G434" s="14"/>
      <c r="H434" s="15">
        <v>96</v>
      </c>
      <c r="I434" s="15">
        <v>12</v>
      </c>
      <c r="J434" s="14" t="s">
        <v>144</v>
      </c>
      <c r="K434" s="5">
        <v>4</v>
      </c>
      <c r="L434" s="16">
        <v>138.81333333333333</v>
      </c>
      <c r="M434" s="12"/>
      <c r="N434" s="14">
        <f t="shared" si="23"/>
        <v>0</v>
      </c>
      <c r="O434" s="23">
        <f>0.156*M434</f>
        <v>0</v>
      </c>
      <c r="P434" s="24">
        <f>0.00032*M434</f>
        <v>0</v>
      </c>
      <c r="Q434" s="25"/>
      <c r="R434" s="26" t="s">
        <v>1496</v>
      </c>
      <c r="S434" s="26" t="s">
        <v>93</v>
      </c>
      <c r="T434" s="6" t="str">
        <f>HYPERLINK("https://kanzpp.ru/api/getInfo/image/923e1bef-421a-11ec-a20f-ac1f6b442185")</f>
        <v>https://kanzpp.ru/api/getInfo/image/923e1bef-421a-11ec-a20f-ac1f6b442185</v>
      </c>
      <c r="U434" s="6"/>
      <c r="V434" s="33" t="s">
        <v>35</v>
      </c>
    </row>
    <row r="435" spans="2:22" ht="21" customHeight="1" outlineLevel="4" x14ac:dyDescent="0.2">
      <c r="B435" s="5">
        <v>382</v>
      </c>
      <c r="C435" s="6" t="s">
        <v>1497</v>
      </c>
      <c r="D435" s="6" t="s">
        <v>1498</v>
      </c>
      <c r="E435" s="7" t="s">
        <v>1499</v>
      </c>
      <c r="F435" s="13"/>
      <c r="G435" s="14"/>
      <c r="H435" s="15">
        <v>72</v>
      </c>
      <c r="I435" s="15">
        <v>12</v>
      </c>
      <c r="J435" s="14" t="s">
        <v>144</v>
      </c>
      <c r="K435" s="5">
        <v>3</v>
      </c>
      <c r="L435" s="16">
        <v>199.24</v>
      </c>
      <c r="M435" s="12"/>
      <c r="N435" s="14">
        <f t="shared" si="23"/>
        <v>0</v>
      </c>
      <c r="O435" s="23">
        <f>0.265*M435</f>
        <v>0</v>
      </c>
      <c r="P435" s="24">
        <f>0.00059*M435</f>
        <v>0</v>
      </c>
      <c r="Q435" s="25"/>
      <c r="R435" s="26" t="s">
        <v>1500</v>
      </c>
      <c r="S435" s="26" t="s">
        <v>93</v>
      </c>
      <c r="T435" s="6" t="str">
        <f>HYPERLINK("https://kanzpp.ru/api/getInfo/image/c48da0e7-421a-11ec-a20f-ac1f6b442185")</f>
        <v>https://kanzpp.ru/api/getInfo/image/c48da0e7-421a-11ec-a20f-ac1f6b442185</v>
      </c>
      <c r="U435" s="6"/>
      <c r="V435" s="33" t="s">
        <v>35</v>
      </c>
    </row>
    <row r="436" spans="2:22" ht="21" customHeight="1" outlineLevel="4" x14ac:dyDescent="0.2">
      <c r="B436" s="5">
        <v>383</v>
      </c>
      <c r="C436" s="6" t="s">
        <v>1501</v>
      </c>
      <c r="D436" s="6" t="s">
        <v>1502</v>
      </c>
      <c r="E436" s="7" t="s">
        <v>1503</v>
      </c>
      <c r="F436" s="13"/>
      <c r="G436" s="14"/>
      <c r="H436" s="15">
        <v>48</v>
      </c>
      <c r="I436" s="14"/>
      <c r="J436" s="14" t="s">
        <v>144</v>
      </c>
      <c r="K436" s="5">
        <v>3</v>
      </c>
      <c r="L436" s="16">
        <v>186.65333333333334</v>
      </c>
      <c r="M436" s="12"/>
      <c r="N436" s="14">
        <f t="shared" si="23"/>
        <v>0</v>
      </c>
      <c r="O436" s="28">
        <f>0.36*M436</f>
        <v>0</v>
      </c>
      <c r="P436" s="31">
        <f>0.0008*M436</f>
        <v>0</v>
      </c>
      <c r="Q436" s="25"/>
      <c r="R436" s="26"/>
      <c r="S436" s="26" t="s">
        <v>93</v>
      </c>
      <c r="T436" s="6" t="str">
        <f>HYPERLINK("https://kanzpp.ru/api/getInfo/image/e91b7184-ac60-11ed-a230-00155d82e902")</f>
        <v>https://kanzpp.ru/api/getInfo/image/e91b7184-ac60-11ed-a230-00155d82e902</v>
      </c>
      <c r="U436" s="6" t="s">
        <v>1504</v>
      </c>
      <c r="V436" s="33" t="s">
        <v>35</v>
      </c>
    </row>
    <row r="437" spans="2:22" ht="21" customHeight="1" outlineLevel="4" x14ac:dyDescent="0.2">
      <c r="B437" s="5">
        <v>384</v>
      </c>
      <c r="C437" s="6" t="s">
        <v>1505</v>
      </c>
      <c r="D437" s="6" t="s">
        <v>1506</v>
      </c>
      <c r="E437" s="7" t="s">
        <v>1503</v>
      </c>
      <c r="F437" s="13"/>
      <c r="G437" s="14"/>
      <c r="H437" s="15">
        <v>48</v>
      </c>
      <c r="I437" s="15">
        <v>6</v>
      </c>
      <c r="J437" s="14" t="s">
        <v>144</v>
      </c>
      <c r="K437" s="5">
        <v>2</v>
      </c>
      <c r="L437" s="16">
        <v>253.85333333333332</v>
      </c>
      <c r="M437" s="12"/>
      <c r="N437" s="14">
        <f t="shared" si="23"/>
        <v>0</v>
      </c>
      <c r="O437" s="23">
        <f>0.366*M437</f>
        <v>0</v>
      </c>
      <c r="P437" s="24">
        <f>0.00109*M437</f>
        <v>0</v>
      </c>
      <c r="Q437" s="25"/>
      <c r="R437" s="26" t="s">
        <v>1504</v>
      </c>
      <c r="S437" s="26" t="s">
        <v>93</v>
      </c>
      <c r="T437" s="6" t="str">
        <f>HYPERLINK("https://kanzpp.ru/api/getInfo/image/f94908f4-421a-11ec-a20f-ac1f6b442185")</f>
        <v>https://kanzpp.ru/api/getInfo/image/f94908f4-421a-11ec-a20f-ac1f6b442185</v>
      </c>
      <c r="U437" s="6"/>
      <c r="V437" s="33" t="s">
        <v>35</v>
      </c>
    </row>
    <row r="438" spans="2:22" ht="21" customHeight="1" outlineLevel="4" x14ac:dyDescent="0.2">
      <c r="B438" s="36">
        <v>385</v>
      </c>
      <c r="C438" s="37" t="s">
        <v>1507</v>
      </c>
      <c r="D438" s="37" t="s">
        <v>1508</v>
      </c>
      <c r="E438" s="38" t="s">
        <v>1509</v>
      </c>
      <c r="F438" s="39"/>
      <c r="G438" s="40"/>
      <c r="H438" s="41">
        <v>120</v>
      </c>
      <c r="I438" s="41">
        <v>12</v>
      </c>
      <c r="J438" s="50">
        <v>1127</v>
      </c>
      <c r="K438" s="36">
        <v>6</v>
      </c>
      <c r="L438" s="42" t="e">
        <f>(IF(#REF!,101.49*(1-#REF!/100),101.49*(1-O3/100)))/0.75</f>
        <v>#REF!</v>
      </c>
      <c r="M438" s="12"/>
      <c r="N438" s="40" t="e">
        <f t="shared" si="23"/>
        <v>#REF!</v>
      </c>
      <c r="O438" s="48">
        <f>0.11*M438</f>
        <v>0</v>
      </c>
      <c r="P438" s="47">
        <f>0.00017*M438</f>
        <v>0</v>
      </c>
      <c r="Q438" s="44"/>
      <c r="R438" s="45" t="s">
        <v>1510</v>
      </c>
      <c r="S438" s="45" t="s">
        <v>93</v>
      </c>
      <c r="T438" s="37" t="str">
        <f>HYPERLINK("https://kanzpp.ru/api/getInfo/image/6bff22a9-78f0-11e7-a17c-5cf3fc4a2490")</f>
        <v>https://kanzpp.ru/api/getInfo/image/6bff22a9-78f0-11e7-a17c-5cf3fc4a2490</v>
      </c>
      <c r="U438" s="37"/>
    </row>
    <row r="439" spans="2:22" ht="21" customHeight="1" outlineLevel="4" x14ac:dyDescent="0.2">
      <c r="B439" s="36">
        <v>386</v>
      </c>
      <c r="C439" s="37" t="s">
        <v>1511</v>
      </c>
      <c r="D439" s="37" t="s">
        <v>1512</v>
      </c>
      <c r="E439" s="38" t="s">
        <v>1513</v>
      </c>
      <c r="F439" s="39"/>
      <c r="G439" s="40"/>
      <c r="H439" s="41">
        <v>60</v>
      </c>
      <c r="I439" s="41">
        <v>6</v>
      </c>
      <c r="J439" s="41">
        <v>391</v>
      </c>
      <c r="K439" s="36">
        <v>3</v>
      </c>
      <c r="L439" s="42" t="e">
        <f>(IF(#REF!,186.96*(1-#REF!/100),186.96*(1-O3/100)))/0.75</f>
        <v>#REF!</v>
      </c>
      <c r="M439" s="12"/>
      <c r="N439" s="40" t="e">
        <f t="shared" si="23"/>
        <v>#REF!</v>
      </c>
      <c r="O439" s="48">
        <f>0.23*M439</f>
        <v>0</v>
      </c>
      <c r="P439" s="46">
        <f>0.0004*M439</f>
        <v>0</v>
      </c>
      <c r="Q439" s="44"/>
      <c r="R439" s="45" t="s">
        <v>1514</v>
      </c>
      <c r="S439" s="45" t="s">
        <v>93</v>
      </c>
      <c r="T439" s="37" t="str">
        <f>HYPERLINK("https://kanzpp.ru/api/getInfo/image/bb3ceafd-78f0-11e7-a17c-5cf3fc4a2490")</f>
        <v>https://kanzpp.ru/api/getInfo/image/bb3ceafd-78f0-11e7-a17c-5cf3fc4a2490</v>
      </c>
      <c r="U439" s="37"/>
    </row>
    <row r="440" spans="2:22" ht="21" customHeight="1" outlineLevel="4" x14ac:dyDescent="0.2">
      <c r="B440" s="5">
        <v>387</v>
      </c>
      <c r="C440" s="6" t="s">
        <v>1515</v>
      </c>
      <c r="D440" s="6" t="s">
        <v>1516</v>
      </c>
      <c r="E440" s="7" t="s">
        <v>1517</v>
      </c>
      <c r="F440" s="13"/>
      <c r="G440" s="14"/>
      <c r="H440" s="15">
        <v>24</v>
      </c>
      <c r="I440" s="14"/>
      <c r="J440" s="15">
        <v>844</v>
      </c>
      <c r="K440" s="5">
        <v>2</v>
      </c>
      <c r="L440" s="16">
        <v>419.97333333333336</v>
      </c>
      <c r="M440" s="12"/>
      <c r="N440" s="14">
        <f t="shared" si="23"/>
        <v>0</v>
      </c>
      <c r="O440" s="28">
        <f>0.45*M440</f>
        <v>0</v>
      </c>
      <c r="P440" s="24">
        <f>0.00146*M440</f>
        <v>0</v>
      </c>
      <c r="Q440" s="25"/>
      <c r="R440" s="26" t="s">
        <v>1518</v>
      </c>
      <c r="S440" s="26" t="s">
        <v>93</v>
      </c>
      <c r="T440" s="6" t="str">
        <f>HYPERLINK("https://kanzpp.ru/api/getInfo/image/ca629797-78f0-11e7-a17c-5cf3fc4a2490")</f>
        <v>https://kanzpp.ru/api/getInfo/image/ca629797-78f0-11e7-a17c-5cf3fc4a2490</v>
      </c>
      <c r="U440" s="6"/>
      <c r="V440" s="33" t="s">
        <v>35</v>
      </c>
    </row>
    <row r="441" spans="2:22" ht="22.95" customHeight="1" outlineLevel="3" x14ac:dyDescent="0.2">
      <c r="B441" s="81" t="s">
        <v>1519</v>
      </c>
      <c r="C441" s="81"/>
      <c r="D441" s="81"/>
      <c r="L441">
        <v>0</v>
      </c>
    </row>
    <row r="442" spans="2:22" ht="22.95" customHeight="1" outlineLevel="4" x14ac:dyDescent="0.2">
      <c r="B442" s="82" t="s">
        <v>1520</v>
      </c>
      <c r="C442" s="82"/>
      <c r="D442" s="82"/>
      <c r="L442">
        <v>0</v>
      </c>
    </row>
    <row r="443" spans="2:22" ht="21" customHeight="1" outlineLevel="5" x14ac:dyDescent="0.2">
      <c r="B443" s="36">
        <v>388</v>
      </c>
      <c r="C443" s="37" t="s">
        <v>1521</v>
      </c>
      <c r="D443" s="37" t="s">
        <v>1522</v>
      </c>
      <c r="E443" s="38" t="s">
        <v>1523</v>
      </c>
      <c r="F443" s="39"/>
      <c r="G443" s="40"/>
      <c r="H443" s="41">
        <v>240</v>
      </c>
      <c r="I443" s="41">
        <v>12</v>
      </c>
      <c r="J443" s="41">
        <v>12</v>
      </c>
      <c r="K443" s="36">
        <v>12</v>
      </c>
      <c r="L443" s="42" t="e">
        <f>(IF(#REF!,32.21*(1-#REF!/100),32.21*(1-O3/100)))/0.75</f>
        <v>#REF!</v>
      </c>
      <c r="M443" s="12"/>
      <c r="N443" s="40" t="e">
        <f>L443*M443</f>
        <v>#REF!</v>
      </c>
      <c r="O443" s="43">
        <f>0.032*M443</f>
        <v>0</v>
      </c>
      <c r="P443" s="46">
        <f>0.0004*M443</f>
        <v>0</v>
      </c>
      <c r="Q443" s="44"/>
      <c r="R443" s="45" t="s">
        <v>1524</v>
      </c>
      <c r="S443" s="45" t="s">
        <v>93</v>
      </c>
      <c r="T443" s="37" t="str">
        <f>HYPERLINK("https://kanzpp.ru/api/getInfo/image/448bd6f9-cf17-11e9-a234-ac1f6b442184")</f>
        <v>https://kanzpp.ru/api/getInfo/image/448bd6f9-cf17-11e9-a234-ac1f6b442184</v>
      </c>
      <c r="U443" s="37"/>
    </row>
    <row r="444" spans="2:22" ht="21" customHeight="1" outlineLevel="5" x14ac:dyDescent="0.2">
      <c r="B444" s="36">
        <v>389</v>
      </c>
      <c r="C444" s="37" t="s">
        <v>1525</v>
      </c>
      <c r="D444" s="37" t="s">
        <v>1526</v>
      </c>
      <c r="E444" s="38" t="s">
        <v>1527</v>
      </c>
      <c r="F444" s="39"/>
      <c r="G444" s="40"/>
      <c r="H444" s="41">
        <v>240</v>
      </c>
      <c r="I444" s="41">
        <v>12</v>
      </c>
      <c r="J444" s="40" t="s">
        <v>144</v>
      </c>
      <c r="K444" s="36">
        <v>12</v>
      </c>
      <c r="L444" s="42" t="e">
        <f>(IF(#REF!,42.91*(1-#REF!/100),42.91*(1-O3/100)))/0.75</f>
        <v>#REF!</v>
      </c>
      <c r="M444" s="12"/>
      <c r="N444" s="40" t="e">
        <f>L444*M444</f>
        <v>#REF!</v>
      </c>
      <c r="O444" s="43">
        <f>0.032*M444</f>
        <v>0</v>
      </c>
      <c r="P444" s="46">
        <f>0.0004*M444</f>
        <v>0</v>
      </c>
      <c r="Q444" s="44"/>
      <c r="R444" s="45" t="s">
        <v>1528</v>
      </c>
      <c r="S444" s="45" t="s">
        <v>93</v>
      </c>
      <c r="T444" s="37" t="str">
        <f>HYPERLINK("https://kanzpp.ru/api/getInfo/image/9fa30e9c-cf17-11e9-a234-ac1f6b442184")</f>
        <v>https://kanzpp.ru/api/getInfo/image/9fa30e9c-cf17-11e9-a234-ac1f6b442184</v>
      </c>
      <c r="U444" s="37"/>
    </row>
    <row r="445" spans="2:22" ht="21" customHeight="1" outlineLevel="5" x14ac:dyDescent="0.2">
      <c r="B445" s="36">
        <v>390</v>
      </c>
      <c r="C445" s="37" t="s">
        <v>1529</v>
      </c>
      <c r="D445" s="37" t="s">
        <v>1530</v>
      </c>
      <c r="E445" s="38" t="s">
        <v>1531</v>
      </c>
      <c r="F445" s="39"/>
      <c r="G445" s="40"/>
      <c r="H445" s="41">
        <v>240</v>
      </c>
      <c r="I445" s="41">
        <v>12</v>
      </c>
      <c r="J445" s="40" t="s">
        <v>144</v>
      </c>
      <c r="K445" s="36">
        <v>12</v>
      </c>
      <c r="L445" s="42" t="e">
        <f>(IF(#REF!,53.37*(1-#REF!/100),53.37*(1-O3/100)))/0.75</f>
        <v>#REF!</v>
      </c>
      <c r="M445" s="12"/>
      <c r="N445" s="40" t="e">
        <f>L445*M445</f>
        <v>#REF!</v>
      </c>
      <c r="O445" s="43">
        <f>0.056*M445</f>
        <v>0</v>
      </c>
      <c r="P445" s="47">
        <f>0.00035*M445</f>
        <v>0</v>
      </c>
      <c r="Q445" s="44"/>
      <c r="R445" s="45" t="s">
        <v>1532</v>
      </c>
      <c r="S445" s="45" t="s">
        <v>93</v>
      </c>
      <c r="T445" s="37" t="str">
        <f>HYPERLINK("https://kanzpp.ru/api/getInfo/image/153be5a7-c619-11e7-bf5c-5cf3fc4a2490")</f>
        <v>https://kanzpp.ru/api/getInfo/image/153be5a7-c619-11e7-bf5c-5cf3fc4a2490</v>
      </c>
      <c r="U445" s="37"/>
    </row>
    <row r="446" spans="2:22" ht="22.95" customHeight="1" outlineLevel="4" x14ac:dyDescent="0.2">
      <c r="B446" s="82" t="s">
        <v>1533</v>
      </c>
      <c r="C446" s="82"/>
      <c r="D446" s="82"/>
      <c r="L446">
        <v>0</v>
      </c>
    </row>
    <row r="447" spans="2:22" ht="21" customHeight="1" outlineLevel="5" x14ac:dyDescent="0.2">
      <c r="B447" s="36">
        <v>391</v>
      </c>
      <c r="C447" s="37" t="s">
        <v>1534</v>
      </c>
      <c r="D447" s="37" t="s">
        <v>1535</v>
      </c>
      <c r="E447" s="38" t="s">
        <v>1536</v>
      </c>
      <c r="F447" s="39"/>
      <c r="G447" s="40"/>
      <c r="H447" s="41">
        <v>240</v>
      </c>
      <c r="I447" s="41">
        <v>12</v>
      </c>
      <c r="J447" s="40" t="s">
        <v>144</v>
      </c>
      <c r="K447" s="36">
        <v>12</v>
      </c>
      <c r="L447" s="42" t="e">
        <f>(IF(#REF!,64.88*(1-#REF!/100),64.88*(1-O3/100)))/0.75</f>
        <v>#REF!</v>
      </c>
      <c r="M447" s="12"/>
      <c r="N447" s="40" t="e">
        <f t="shared" ref="N447:N453" si="24">L447*M447</f>
        <v>#REF!</v>
      </c>
      <c r="O447" s="43">
        <f>0.048*M447</f>
        <v>0</v>
      </c>
      <c r="P447" s="47">
        <f>0.00012*M447</f>
        <v>0</v>
      </c>
      <c r="Q447" s="44"/>
      <c r="R447" s="45" t="s">
        <v>1537</v>
      </c>
      <c r="S447" s="45" t="s">
        <v>93</v>
      </c>
      <c r="T447" s="37" t="str">
        <f>HYPERLINK("https://kanzpp.ru/api/getInfo/image/d62fd3e9-32b9-11ee-a23f-00155d82e902")</f>
        <v>https://kanzpp.ru/api/getInfo/image/d62fd3e9-32b9-11ee-a23f-00155d82e902</v>
      </c>
      <c r="U447" s="37"/>
    </row>
    <row r="448" spans="2:22" ht="21" customHeight="1" outlineLevel="5" x14ac:dyDescent="0.2">
      <c r="B448" s="36">
        <v>392</v>
      </c>
      <c r="C448" s="37" t="s">
        <v>1538</v>
      </c>
      <c r="D448" s="37" t="s">
        <v>1539</v>
      </c>
      <c r="E448" s="38" t="s">
        <v>1540</v>
      </c>
      <c r="F448" s="39"/>
      <c r="G448" s="40"/>
      <c r="H448" s="41">
        <v>240</v>
      </c>
      <c r="I448" s="41">
        <v>12</v>
      </c>
      <c r="J448" s="40" t="s">
        <v>144</v>
      </c>
      <c r="K448" s="36">
        <v>12</v>
      </c>
      <c r="L448" s="42" t="e">
        <f>(IF(#REF!,68.14*(1-#REF!/100),68.14*(1-O3/100)))/0.75</f>
        <v>#REF!</v>
      </c>
      <c r="M448" s="12"/>
      <c r="N448" s="40" t="e">
        <f t="shared" si="24"/>
        <v>#REF!</v>
      </c>
      <c r="O448" s="43">
        <f>0.065*M448</f>
        <v>0</v>
      </c>
      <c r="P448" s="47">
        <f>0.00006*M448</f>
        <v>0</v>
      </c>
      <c r="Q448" s="44"/>
      <c r="R448" s="45" t="s">
        <v>1541</v>
      </c>
      <c r="S448" s="45" t="s">
        <v>93</v>
      </c>
      <c r="T448" s="37" t="str">
        <f>HYPERLINK("https://kanzpp.ru/api/getInfo/image/a6d1fbe3-31c2-11ee-a23e-00155d82e902")</f>
        <v>https://kanzpp.ru/api/getInfo/image/a6d1fbe3-31c2-11ee-a23e-00155d82e902</v>
      </c>
      <c r="U448" s="37"/>
    </row>
    <row r="449" spans="2:22" ht="21" customHeight="1" outlineLevel="5" x14ac:dyDescent="0.2">
      <c r="B449" s="36">
        <v>393</v>
      </c>
      <c r="C449" s="37" t="s">
        <v>1542</v>
      </c>
      <c r="D449" s="37" t="s">
        <v>1543</v>
      </c>
      <c r="E449" s="38" t="s">
        <v>396</v>
      </c>
      <c r="F449" s="39"/>
      <c r="G449" s="40"/>
      <c r="H449" s="41">
        <v>240</v>
      </c>
      <c r="I449" s="41">
        <v>12</v>
      </c>
      <c r="J449" s="40" t="s">
        <v>144</v>
      </c>
      <c r="K449" s="36">
        <v>12</v>
      </c>
      <c r="L449" s="42" t="e">
        <f>(IF(#REF!,94.65*(1-#REF!/100),94.65*(1-O3/100)))/0.75</f>
        <v>#REF!</v>
      </c>
      <c r="M449" s="12"/>
      <c r="N449" s="40" t="e">
        <f t="shared" si="24"/>
        <v>#REF!</v>
      </c>
      <c r="O449" s="43">
        <f>0.064*M449</f>
        <v>0</v>
      </c>
      <c r="P449" s="47">
        <f>0.00008*M449</f>
        <v>0</v>
      </c>
      <c r="Q449" s="44"/>
      <c r="R449" s="45" t="s">
        <v>397</v>
      </c>
      <c r="S449" s="45" t="s">
        <v>93</v>
      </c>
      <c r="T449" s="37" t="str">
        <f>HYPERLINK("https://kanzpp.ru/api/getInfo/image/11abea9b-31c3-11ee-a23e-00155d82e902")</f>
        <v>https://kanzpp.ru/api/getInfo/image/11abea9b-31c3-11ee-a23e-00155d82e902</v>
      </c>
      <c r="U449" s="37"/>
    </row>
    <row r="450" spans="2:22" ht="21" customHeight="1" outlineLevel="5" x14ac:dyDescent="0.2">
      <c r="B450" s="36">
        <v>394</v>
      </c>
      <c r="C450" s="37" t="s">
        <v>1544</v>
      </c>
      <c r="D450" s="37" t="s">
        <v>1545</v>
      </c>
      <c r="E450" s="38" t="s">
        <v>1546</v>
      </c>
      <c r="F450" s="39"/>
      <c r="G450" s="40"/>
      <c r="H450" s="41">
        <v>192</v>
      </c>
      <c r="I450" s="41">
        <v>12</v>
      </c>
      <c r="J450" s="40" t="s">
        <v>144</v>
      </c>
      <c r="K450" s="36">
        <v>12</v>
      </c>
      <c r="L450" s="42" t="e">
        <f>(IF(#REF!,81.05*(1-#REF!/100),81.05*(1-O3/100)))/0.75</f>
        <v>#REF!</v>
      </c>
      <c r="M450" s="12"/>
      <c r="N450" s="40" t="e">
        <f t="shared" si="24"/>
        <v>#REF!</v>
      </c>
      <c r="O450" s="48">
        <f>0.07*M450</f>
        <v>0</v>
      </c>
      <c r="P450" s="46">
        <f>0.0002*M450</f>
        <v>0</v>
      </c>
      <c r="Q450" s="44"/>
      <c r="R450" s="45" t="s">
        <v>1547</v>
      </c>
      <c r="S450" s="45" t="s">
        <v>93</v>
      </c>
      <c r="T450" s="37" t="str">
        <f>HYPERLINK("https://kanzpp.ru/api/getInfo/image/1573b65f-32ba-11ee-a23f-00155d82e902")</f>
        <v>https://kanzpp.ru/api/getInfo/image/1573b65f-32ba-11ee-a23f-00155d82e902</v>
      </c>
      <c r="U450" s="37"/>
    </row>
    <row r="451" spans="2:22" ht="21" customHeight="1" outlineLevel="5" x14ac:dyDescent="0.2">
      <c r="B451" s="5">
        <v>395</v>
      </c>
      <c r="C451" s="6" t="s">
        <v>1548</v>
      </c>
      <c r="D451" s="6" t="s">
        <v>1549</v>
      </c>
      <c r="E451" s="7" t="s">
        <v>1550</v>
      </c>
      <c r="F451" s="13"/>
      <c r="G451" s="14"/>
      <c r="H451" s="15">
        <v>240</v>
      </c>
      <c r="I451" s="15">
        <v>12</v>
      </c>
      <c r="J451" s="15">
        <v>240</v>
      </c>
      <c r="K451" s="5">
        <v>12</v>
      </c>
      <c r="L451" s="16">
        <v>65.666666666666671</v>
      </c>
      <c r="M451" s="12"/>
      <c r="N451" s="14">
        <f t="shared" si="24"/>
        <v>0</v>
      </c>
      <c r="O451" s="23">
        <f>0.079*M451</f>
        <v>0</v>
      </c>
      <c r="P451" s="24">
        <f>0.00007*M451</f>
        <v>0</v>
      </c>
      <c r="Q451" s="25"/>
      <c r="R451" s="26" t="s">
        <v>1551</v>
      </c>
      <c r="S451" s="26" t="s">
        <v>93</v>
      </c>
      <c r="T451" s="6" t="str">
        <f>HYPERLINK("https://kanzpp.ru/api/getInfo/image/d0b87f76-31c2-11ee-a23e-00155d82e902")</f>
        <v>https://kanzpp.ru/api/getInfo/image/d0b87f76-31c2-11ee-a23e-00155d82e902</v>
      </c>
      <c r="U451" s="6"/>
      <c r="V451" s="33" t="s">
        <v>35</v>
      </c>
    </row>
    <row r="452" spans="2:22" ht="21" customHeight="1" outlineLevel="5" x14ac:dyDescent="0.2">
      <c r="B452" s="36">
        <v>396</v>
      </c>
      <c r="C452" s="37" t="s">
        <v>1552</v>
      </c>
      <c r="D452" s="37" t="s">
        <v>1553</v>
      </c>
      <c r="E452" s="38" t="s">
        <v>1554</v>
      </c>
      <c r="F452" s="39"/>
      <c r="G452" s="40"/>
      <c r="H452" s="41">
        <v>240</v>
      </c>
      <c r="I452" s="41">
        <v>12</v>
      </c>
      <c r="J452" s="40" t="s">
        <v>144</v>
      </c>
      <c r="K452" s="36">
        <v>12</v>
      </c>
      <c r="L452" s="42" t="e">
        <f>(IF(#REF!,113.14*(1-#REF!/100),113.14*(1-O3/100)))/0.75</f>
        <v>#REF!</v>
      </c>
      <c r="M452" s="12"/>
      <c r="N452" s="40" t="e">
        <f t="shared" si="24"/>
        <v>#REF!</v>
      </c>
      <c r="O452" s="43">
        <f>0.076*M452</f>
        <v>0</v>
      </c>
      <c r="P452" s="47">
        <f>0.00033*M452</f>
        <v>0</v>
      </c>
      <c r="Q452" s="44"/>
      <c r="R452" s="45" t="s">
        <v>1555</v>
      </c>
      <c r="S452" s="45" t="s">
        <v>93</v>
      </c>
      <c r="T452" s="37" t="str">
        <f>HYPERLINK("https://kanzpp.ru/api/getInfo/image/4c3961f5-31c3-11ee-a23e-00155d82e902")</f>
        <v>https://kanzpp.ru/api/getInfo/image/4c3961f5-31c3-11ee-a23e-00155d82e902</v>
      </c>
      <c r="U452" s="37"/>
    </row>
    <row r="453" spans="2:22" ht="21" customHeight="1" outlineLevel="5" x14ac:dyDescent="0.2">
      <c r="B453" s="5">
        <v>397</v>
      </c>
      <c r="C453" s="6" t="s">
        <v>1556</v>
      </c>
      <c r="D453" s="6" t="s">
        <v>1557</v>
      </c>
      <c r="E453" s="7" t="s">
        <v>1558</v>
      </c>
      <c r="F453" s="13"/>
      <c r="G453" s="14"/>
      <c r="H453" s="15">
        <v>144</v>
      </c>
      <c r="I453" s="15">
        <v>12</v>
      </c>
      <c r="J453" s="14" t="s">
        <v>144</v>
      </c>
      <c r="K453" s="5">
        <v>12</v>
      </c>
      <c r="L453" s="16">
        <v>100.86666666666667</v>
      </c>
      <c r="M453" s="12"/>
      <c r="N453" s="14">
        <f t="shared" si="24"/>
        <v>0</v>
      </c>
      <c r="O453" s="23">
        <f>0.074*M453</f>
        <v>0</v>
      </c>
      <c r="P453" s="24">
        <f>0.00021*M453</f>
        <v>0</v>
      </c>
      <c r="Q453" s="25"/>
      <c r="R453" s="26" t="s">
        <v>1559</v>
      </c>
      <c r="S453" s="26" t="s">
        <v>93</v>
      </c>
      <c r="T453" s="6" t="str">
        <f>HYPERLINK("https://kanzpp.ru/api/getInfo/image/41cfa990-32ba-11ee-a23f-00155d82e902")</f>
        <v>https://kanzpp.ru/api/getInfo/image/41cfa990-32ba-11ee-a23f-00155d82e902</v>
      </c>
      <c r="U453" s="6"/>
      <c r="V453" s="33" t="s">
        <v>35</v>
      </c>
    </row>
    <row r="454" spans="2:22" ht="22.95" customHeight="1" outlineLevel="3" x14ac:dyDescent="0.2">
      <c r="B454" s="81" t="s">
        <v>1560</v>
      </c>
      <c r="C454" s="81"/>
      <c r="D454" s="81"/>
      <c r="L454">
        <v>0</v>
      </c>
    </row>
    <row r="455" spans="2:22" ht="22.95" customHeight="1" outlineLevel="4" x14ac:dyDescent="0.2">
      <c r="B455" s="82" t="s">
        <v>1561</v>
      </c>
      <c r="C455" s="82"/>
      <c r="D455" s="82"/>
      <c r="L455">
        <v>0</v>
      </c>
    </row>
    <row r="456" spans="2:22" ht="21" customHeight="1" outlineLevel="5" x14ac:dyDescent="0.2">
      <c r="B456" s="5">
        <v>398</v>
      </c>
      <c r="C456" s="6" t="s">
        <v>1562</v>
      </c>
      <c r="D456" s="6" t="s">
        <v>1563</v>
      </c>
      <c r="E456" s="7" t="s">
        <v>1564</v>
      </c>
      <c r="F456" s="13"/>
      <c r="G456" s="14"/>
      <c r="H456" s="15">
        <v>360</v>
      </c>
      <c r="I456" s="15">
        <v>12</v>
      </c>
      <c r="J456" s="14" t="s">
        <v>144</v>
      </c>
      <c r="K456" s="5">
        <v>24</v>
      </c>
      <c r="L456" s="16">
        <v>20.533333333333335</v>
      </c>
      <c r="M456" s="12"/>
      <c r="N456" s="14">
        <f t="shared" ref="N456:N463" si="25">L456*M456</f>
        <v>0</v>
      </c>
      <c r="O456" s="23">
        <f>0.016*M456</f>
        <v>0</v>
      </c>
      <c r="P456" s="24">
        <f>0.00064*M456</f>
        <v>0</v>
      </c>
      <c r="Q456" s="25"/>
      <c r="R456" s="26" t="s">
        <v>1565</v>
      </c>
      <c r="S456" s="26" t="s">
        <v>93</v>
      </c>
      <c r="T456" s="6" t="str">
        <f>HYPERLINK("https://kanzpp.ru/api/getInfo/image/689db97f-78eb-11e7-a17c-5cf3fc4a2490")</f>
        <v>https://kanzpp.ru/api/getInfo/image/689db97f-78eb-11e7-a17c-5cf3fc4a2490</v>
      </c>
      <c r="U456" s="6"/>
      <c r="V456" s="33" t="s">
        <v>35</v>
      </c>
    </row>
    <row r="457" spans="2:22" ht="21" customHeight="1" outlineLevel="5" x14ac:dyDescent="0.2">
      <c r="B457" s="5">
        <v>399</v>
      </c>
      <c r="C457" s="6" t="s">
        <v>1566</v>
      </c>
      <c r="D457" s="6" t="s">
        <v>1567</v>
      </c>
      <c r="E457" s="7" t="s">
        <v>1568</v>
      </c>
      <c r="F457" s="13"/>
      <c r="G457" s="14"/>
      <c r="H457" s="15">
        <v>300</v>
      </c>
      <c r="I457" s="15">
        <v>12</v>
      </c>
      <c r="J457" s="14" t="s">
        <v>144</v>
      </c>
      <c r="K457" s="5">
        <v>24</v>
      </c>
      <c r="L457" s="16">
        <v>24.84</v>
      </c>
      <c r="M457" s="12"/>
      <c r="N457" s="14">
        <f t="shared" si="25"/>
        <v>0</v>
      </c>
      <c r="O457" s="23">
        <f>0.032*M457</f>
        <v>0</v>
      </c>
      <c r="P457" s="24">
        <f>0.00004*M457</f>
        <v>0</v>
      </c>
      <c r="Q457" s="25"/>
      <c r="R457" s="26" t="s">
        <v>1569</v>
      </c>
      <c r="S457" s="26" t="s">
        <v>93</v>
      </c>
      <c r="T457" s="6" t="str">
        <f>HYPERLINK("https://kanzpp.ru/api/getInfo/image/75d6a7db-78eb-11e7-a17c-5cf3fc4a2490")</f>
        <v>https://kanzpp.ru/api/getInfo/image/75d6a7db-78eb-11e7-a17c-5cf3fc4a2490</v>
      </c>
      <c r="U457" s="6"/>
      <c r="V457" s="33" t="s">
        <v>35</v>
      </c>
    </row>
    <row r="458" spans="2:22" ht="21" customHeight="1" outlineLevel="5" x14ac:dyDescent="0.2">
      <c r="B458" s="5">
        <v>400</v>
      </c>
      <c r="C458" s="6" t="s">
        <v>1570</v>
      </c>
      <c r="D458" s="6" t="s">
        <v>1571</v>
      </c>
      <c r="E458" s="7" t="s">
        <v>1568</v>
      </c>
      <c r="F458" s="13"/>
      <c r="G458" s="14"/>
      <c r="H458" s="15">
        <v>300</v>
      </c>
      <c r="I458" s="15">
        <v>12</v>
      </c>
      <c r="J458" s="14" t="s">
        <v>144</v>
      </c>
      <c r="K458" s="5">
        <v>24</v>
      </c>
      <c r="L458" s="16">
        <v>24.28</v>
      </c>
      <c r="M458" s="12"/>
      <c r="N458" s="14">
        <f t="shared" si="25"/>
        <v>0</v>
      </c>
      <c r="O458" s="28">
        <f>0.03*M458</f>
        <v>0</v>
      </c>
      <c r="P458" s="24">
        <f>0.00078*M458</f>
        <v>0</v>
      </c>
      <c r="Q458" s="25"/>
      <c r="R458" s="26"/>
      <c r="S458" s="26" t="s">
        <v>93</v>
      </c>
      <c r="T458" s="6" t="str">
        <f>HYPERLINK("https://kanzpp.ru/api/getInfo/image/276c6286-53d7-11ef-a262-00155d82e908")</f>
        <v>https://kanzpp.ru/api/getInfo/image/276c6286-53d7-11ef-a262-00155d82e908</v>
      </c>
      <c r="U458" s="6" t="s">
        <v>1569</v>
      </c>
      <c r="V458" s="33" t="s">
        <v>35</v>
      </c>
    </row>
    <row r="459" spans="2:22" ht="21" customHeight="1" outlineLevel="5" x14ac:dyDescent="0.2">
      <c r="B459" s="5">
        <v>401</v>
      </c>
      <c r="C459" s="6" t="s">
        <v>1572</v>
      </c>
      <c r="D459" s="6" t="s">
        <v>1573</v>
      </c>
      <c r="E459" s="7" t="s">
        <v>1574</v>
      </c>
      <c r="F459" s="13"/>
      <c r="G459" s="14"/>
      <c r="H459" s="15">
        <v>240</v>
      </c>
      <c r="I459" s="15">
        <v>12</v>
      </c>
      <c r="J459" s="14" t="s">
        <v>144</v>
      </c>
      <c r="K459" s="5">
        <v>12</v>
      </c>
      <c r="L459" s="16">
        <v>39.119999999999997</v>
      </c>
      <c r="M459" s="12"/>
      <c r="N459" s="14">
        <f t="shared" si="25"/>
        <v>0</v>
      </c>
      <c r="O459" s="23">
        <f>0.054*M459</f>
        <v>0</v>
      </c>
      <c r="P459" s="24">
        <f>0.00009*M459</f>
        <v>0</v>
      </c>
      <c r="Q459" s="25"/>
      <c r="R459" s="26" t="s">
        <v>1575</v>
      </c>
      <c r="S459" s="26" t="s">
        <v>93</v>
      </c>
      <c r="T459" s="6" t="str">
        <f>HYPERLINK("https://kanzpp.ru/api/getInfo/image/b571d1e3-78ec-11e7-a17c-5cf3fc4a2490")</f>
        <v>https://kanzpp.ru/api/getInfo/image/b571d1e3-78ec-11e7-a17c-5cf3fc4a2490</v>
      </c>
      <c r="U459" s="6"/>
      <c r="V459" s="33" t="s">
        <v>35</v>
      </c>
    </row>
    <row r="460" spans="2:22" ht="21" customHeight="1" outlineLevel="5" x14ac:dyDescent="0.2">
      <c r="B460" s="5">
        <v>402</v>
      </c>
      <c r="C460" s="6" t="s">
        <v>1576</v>
      </c>
      <c r="D460" s="6" t="s">
        <v>1577</v>
      </c>
      <c r="E460" s="7" t="s">
        <v>1578</v>
      </c>
      <c r="F460" s="13"/>
      <c r="G460" s="14"/>
      <c r="H460" s="15">
        <v>120</v>
      </c>
      <c r="I460" s="15">
        <v>12</v>
      </c>
      <c r="J460" s="14" t="s">
        <v>144</v>
      </c>
      <c r="K460" s="5">
        <v>12</v>
      </c>
      <c r="L460" s="16">
        <v>54.933333333333337</v>
      </c>
      <c r="M460" s="12"/>
      <c r="N460" s="14">
        <f t="shared" si="25"/>
        <v>0</v>
      </c>
      <c r="O460" s="23">
        <f>0.088*M460</f>
        <v>0</v>
      </c>
      <c r="P460" s="24">
        <f>0.00024*M460</f>
        <v>0</v>
      </c>
      <c r="Q460" s="25"/>
      <c r="R460" s="26" t="s">
        <v>1579</v>
      </c>
      <c r="S460" s="26" t="s">
        <v>93</v>
      </c>
      <c r="T460" s="6" t="str">
        <f>HYPERLINK("https://kanzpp.ru/api/getInfo/image/cae56809-78ec-11e7-a17c-5cf3fc4a2490")</f>
        <v>https://kanzpp.ru/api/getInfo/image/cae56809-78ec-11e7-a17c-5cf3fc4a2490</v>
      </c>
      <c r="U460" s="6"/>
      <c r="V460" s="33" t="s">
        <v>35</v>
      </c>
    </row>
    <row r="461" spans="2:22" ht="21" customHeight="1" outlineLevel="5" x14ac:dyDescent="0.2">
      <c r="B461" s="5">
        <v>403</v>
      </c>
      <c r="C461" s="6" t="s">
        <v>1580</v>
      </c>
      <c r="D461" s="6" t="s">
        <v>1581</v>
      </c>
      <c r="E461" s="7" t="s">
        <v>1582</v>
      </c>
      <c r="F461" s="13"/>
      <c r="G461" s="14"/>
      <c r="H461" s="15">
        <v>108</v>
      </c>
      <c r="I461" s="14"/>
      <c r="J461" s="14" t="s">
        <v>144</v>
      </c>
      <c r="K461" s="5">
        <v>6</v>
      </c>
      <c r="L461" s="16">
        <v>85.773333333333326</v>
      </c>
      <c r="M461" s="12"/>
      <c r="N461" s="14">
        <f t="shared" si="25"/>
        <v>0</v>
      </c>
      <c r="O461" s="23">
        <f>0.137*M461</f>
        <v>0</v>
      </c>
      <c r="P461" s="31">
        <f>0.0004*M461</f>
        <v>0</v>
      </c>
      <c r="Q461" s="25"/>
      <c r="R461" s="26" t="s">
        <v>1583</v>
      </c>
      <c r="S461" s="26" t="s">
        <v>93</v>
      </c>
      <c r="T461" s="6" t="str">
        <f>HYPERLINK("https://kanzpp.ru/api/getInfo/image/d77ed9c0-78ec-11e7-a17c-5cf3fc4a2490")</f>
        <v>https://kanzpp.ru/api/getInfo/image/d77ed9c0-78ec-11e7-a17c-5cf3fc4a2490</v>
      </c>
      <c r="U461" s="6"/>
      <c r="V461" s="33" t="s">
        <v>35</v>
      </c>
    </row>
    <row r="462" spans="2:22" ht="21" customHeight="1" outlineLevel="5" x14ac:dyDescent="0.2">
      <c r="B462" s="5">
        <v>404</v>
      </c>
      <c r="C462" s="6" t="s">
        <v>1584</v>
      </c>
      <c r="D462" s="6" t="s">
        <v>1585</v>
      </c>
      <c r="E462" s="7" t="s">
        <v>1582</v>
      </c>
      <c r="F462" s="13"/>
      <c r="G462" s="14"/>
      <c r="H462" s="15">
        <v>108</v>
      </c>
      <c r="I462" s="14"/>
      <c r="J462" s="14" t="s">
        <v>144</v>
      </c>
      <c r="K462" s="5">
        <v>6</v>
      </c>
      <c r="L462" s="16">
        <v>65.333333333333329</v>
      </c>
      <c r="M462" s="12"/>
      <c r="N462" s="14">
        <f t="shared" si="25"/>
        <v>0</v>
      </c>
      <c r="O462" s="28">
        <f>0.14*M462</f>
        <v>0</v>
      </c>
      <c r="P462" s="24">
        <f>0.00033*M462</f>
        <v>0</v>
      </c>
      <c r="Q462" s="25"/>
      <c r="R462" s="26"/>
      <c r="S462" s="26" t="s">
        <v>93</v>
      </c>
      <c r="T462" s="6" t="str">
        <f>HYPERLINK("https://kanzpp.ru/api/getInfo/image/57a4fa5d-53d9-11ef-a262-00155d82e908")</f>
        <v>https://kanzpp.ru/api/getInfo/image/57a4fa5d-53d9-11ef-a262-00155d82e908</v>
      </c>
      <c r="U462" s="6" t="s">
        <v>1583</v>
      </c>
      <c r="V462" s="33" t="s">
        <v>35</v>
      </c>
    </row>
    <row r="463" spans="2:22" ht="21" customHeight="1" outlineLevel="5" x14ac:dyDescent="0.2">
      <c r="B463" s="5">
        <v>405</v>
      </c>
      <c r="C463" s="6" t="s">
        <v>1586</v>
      </c>
      <c r="D463" s="6" t="s">
        <v>1587</v>
      </c>
      <c r="E463" s="7" t="s">
        <v>1588</v>
      </c>
      <c r="F463" s="13"/>
      <c r="G463" s="14"/>
      <c r="H463" s="15">
        <v>60</v>
      </c>
      <c r="I463" s="14"/>
      <c r="J463" s="14" t="s">
        <v>144</v>
      </c>
      <c r="K463" s="5">
        <v>4</v>
      </c>
      <c r="L463" s="16">
        <v>133.81333333333333</v>
      </c>
      <c r="M463" s="12"/>
      <c r="N463" s="14">
        <f t="shared" si="25"/>
        <v>0</v>
      </c>
      <c r="O463" s="23">
        <f>0.234*M463</f>
        <v>0</v>
      </c>
      <c r="P463" s="24">
        <f>0.00084*M463</f>
        <v>0</v>
      </c>
      <c r="Q463" s="25"/>
      <c r="R463" s="26" t="s">
        <v>1589</v>
      </c>
      <c r="S463" s="26" t="s">
        <v>93</v>
      </c>
      <c r="T463" s="6" t="str">
        <f>HYPERLINK("https://kanzpp.ru/api/getInfo/image/f174ee8f-78ec-11e7-a17c-5cf3fc4a2490")</f>
        <v>https://kanzpp.ru/api/getInfo/image/f174ee8f-78ec-11e7-a17c-5cf3fc4a2490</v>
      </c>
      <c r="U463" s="6"/>
      <c r="V463" s="33" t="s">
        <v>35</v>
      </c>
    </row>
    <row r="464" spans="2:22" ht="22.95" customHeight="1" outlineLevel="3" x14ac:dyDescent="0.2">
      <c r="B464" s="81" t="s">
        <v>1590</v>
      </c>
      <c r="C464" s="81"/>
      <c r="D464" s="81"/>
      <c r="L464">
        <v>0</v>
      </c>
    </row>
    <row r="465" spans="2:22" ht="21" customHeight="1" outlineLevel="4" x14ac:dyDescent="0.2">
      <c r="B465" s="5">
        <v>406</v>
      </c>
      <c r="C465" s="6" t="s">
        <v>1591</v>
      </c>
      <c r="D465" s="6" t="s">
        <v>1592</v>
      </c>
      <c r="E465" s="7" t="s">
        <v>1593</v>
      </c>
      <c r="F465" s="13"/>
      <c r="G465" s="14"/>
      <c r="H465" s="17">
        <v>1600</v>
      </c>
      <c r="I465" s="15">
        <v>200</v>
      </c>
      <c r="J465" s="14" t="s">
        <v>144</v>
      </c>
      <c r="K465" s="5">
        <v>200</v>
      </c>
      <c r="L465" s="16">
        <v>9.2666666666666675</v>
      </c>
      <c r="M465" s="12"/>
      <c r="N465" s="14">
        <f>L465*M465</f>
        <v>0</v>
      </c>
      <c r="O465" s="28">
        <f>0.01*M465</f>
        <v>0</v>
      </c>
      <c r="P465" s="24">
        <f>0.00006*M465</f>
        <v>0</v>
      </c>
      <c r="Q465" s="25"/>
      <c r="R465" s="26" t="s">
        <v>1594</v>
      </c>
      <c r="S465" s="26" t="s">
        <v>93</v>
      </c>
      <c r="T465" s="6" t="str">
        <f>HYPERLINK("https://kanzpp.ru/api/getInfo/image/46b936f3-78ed-11e7-a17c-5cf3fc4a2490")</f>
        <v>https://kanzpp.ru/api/getInfo/image/46b936f3-78ed-11e7-a17c-5cf3fc4a2490</v>
      </c>
      <c r="U465" s="6"/>
      <c r="V465" s="33" t="s">
        <v>35</v>
      </c>
    </row>
    <row r="466" spans="2:22" ht="21" customHeight="1" outlineLevel="4" x14ac:dyDescent="0.2">
      <c r="B466" s="5">
        <v>407</v>
      </c>
      <c r="C466" s="6" t="s">
        <v>1595</v>
      </c>
      <c r="D466" s="6" t="s">
        <v>1596</v>
      </c>
      <c r="E466" s="7" t="s">
        <v>1597</v>
      </c>
      <c r="F466" s="13"/>
      <c r="G466" s="14"/>
      <c r="H466" s="17">
        <v>1200</v>
      </c>
      <c r="I466" s="15">
        <v>200</v>
      </c>
      <c r="J466" s="17">
        <v>3131</v>
      </c>
      <c r="K466" s="5">
        <v>200</v>
      </c>
      <c r="L466" s="16">
        <v>12.466666666666667</v>
      </c>
      <c r="M466" s="12"/>
      <c r="N466" s="14">
        <f>L466*M466</f>
        <v>0</v>
      </c>
      <c r="O466" s="23">
        <f>0.024*M466</f>
        <v>0</v>
      </c>
      <c r="P466" s="24">
        <f>0.00004*M466</f>
        <v>0</v>
      </c>
      <c r="Q466" s="25"/>
      <c r="R466" s="26" t="s">
        <v>1598</v>
      </c>
      <c r="S466" s="26" t="s">
        <v>93</v>
      </c>
      <c r="T466" s="6" t="str">
        <f>HYPERLINK("https://kanzpp.ru/api/getInfo/image/ab65d2aa-78ed-11e7-a17c-5cf3fc4a2490")</f>
        <v>https://kanzpp.ru/api/getInfo/image/ab65d2aa-78ed-11e7-a17c-5cf3fc4a2490</v>
      </c>
      <c r="U466" s="6"/>
      <c r="V466" s="33" t="s">
        <v>35</v>
      </c>
    </row>
    <row r="467" spans="2:22" ht="21" customHeight="1" outlineLevel="4" x14ac:dyDescent="0.2">
      <c r="B467" s="5">
        <v>408</v>
      </c>
      <c r="C467" s="6" t="s">
        <v>1599</v>
      </c>
      <c r="D467" s="6" t="s">
        <v>1600</v>
      </c>
      <c r="E467" s="7" t="s">
        <v>1601</v>
      </c>
      <c r="F467" s="13"/>
      <c r="G467" s="14"/>
      <c r="H467" s="15">
        <v>400</v>
      </c>
      <c r="I467" s="15">
        <v>100</v>
      </c>
      <c r="J467" s="17">
        <v>4669</v>
      </c>
      <c r="K467" s="5">
        <v>100</v>
      </c>
      <c r="L467" s="16">
        <v>35.146666666666668</v>
      </c>
      <c r="M467" s="12"/>
      <c r="N467" s="14">
        <f>L467*M467</f>
        <v>0</v>
      </c>
      <c r="O467" s="23">
        <f>0.059*M467</f>
        <v>0</v>
      </c>
      <c r="P467" s="24">
        <f>0.00022*M467</f>
        <v>0</v>
      </c>
      <c r="Q467" s="25"/>
      <c r="R467" s="26" t="s">
        <v>1602</v>
      </c>
      <c r="S467" s="26" t="s">
        <v>93</v>
      </c>
      <c r="T467" s="6" t="str">
        <f>HYPERLINK("https://kanzpp.ru/api/getInfo/image/9a0278ce-78ed-11e7-a17c-5cf3fc4a2490")</f>
        <v>https://kanzpp.ru/api/getInfo/image/9a0278ce-78ed-11e7-a17c-5cf3fc4a2490</v>
      </c>
      <c r="U467" s="6"/>
      <c r="V467" s="33" t="s">
        <v>35</v>
      </c>
    </row>
    <row r="468" spans="2:22" ht="22.95" customHeight="1" outlineLevel="3" x14ac:dyDescent="0.2">
      <c r="B468" s="81" t="s">
        <v>1603</v>
      </c>
      <c r="C468" s="81"/>
      <c r="D468" s="81"/>
      <c r="L468">
        <v>0</v>
      </c>
    </row>
    <row r="469" spans="2:22" ht="21" customHeight="1" outlineLevel="4" x14ac:dyDescent="0.2">
      <c r="B469" s="5">
        <v>409</v>
      </c>
      <c r="C469" s="6" t="s">
        <v>1604</v>
      </c>
      <c r="D469" s="6" t="s">
        <v>1605</v>
      </c>
      <c r="E469" s="7" t="s">
        <v>1606</v>
      </c>
      <c r="F469" s="13"/>
      <c r="G469" s="14"/>
      <c r="H469" s="15">
        <v>400</v>
      </c>
      <c r="I469" s="15">
        <v>10</v>
      </c>
      <c r="J469" s="15">
        <v>24</v>
      </c>
      <c r="K469" s="5">
        <v>20</v>
      </c>
      <c r="L469" s="16">
        <v>33.199999999999996</v>
      </c>
      <c r="M469" s="12"/>
      <c r="N469" s="14">
        <f>L469*M469</f>
        <v>0</v>
      </c>
      <c r="O469" s="23">
        <f>0.054*M469</f>
        <v>0</v>
      </c>
      <c r="P469" s="24">
        <f>0.00001*M469</f>
        <v>0</v>
      </c>
      <c r="Q469" s="25"/>
      <c r="R469" s="26" t="s">
        <v>1607</v>
      </c>
      <c r="S469" s="26" t="s">
        <v>93</v>
      </c>
      <c r="T469" s="6" t="str">
        <f>HYPERLINK("https://kanzpp.ru/api/getInfo/image/f1d09ab3-78ed-11e7-a17c-5cf3fc4a2490")</f>
        <v>https://kanzpp.ru/api/getInfo/image/f1d09ab3-78ed-11e7-a17c-5cf3fc4a2490</v>
      </c>
      <c r="U469" s="6"/>
      <c r="V469" s="33" t="s">
        <v>35</v>
      </c>
    </row>
    <row r="470" spans="2:22" ht="22.95" customHeight="1" outlineLevel="3" x14ac:dyDescent="0.2">
      <c r="B470" s="81" t="s">
        <v>1608</v>
      </c>
      <c r="C470" s="81"/>
      <c r="D470" s="81"/>
      <c r="L470">
        <v>0</v>
      </c>
    </row>
    <row r="471" spans="2:22" ht="21" customHeight="1" outlineLevel="4" x14ac:dyDescent="0.2">
      <c r="B471" s="5">
        <v>410</v>
      </c>
      <c r="C471" s="6" t="s">
        <v>1609</v>
      </c>
      <c r="D471" s="6" t="s">
        <v>1610</v>
      </c>
      <c r="E471" s="7" t="s">
        <v>1611</v>
      </c>
      <c r="F471" s="13"/>
      <c r="G471" s="14"/>
      <c r="H471" s="15">
        <v>288</v>
      </c>
      <c r="I471" s="15">
        <v>12</v>
      </c>
      <c r="J471" s="17">
        <v>3646</v>
      </c>
      <c r="K471" s="5">
        <v>12</v>
      </c>
      <c r="L471" s="16">
        <v>31.106666666666666</v>
      </c>
      <c r="M471" s="12"/>
      <c r="N471" s="14">
        <f>L471*M471</f>
        <v>0</v>
      </c>
      <c r="O471" s="28">
        <f>0.06*M471</f>
        <v>0</v>
      </c>
      <c r="P471" s="24">
        <f>0.00007*M471</f>
        <v>0</v>
      </c>
      <c r="Q471" s="25"/>
      <c r="R471" s="26" t="s">
        <v>1612</v>
      </c>
      <c r="S471" s="26" t="s">
        <v>93</v>
      </c>
      <c r="T471" s="6" t="str">
        <f>HYPERLINK("https://kanzpp.ru/api/getInfo/image/5dfe3258-78ee-11e7-a17c-5cf3fc4a2490")</f>
        <v>https://kanzpp.ru/api/getInfo/image/5dfe3258-78ee-11e7-a17c-5cf3fc4a2490</v>
      </c>
      <c r="U471" s="6"/>
      <c r="V471" s="33" t="s">
        <v>35</v>
      </c>
    </row>
    <row r="472" spans="2:22" ht="22.95" customHeight="1" outlineLevel="3" x14ac:dyDescent="0.2">
      <c r="B472" s="81" t="s">
        <v>1613</v>
      </c>
      <c r="C472" s="81"/>
      <c r="D472" s="81"/>
      <c r="L472">
        <v>0</v>
      </c>
    </row>
    <row r="473" spans="2:22" ht="21" customHeight="1" outlineLevel="4" x14ac:dyDescent="0.2">
      <c r="B473" s="5">
        <v>411</v>
      </c>
      <c r="C473" s="6" t="s">
        <v>1614</v>
      </c>
      <c r="D473" s="6" t="s">
        <v>1615</v>
      </c>
      <c r="E473" s="7" t="s">
        <v>1616</v>
      </c>
      <c r="F473" s="13"/>
      <c r="G473" s="14"/>
      <c r="H473" s="15">
        <v>500</v>
      </c>
      <c r="I473" s="15">
        <v>10</v>
      </c>
      <c r="J473" s="17">
        <v>8000</v>
      </c>
      <c r="K473" s="5">
        <v>30</v>
      </c>
      <c r="L473" s="16">
        <v>15.866666666666667</v>
      </c>
      <c r="M473" s="12"/>
      <c r="N473" s="14">
        <f>L473*M473</f>
        <v>0</v>
      </c>
      <c r="O473" s="28">
        <f>0.05*M473</f>
        <v>0</v>
      </c>
      <c r="P473" s="24">
        <f>0.00004*M473</f>
        <v>0</v>
      </c>
      <c r="Q473" s="25"/>
      <c r="R473" s="26" t="s">
        <v>1617</v>
      </c>
      <c r="S473" s="26" t="s">
        <v>93</v>
      </c>
      <c r="T473" s="6" t="str">
        <f>HYPERLINK("https://kanzpp.ru/api/getInfo/image/4f187e86-4e8b-11ec-a20f-ac1f6b442185")</f>
        <v>https://kanzpp.ru/api/getInfo/image/4f187e86-4e8b-11ec-a20f-ac1f6b442185</v>
      </c>
      <c r="U473" s="6"/>
      <c r="V473" s="33" t="s">
        <v>35</v>
      </c>
    </row>
    <row r="474" spans="2:22" ht="21" customHeight="1" outlineLevel="4" x14ac:dyDescent="0.2">
      <c r="B474" s="5">
        <v>412</v>
      </c>
      <c r="C474" s="6" t="s">
        <v>1618</v>
      </c>
      <c r="D474" s="6" t="s">
        <v>1619</v>
      </c>
      <c r="E474" s="7" t="s">
        <v>1620</v>
      </c>
      <c r="F474" s="13"/>
      <c r="G474" s="14"/>
      <c r="H474" s="15">
        <v>500</v>
      </c>
      <c r="I474" s="15">
        <v>10</v>
      </c>
      <c r="J474" s="14" t="s">
        <v>144</v>
      </c>
      <c r="K474" s="5">
        <v>30</v>
      </c>
      <c r="L474" s="16">
        <v>14.813333333333333</v>
      </c>
      <c r="M474" s="12"/>
      <c r="N474" s="14">
        <f>L474*M474</f>
        <v>0</v>
      </c>
      <c r="O474" s="23">
        <f>0.032*M474</f>
        <v>0</v>
      </c>
      <c r="P474" s="24">
        <f>0.00004*M474</f>
        <v>0</v>
      </c>
      <c r="Q474" s="25"/>
      <c r="R474" s="26" t="s">
        <v>1621</v>
      </c>
      <c r="S474" s="26" t="s">
        <v>93</v>
      </c>
      <c r="T474" s="6" t="str">
        <f>HYPERLINK("https://kanzpp.ru/api/getInfo/image/b0acba4f-78ee-11e7-a17c-5cf3fc4a2490")</f>
        <v>https://kanzpp.ru/api/getInfo/image/b0acba4f-78ee-11e7-a17c-5cf3fc4a2490</v>
      </c>
      <c r="U474" s="6"/>
      <c r="V474" s="33" t="s">
        <v>35</v>
      </c>
    </row>
    <row r="475" spans="2:22" ht="22.95" customHeight="1" outlineLevel="3" x14ac:dyDescent="0.2">
      <c r="B475" s="81" t="s">
        <v>1622</v>
      </c>
      <c r="C475" s="81"/>
      <c r="D475" s="81"/>
      <c r="L475">
        <v>0</v>
      </c>
    </row>
    <row r="476" spans="2:22" ht="21" customHeight="1" outlineLevel="4" x14ac:dyDescent="0.2">
      <c r="B476" s="36">
        <v>413</v>
      </c>
      <c r="C476" s="37" t="s">
        <v>1623</v>
      </c>
      <c r="D476" s="37" t="s">
        <v>1624</v>
      </c>
      <c r="E476" s="38" t="s">
        <v>1625</v>
      </c>
      <c r="F476" s="39"/>
      <c r="G476" s="40"/>
      <c r="H476" s="41">
        <v>300</v>
      </c>
      <c r="I476" s="41">
        <v>10</v>
      </c>
      <c r="J476" s="41">
        <v>125</v>
      </c>
      <c r="K476" s="36">
        <v>10</v>
      </c>
      <c r="L476" s="42" t="e">
        <f>(IF(#REF!,43.07*(1-#REF!/100),43.07*(1-O3/100)))/0.75</f>
        <v>#REF!</v>
      </c>
      <c r="M476" s="12"/>
      <c r="N476" s="40" t="e">
        <f>L476*M476</f>
        <v>#REF!</v>
      </c>
      <c r="O476" s="48">
        <f>0.06*M476</f>
        <v>0</v>
      </c>
      <c r="P476" s="47">
        <f>0.00017*M476</f>
        <v>0</v>
      </c>
      <c r="Q476" s="44"/>
      <c r="R476" s="45" t="s">
        <v>1626</v>
      </c>
      <c r="S476" s="45" t="s">
        <v>93</v>
      </c>
      <c r="T476" s="37" t="str">
        <f>HYPERLINK("https://kanzpp.ru/api/getInfo/image/c7b733cf-4e85-11ec-a20f-ac1f6b442185")</f>
        <v>https://kanzpp.ru/api/getInfo/image/c7b733cf-4e85-11ec-a20f-ac1f6b442185</v>
      </c>
      <c r="U476" s="37"/>
    </row>
    <row r="477" spans="2:22" ht="21" customHeight="1" outlineLevel="4" x14ac:dyDescent="0.2">
      <c r="B477" s="5">
        <v>414</v>
      </c>
      <c r="C477" s="6" t="s">
        <v>1627</v>
      </c>
      <c r="D477" s="6" t="s">
        <v>1628</v>
      </c>
      <c r="E477" s="7" t="s">
        <v>1629</v>
      </c>
      <c r="F477" s="13"/>
      <c r="G477" s="14"/>
      <c r="H477" s="15">
        <v>300</v>
      </c>
      <c r="I477" s="15">
        <v>10</v>
      </c>
      <c r="J477" s="14" t="s">
        <v>144</v>
      </c>
      <c r="K477" s="5">
        <v>10</v>
      </c>
      <c r="L477" s="16">
        <v>32.986666666666665</v>
      </c>
      <c r="M477" s="12"/>
      <c r="N477" s="14">
        <f>L477*M477</f>
        <v>0</v>
      </c>
      <c r="O477" s="23">
        <f>0.063*M477</f>
        <v>0</v>
      </c>
      <c r="P477" s="24">
        <f>0.00011*M477</f>
        <v>0</v>
      </c>
      <c r="Q477" s="25"/>
      <c r="R477" s="26" t="s">
        <v>1630</v>
      </c>
      <c r="S477" s="26" t="s">
        <v>93</v>
      </c>
      <c r="T477" s="6" t="str">
        <f>HYPERLINK("https://kanzpp.ru/api/getInfo/image/8837f7ea-4e87-11ec-a20f-ac1f6b442185")</f>
        <v>https://kanzpp.ru/api/getInfo/image/8837f7ea-4e87-11ec-a20f-ac1f6b442185</v>
      </c>
      <c r="U477" s="6"/>
      <c r="V477" s="33" t="s">
        <v>35</v>
      </c>
    </row>
    <row r="478" spans="2:22" ht="21" customHeight="1" outlineLevel="4" x14ac:dyDescent="0.2">
      <c r="B478" s="5">
        <v>415</v>
      </c>
      <c r="C478" s="6" t="s">
        <v>1631</v>
      </c>
      <c r="D478" s="6" t="s">
        <v>1632</v>
      </c>
      <c r="E478" s="7" t="s">
        <v>1633</v>
      </c>
      <c r="F478" s="13"/>
      <c r="G478" s="14"/>
      <c r="H478" s="15">
        <v>500</v>
      </c>
      <c r="I478" s="15">
        <v>10</v>
      </c>
      <c r="J478" s="14" t="s">
        <v>144</v>
      </c>
      <c r="K478" s="5">
        <v>20</v>
      </c>
      <c r="L478" s="16">
        <v>33.199999999999996</v>
      </c>
      <c r="M478" s="12"/>
      <c r="N478" s="14">
        <f>L478*M478</f>
        <v>0</v>
      </c>
      <c r="O478" s="23">
        <f>0.047*M478</f>
        <v>0</v>
      </c>
      <c r="P478" s="24">
        <f>0.00007*M478</f>
        <v>0</v>
      </c>
      <c r="Q478" s="25"/>
      <c r="R478" s="26" t="s">
        <v>1634</v>
      </c>
      <c r="S478" s="26" t="s">
        <v>93</v>
      </c>
      <c r="T478" s="6" t="str">
        <f>HYPERLINK("https://kanzpp.ru/api/getInfo/image/45f69c0f-4e87-11ec-a20f-ac1f6b442185")</f>
        <v>https://kanzpp.ru/api/getInfo/image/45f69c0f-4e87-11ec-a20f-ac1f6b442185</v>
      </c>
      <c r="U478" s="6"/>
      <c r="V478" s="33" t="s">
        <v>35</v>
      </c>
    </row>
    <row r="479" spans="2:22" ht="21" customHeight="1" outlineLevel="4" x14ac:dyDescent="0.2">
      <c r="B479" s="5">
        <v>416</v>
      </c>
      <c r="C479" s="6" t="s">
        <v>1635</v>
      </c>
      <c r="D479" s="6" t="s">
        <v>1632</v>
      </c>
      <c r="E479" s="7" t="s">
        <v>1633</v>
      </c>
      <c r="F479" s="13"/>
      <c r="G479" s="14"/>
      <c r="H479" s="15">
        <v>500</v>
      </c>
      <c r="I479" s="14"/>
      <c r="J479" s="15">
        <v>294</v>
      </c>
      <c r="K479" s="5">
        <v>20</v>
      </c>
      <c r="L479" s="16">
        <v>33.199999999999996</v>
      </c>
      <c r="M479" s="12"/>
      <c r="N479" s="14">
        <f>L479*M479</f>
        <v>0</v>
      </c>
      <c r="O479" s="23">
        <f>0.044*M479</f>
        <v>0</v>
      </c>
      <c r="P479" s="24">
        <f>0.00015*M479</f>
        <v>0</v>
      </c>
      <c r="Q479" s="25"/>
      <c r="R479" s="26" t="s">
        <v>1636</v>
      </c>
      <c r="S479" s="26" t="s">
        <v>93</v>
      </c>
      <c r="T479" s="6" t="str">
        <f>HYPERLINK("https://kanzpp.ru/api/getInfo/image/77fec873-fde9-11ec-a213-ac1f6b442185")</f>
        <v>https://kanzpp.ru/api/getInfo/image/77fec873-fde9-11ec-a213-ac1f6b442185</v>
      </c>
      <c r="U479" s="6" t="s">
        <v>1634</v>
      </c>
      <c r="V479" s="33" t="s">
        <v>35</v>
      </c>
    </row>
    <row r="480" spans="2:22" ht="22.95" customHeight="1" outlineLevel="3" x14ac:dyDescent="0.2">
      <c r="B480" s="81" t="s">
        <v>1637</v>
      </c>
      <c r="C480" s="81"/>
      <c r="D480" s="81"/>
      <c r="L480">
        <v>0</v>
      </c>
    </row>
    <row r="481" spans="2:22" ht="21" customHeight="1" outlineLevel="4" x14ac:dyDescent="0.2">
      <c r="B481" s="36">
        <v>417</v>
      </c>
      <c r="C481" s="37" t="s">
        <v>1638</v>
      </c>
      <c r="D481" s="37" t="s">
        <v>1639</v>
      </c>
      <c r="E481" s="38" t="s">
        <v>1640</v>
      </c>
      <c r="F481" s="39"/>
      <c r="G481" s="40"/>
      <c r="H481" s="41">
        <v>96</v>
      </c>
      <c r="I481" s="41">
        <v>12</v>
      </c>
      <c r="J481" s="50">
        <v>1198</v>
      </c>
      <c r="K481" s="36">
        <v>12</v>
      </c>
      <c r="L481" s="42" t="e">
        <f>(IF(#REF!,130.9*(1-#REF!/100),130.9*(1-O3/100)))/0.75</f>
        <v>#REF!</v>
      </c>
      <c r="M481" s="12"/>
      <c r="N481" s="40" t="e">
        <f t="shared" ref="N481:N486" si="26">L481*M481</f>
        <v>#REF!</v>
      </c>
      <c r="O481" s="43">
        <f>0.118*M481</f>
        <v>0</v>
      </c>
      <c r="P481" s="47">
        <f>0.00023*M481</f>
        <v>0</v>
      </c>
      <c r="Q481" s="44"/>
      <c r="R481" s="45" t="s">
        <v>1641</v>
      </c>
      <c r="S481" s="45" t="s">
        <v>93</v>
      </c>
      <c r="T481" s="37" t="str">
        <f>HYPERLINK("https://kanzpp.ru/api/getInfo/image/2ba8901f-0205-11ef-a25d-00155d82e908")</f>
        <v>https://kanzpp.ru/api/getInfo/image/2ba8901f-0205-11ef-a25d-00155d82e908</v>
      </c>
      <c r="U481" s="37"/>
    </row>
    <row r="482" spans="2:22" ht="21" customHeight="1" outlineLevel="4" x14ac:dyDescent="0.2">
      <c r="B482" s="36">
        <v>418</v>
      </c>
      <c r="C482" s="37" t="s">
        <v>1642</v>
      </c>
      <c r="D482" s="37" t="s">
        <v>1643</v>
      </c>
      <c r="E482" s="38" t="s">
        <v>1644</v>
      </c>
      <c r="F482" s="39"/>
      <c r="G482" s="40"/>
      <c r="H482" s="41">
        <v>12</v>
      </c>
      <c r="I482" s="40"/>
      <c r="J482" s="41">
        <v>4</v>
      </c>
      <c r="K482" s="36">
        <v>1</v>
      </c>
      <c r="L482" s="42" t="e">
        <f>(IF(#REF!,791.57*(1-#REF!/100),791.57*(1-O3/100)))/0.75</f>
        <v>#REF!</v>
      </c>
      <c r="M482" s="12"/>
      <c r="N482" s="40" t="e">
        <f t="shared" si="26"/>
        <v>#REF!</v>
      </c>
      <c r="O482" s="49">
        <f>0.9*M482</f>
        <v>0</v>
      </c>
      <c r="P482" s="47">
        <f>0.00223*M482</f>
        <v>0</v>
      </c>
      <c r="Q482" s="44"/>
      <c r="R482" s="45" t="s">
        <v>1645</v>
      </c>
      <c r="S482" s="45" t="s">
        <v>93</v>
      </c>
      <c r="T482" s="37" t="str">
        <f>HYPERLINK("https://kanzpp.ru/api/getInfo/image/30bd2d28-0951-11ef-a25d-00155d82e908")</f>
        <v>https://kanzpp.ru/api/getInfo/image/30bd2d28-0951-11ef-a25d-00155d82e908</v>
      </c>
      <c r="U482" s="37"/>
    </row>
    <row r="483" spans="2:22" ht="21" customHeight="1" outlineLevel="4" x14ac:dyDescent="0.2">
      <c r="B483" s="5">
        <v>419</v>
      </c>
      <c r="C483" s="6" t="s">
        <v>1646</v>
      </c>
      <c r="D483" s="6" t="s">
        <v>1647</v>
      </c>
      <c r="E483" s="7" t="s">
        <v>1648</v>
      </c>
      <c r="F483" s="13"/>
      <c r="G483" s="14"/>
      <c r="H483" s="15">
        <v>96</v>
      </c>
      <c r="I483" s="15">
        <v>12</v>
      </c>
      <c r="J483" s="14" t="s">
        <v>144</v>
      </c>
      <c r="K483" s="5">
        <v>12</v>
      </c>
      <c r="L483" s="16">
        <v>147.97333333333333</v>
      </c>
      <c r="M483" s="12"/>
      <c r="N483" s="14">
        <f t="shared" si="26"/>
        <v>0</v>
      </c>
      <c r="O483" s="23">
        <f>0.124*M483</f>
        <v>0</v>
      </c>
      <c r="P483" s="24">
        <f>0.00047*M483</f>
        <v>0</v>
      </c>
      <c r="Q483" s="25"/>
      <c r="R483" s="26" t="s">
        <v>1649</v>
      </c>
      <c r="S483" s="26" t="s">
        <v>93</v>
      </c>
      <c r="T483" s="6" t="str">
        <f>HYPERLINK("https://kanzpp.ru/api/getInfo/image/e05b7433-421e-11ec-a20f-ac1f6b442185")</f>
        <v>https://kanzpp.ru/api/getInfo/image/e05b7433-421e-11ec-a20f-ac1f6b442185</v>
      </c>
      <c r="U483" s="6"/>
      <c r="V483" s="33" t="s">
        <v>35</v>
      </c>
    </row>
    <row r="484" spans="2:22" ht="21" customHeight="1" outlineLevel="4" x14ac:dyDescent="0.2">
      <c r="B484" s="5">
        <v>420</v>
      </c>
      <c r="C484" s="6" t="s">
        <v>1650</v>
      </c>
      <c r="D484" s="6" t="s">
        <v>1651</v>
      </c>
      <c r="E484" s="7" t="s">
        <v>1652</v>
      </c>
      <c r="F484" s="13"/>
      <c r="G484" s="14"/>
      <c r="H484" s="15">
        <v>96</v>
      </c>
      <c r="I484" s="15">
        <v>12</v>
      </c>
      <c r="J484" s="14" t="s">
        <v>144</v>
      </c>
      <c r="K484" s="5">
        <v>12</v>
      </c>
      <c r="L484" s="16">
        <v>147.97333333333333</v>
      </c>
      <c r="M484" s="12"/>
      <c r="N484" s="14">
        <f t="shared" si="26"/>
        <v>0</v>
      </c>
      <c r="O484" s="23">
        <f>0.131*M484</f>
        <v>0</v>
      </c>
      <c r="P484" s="24">
        <f>0.00043*M484</f>
        <v>0</v>
      </c>
      <c r="Q484" s="25"/>
      <c r="R484" s="26" t="s">
        <v>1653</v>
      </c>
      <c r="S484" s="26" t="s">
        <v>93</v>
      </c>
      <c r="T484" s="6" t="str">
        <f>HYPERLINK("https://kanzpp.ru/api/getInfo/image/8fe058e6-421f-11ec-a20f-ac1f6b442185")</f>
        <v>https://kanzpp.ru/api/getInfo/image/8fe058e6-421f-11ec-a20f-ac1f6b442185</v>
      </c>
      <c r="U484" s="6"/>
      <c r="V484" s="33" t="s">
        <v>35</v>
      </c>
    </row>
    <row r="485" spans="2:22" ht="21" customHeight="1" outlineLevel="4" x14ac:dyDescent="0.2">
      <c r="B485" s="5">
        <v>421</v>
      </c>
      <c r="C485" s="6" t="s">
        <v>1654</v>
      </c>
      <c r="D485" s="6" t="s">
        <v>1655</v>
      </c>
      <c r="E485" s="7" t="s">
        <v>1656</v>
      </c>
      <c r="F485" s="13"/>
      <c r="G485" s="14"/>
      <c r="H485" s="15">
        <v>72</v>
      </c>
      <c r="I485" s="15">
        <v>12</v>
      </c>
      <c r="J485" s="14" t="s">
        <v>144</v>
      </c>
      <c r="K485" s="5">
        <v>12</v>
      </c>
      <c r="L485" s="16">
        <v>178.18666666666664</v>
      </c>
      <c r="M485" s="12"/>
      <c r="N485" s="14">
        <f t="shared" si="26"/>
        <v>0</v>
      </c>
      <c r="O485" s="28">
        <f>0.21*M485</f>
        <v>0</v>
      </c>
      <c r="P485" s="24">
        <f>0.00042*M485</f>
        <v>0</v>
      </c>
      <c r="Q485" s="25"/>
      <c r="R485" s="26" t="s">
        <v>1657</v>
      </c>
      <c r="S485" s="26" t="s">
        <v>93</v>
      </c>
      <c r="T485" s="6" t="str">
        <f>HYPERLINK("https://kanzpp.ru/api/getInfo/image/f17b1048-421f-11ec-a20f-ac1f6b442185")</f>
        <v>https://kanzpp.ru/api/getInfo/image/f17b1048-421f-11ec-a20f-ac1f6b442185</v>
      </c>
      <c r="U485" s="6"/>
      <c r="V485" s="33" t="s">
        <v>35</v>
      </c>
    </row>
    <row r="486" spans="2:22" ht="21" customHeight="1" outlineLevel="4" x14ac:dyDescent="0.2">
      <c r="B486" s="5">
        <v>422</v>
      </c>
      <c r="C486" s="6" t="s">
        <v>1658</v>
      </c>
      <c r="D486" s="6" t="s">
        <v>1659</v>
      </c>
      <c r="E486" s="7" t="s">
        <v>1660</v>
      </c>
      <c r="F486" s="13"/>
      <c r="G486" s="14"/>
      <c r="H486" s="15">
        <v>72</v>
      </c>
      <c r="I486" s="15">
        <v>12</v>
      </c>
      <c r="J486" s="14" t="s">
        <v>144</v>
      </c>
      <c r="K486" s="5">
        <v>12</v>
      </c>
      <c r="L486" s="16">
        <v>178.18666666666664</v>
      </c>
      <c r="M486" s="12"/>
      <c r="N486" s="14">
        <f t="shared" si="26"/>
        <v>0</v>
      </c>
      <c r="O486" s="23">
        <f>0.208*M486</f>
        <v>0</v>
      </c>
      <c r="P486" s="24">
        <f>0.00044*M486</f>
        <v>0</v>
      </c>
      <c r="Q486" s="25"/>
      <c r="R486" s="26" t="s">
        <v>1661</v>
      </c>
      <c r="S486" s="26" t="s">
        <v>93</v>
      </c>
      <c r="T486" s="6" t="str">
        <f>HYPERLINK("https://kanzpp.ru/api/getInfo/image/2f55dbe9-4221-11ec-a20f-ac1f6b442185")</f>
        <v>https://kanzpp.ru/api/getInfo/image/2f55dbe9-4221-11ec-a20f-ac1f6b442185</v>
      </c>
      <c r="U486" s="6"/>
      <c r="V486" s="33" t="s">
        <v>35</v>
      </c>
    </row>
    <row r="487" spans="2:22" ht="22.95" customHeight="1" outlineLevel="3" x14ac:dyDescent="0.2">
      <c r="B487" s="81" t="s">
        <v>1662</v>
      </c>
      <c r="C487" s="81"/>
      <c r="D487" s="81"/>
      <c r="L487">
        <v>0</v>
      </c>
    </row>
    <row r="488" spans="2:22" ht="22.95" customHeight="1" outlineLevel="4" x14ac:dyDescent="0.2">
      <c r="B488" s="82" t="s">
        <v>1663</v>
      </c>
      <c r="C488" s="82"/>
      <c r="D488" s="82"/>
      <c r="L488">
        <v>0</v>
      </c>
    </row>
    <row r="489" spans="2:22" ht="21" customHeight="1" outlineLevel="5" x14ac:dyDescent="0.2">
      <c r="B489" s="5">
        <v>423</v>
      </c>
      <c r="C489" s="6" t="s">
        <v>1664</v>
      </c>
      <c r="D489" s="6" t="s">
        <v>1665</v>
      </c>
      <c r="E489" s="7" t="s">
        <v>1666</v>
      </c>
      <c r="F489" s="13"/>
      <c r="G489" s="14"/>
      <c r="H489" s="15">
        <v>720</v>
      </c>
      <c r="I489" s="15">
        <v>18</v>
      </c>
      <c r="J489" s="14" t="s">
        <v>144</v>
      </c>
      <c r="K489" s="5">
        <v>36</v>
      </c>
      <c r="L489" s="16">
        <v>17.826666666666664</v>
      </c>
      <c r="M489" s="12"/>
      <c r="N489" s="14">
        <f>L489*M489</f>
        <v>0</v>
      </c>
      <c r="O489" s="23">
        <f>0.014*M489</f>
        <v>0</v>
      </c>
      <c r="P489" s="24">
        <f>0.00004*M489</f>
        <v>0</v>
      </c>
      <c r="Q489" s="25"/>
      <c r="R489" s="26" t="s">
        <v>1667</v>
      </c>
      <c r="S489" s="26" t="s">
        <v>93</v>
      </c>
      <c r="T489" s="6" t="str">
        <f>HYPERLINK("https://kanzpp.ru/api/getInfo/image/97226cdd-1191-11ee-a23b-00155d82e902")</f>
        <v>https://kanzpp.ru/api/getInfo/image/97226cdd-1191-11ee-a23b-00155d82e902</v>
      </c>
      <c r="U489" s="6"/>
      <c r="V489" s="33" t="s">
        <v>35</v>
      </c>
    </row>
    <row r="490" spans="2:22" ht="21" customHeight="1" outlineLevel="5" x14ac:dyDescent="0.2">
      <c r="B490" s="5">
        <v>424</v>
      </c>
      <c r="C490" s="6" t="s">
        <v>1668</v>
      </c>
      <c r="D490" s="6" t="s">
        <v>1669</v>
      </c>
      <c r="E490" s="7" t="s">
        <v>1670</v>
      </c>
      <c r="F490" s="13"/>
      <c r="G490" s="14"/>
      <c r="H490" s="15">
        <v>576</v>
      </c>
      <c r="I490" s="15">
        <v>12</v>
      </c>
      <c r="J490" s="14" t="s">
        <v>144</v>
      </c>
      <c r="K490" s="5">
        <v>36</v>
      </c>
      <c r="L490" s="16">
        <v>17.866666666666667</v>
      </c>
      <c r="M490" s="12"/>
      <c r="N490" s="14">
        <f>L490*M490</f>
        <v>0</v>
      </c>
      <c r="O490" s="28">
        <f>0.02*M490</f>
        <v>0</v>
      </c>
      <c r="P490" s="24">
        <f>0.00003*M490</f>
        <v>0</v>
      </c>
      <c r="Q490" s="25"/>
      <c r="R490" s="26" t="s">
        <v>1671</v>
      </c>
      <c r="S490" s="26" t="s">
        <v>93</v>
      </c>
      <c r="T490" s="6" t="str">
        <f>HYPERLINK("https://kanzpp.ru/api/getInfo/image/323e725e-0d08-11ea-a236-ac1f6b442184")</f>
        <v>https://kanzpp.ru/api/getInfo/image/323e725e-0d08-11ea-a236-ac1f6b442184</v>
      </c>
      <c r="U490" s="6"/>
      <c r="V490" s="33" t="s">
        <v>35</v>
      </c>
    </row>
    <row r="491" spans="2:22" ht="21" customHeight="1" outlineLevel="5" x14ac:dyDescent="0.2">
      <c r="B491" s="5">
        <v>425</v>
      </c>
      <c r="C491" s="6" t="s">
        <v>1672</v>
      </c>
      <c r="D491" s="6" t="s">
        <v>1673</v>
      </c>
      <c r="E491" s="7" t="s">
        <v>1674</v>
      </c>
      <c r="F491" s="13"/>
      <c r="G491" s="14"/>
      <c r="H491" s="15">
        <v>576</v>
      </c>
      <c r="I491" s="15">
        <v>12</v>
      </c>
      <c r="J491" s="14" t="s">
        <v>144</v>
      </c>
      <c r="K491" s="5">
        <v>36</v>
      </c>
      <c r="L491" s="16">
        <v>18.080000000000002</v>
      </c>
      <c r="M491" s="12"/>
      <c r="N491" s="14">
        <f>L491*M491</f>
        <v>0</v>
      </c>
      <c r="O491" s="23">
        <f>0.025*M491</f>
        <v>0</v>
      </c>
      <c r="P491" s="24">
        <f>0.00003*M491</f>
        <v>0</v>
      </c>
      <c r="Q491" s="25"/>
      <c r="R491" s="26" t="s">
        <v>1675</v>
      </c>
      <c r="S491" s="26" t="s">
        <v>93</v>
      </c>
      <c r="T491" s="6" t="str">
        <f>HYPERLINK("https://kanzpp.ru/api/getInfo/image/4ae371bd-e7dc-11e8-a214-ac1f6b442184")</f>
        <v>https://kanzpp.ru/api/getInfo/image/4ae371bd-e7dc-11e8-a214-ac1f6b442184</v>
      </c>
      <c r="U491" s="6"/>
      <c r="V491" s="33" t="s">
        <v>35</v>
      </c>
    </row>
    <row r="492" spans="2:22" ht="21" customHeight="1" outlineLevel="5" x14ac:dyDescent="0.2">
      <c r="B492" s="5">
        <v>426</v>
      </c>
      <c r="C492" s="6" t="s">
        <v>1676</v>
      </c>
      <c r="D492" s="6" t="s">
        <v>1677</v>
      </c>
      <c r="E492" s="7" t="s">
        <v>1678</v>
      </c>
      <c r="F492" s="13"/>
      <c r="G492" s="14"/>
      <c r="H492" s="15">
        <v>576</v>
      </c>
      <c r="I492" s="15">
        <v>12</v>
      </c>
      <c r="J492" s="14" t="s">
        <v>144</v>
      </c>
      <c r="K492" s="5">
        <v>36</v>
      </c>
      <c r="L492" s="16">
        <v>15.786666666666667</v>
      </c>
      <c r="M492" s="12"/>
      <c r="N492" s="14">
        <f>L492*M492</f>
        <v>0</v>
      </c>
      <c r="O492" s="28">
        <f>0.03*M492</f>
        <v>0</v>
      </c>
      <c r="P492" s="24">
        <f>0.00003*M492</f>
        <v>0</v>
      </c>
      <c r="Q492" s="25"/>
      <c r="R492" s="26" t="s">
        <v>1679</v>
      </c>
      <c r="S492" s="26" t="s">
        <v>93</v>
      </c>
      <c r="T492" s="6" t="str">
        <f>HYPERLINK("https://kanzpp.ru/api/getInfo/image/a08fcdcd-30c9-11e7-a248-5cf3fc4a2490")</f>
        <v>https://kanzpp.ru/api/getInfo/image/a08fcdcd-30c9-11e7-a248-5cf3fc4a2490</v>
      </c>
      <c r="U492" s="6"/>
      <c r="V492" s="33" t="s">
        <v>35</v>
      </c>
    </row>
    <row r="493" spans="2:22" ht="21" customHeight="1" outlineLevel="5" x14ac:dyDescent="0.2">
      <c r="B493" s="5">
        <v>427</v>
      </c>
      <c r="C493" s="6" t="s">
        <v>1680</v>
      </c>
      <c r="D493" s="6" t="s">
        <v>1681</v>
      </c>
      <c r="E493" s="7" t="s">
        <v>1682</v>
      </c>
      <c r="F493" s="13"/>
      <c r="G493" s="14"/>
      <c r="H493" s="15">
        <v>576</v>
      </c>
      <c r="I493" s="15">
        <v>12</v>
      </c>
      <c r="J493" s="14" t="s">
        <v>144</v>
      </c>
      <c r="K493" s="5">
        <v>24</v>
      </c>
      <c r="L493" s="16">
        <v>23.866666666666664</v>
      </c>
      <c r="M493" s="12"/>
      <c r="N493" s="14">
        <f>L493*M493</f>
        <v>0</v>
      </c>
      <c r="O493" s="23">
        <f>0.028*M493</f>
        <v>0</v>
      </c>
      <c r="P493" s="24">
        <f>0.00003*M493</f>
        <v>0</v>
      </c>
      <c r="Q493" s="25"/>
      <c r="R493" s="26" t="s">
        <v>1683</v>
      </c>
      <c r="S493" s="26" t="s">
        <v>93</v>
      </c>
      <c r="T493" s="6" t="str">
        <f>HYPERLINK("https://kanzpp.ru/api/getInfo/image/a76f5991-e7dc-11e8-a214-ac1f6b442184")</f>
        <v>https://kanzpp.ru/api/getInfo/image/a76f5991-e7dc-11e8-a214-ac1f6b442184</v>
      </c>
      <c r="U493" s="6"/>
      <c r="V493" s="33" t="s">
        <v>35</v>
      </c>
    </row>
    <row r="494" spans="2:22" ht="22.95" customHeight="1" outlineLevel="4" x14ac:dyDescent="0.2">
      <c r="B494" s="82" t="s">
        <v>1684</v>
      </c>
      <c r="C494" s="82"/>
      <c r="D494" s="82"/>
      <c r="L494">
        <v>0</v>
      </c>
    </row>
    <row r="495" spans="2:22" ht="21" customHeight="1" outlineLevel="5" x14ac:dyDescent="0.2">
      <c r="B495" s="5">
        <v>428</v>
      </c>
      <c r="C495" s="6" t="s">
        <v>1685</v>
      </c>
      <c r="D495" s="6" t="s">
        <v>1686</v>
      </c>
      <c r="E495" s="7" t="s">
        <v>1687</v>
      </c>
      <c r="F495" s="13"/>
      <c r="G495" s="14"/>
      <c r="H495" s="15">
        <v>576</v>
      </c>
      <c r="I495" s="15">
        <v>24</v>
      </c>
      <c r="J495" s="14" t="s">
        <v>144</v>
      </c>
      <c r="K495" s="5">
        <v>24</v>
      </c>
      <c r="L495" s="16">
        <v>22.133333333333336</v>
      </c>
      <c r="M495" s="12"/>
      <c r="N495" s="14">
        <f>L495*M495</f>
        <v>0</v>
      </c>
      <c r="O495" s="23">
        <f>0.016*M495</f>
        <v>0</v>
      </c>
      <c r="P495" s="14">
        <v>0</v>
      </c>
      <c r="Q495" s="25"/>
      <c r="R495" s="26" t="s">
        <v>1688</v>
      </c>
      <c r="S495" s="26" t="s">
        <v>93</v>
      </c>
      <c r="T495" s="6" t="str">
        <f>HYPERLINK("https://kanzpp.ru/api/getInfo/image/93211af7-493a-11ec-a20f-ac1f6b442185")</f>
        <v>https://kanzpp.ru/api/getInfo/image/93211af7-493a-11ec-a20f-ac1f6b442185</v>
      </c>
      <c r="U495" s="6"/>
      <c r="V495" s="33" t="s">
        <v>35</v>
      </c>
    </row>
    <row r="496" spans="2:22" ht="21" customHeight="1" outlineLevel="5" x14ac:dyDescent="0.2">
      <c r="B496" s="5">
        <v>429</v>
      </c>
      <c r="C496" s="6" t="s">
        <v>1689</v>
      </c>
      <c r="D496" s="6" t="s">
        <v>1690</v>
      </c>
      <c r="E496" s="7" t="s">
        <v>1691</v>
      </c>
      <c r="F496" s="13"/>
      <c r="G496" s="14"/>
      <c r="H496" s="15">
        <v>576</v>
      </c>
      <c r="I496" s="15">
        <v>24</v>
      </c>
      <c r="J496" s="15">
        <v>72</v>
      </c>
      <c r="K496" s="5">
        <v>24</v>
      </c>
      <c r="L496" s="16">
        <v>26.146666666666665</v>
      </c>
      <c r="M496" s="12"/>
      <c r="N496" s="14">
        <f>L496*M496</f>
        <v>0</v>
      </c>
      <c r="O496" s="28">
        <f>0.02*M496</f>
        <v>0</v>
      </c>
      <c r="P496" s="31">
        <f>0.0002*M496</f>
        <v>0</v>
      </c>
      <c r="Q496" s="25"/>
      <c r="R496" s="26" t="s">
        <v>1692</v>
      </c>
      <c r="S496" s="26" t="s">
        <v>93</v>
      </c>
      <c r="T496" s="6" t="str">
        <f>HYPERLINK("https://kanzpp.ru/api/getInfo/image/9d800cff-493b-11ec-a20f-ac1f6b442185")</f>
        <v>https://kanzpp.ru/api/getInfo/image/9d800cff-493b-11ec-a20f-ac1f6b442185</v>
      </c>
      <c r="U496" s="6"/>
      <c r="V496" s="33" t="s">
        <v>35</v>
      </c>
    </row>
    <row r="497" spans="2:22" ht="22.95" customHeight="1" outlineLevel="3" x14ac:dyDescent="0.2">
      <c r="B497" s="81" t="s">
        <v>1693</v>
      </c>
      <c r="C497" s="81"/>
      <c r="D497" s="81"/>
      <c r="L497">
        <v>0</v>
      </c>
    </row>
    <row r="498" spans="2:22" ht="22.95" customHeight="1" outlineLevel="4" x14ac:dyDescent="0.2">
      <c r="B498" s="82" t="s">
        <v>1694</v>
      </c>
      <c r="C498" s="82"/>
      <c r="D498" s="82"/>
      <c r="L498">
        <v>0</v>
      </c>
    </row>
    <row r="499" spans="2:22" ht="21" customHeight="1" outlineLevel="5" x14ac:dyDescent="0.2">
      <c r="B499" s="5">
        <v>430</v>
      </c>
      <c r="C499" s="6" t="s">
        <v>1695</v>
      </c>
      <c r="D499" s="6" t="s">
        <v>1696</v>
      </c>
      <c r="E499" s="7" t="s">
        <v>1697</v>
      </c>
      <c r="F499" s="13"/>
      <c r="G499" s="14"/>
      <c r="H499" s="15">
        <v>36</v>
      </c>
      <c r="I499" s="14"/>
      <c r="J499" s="17">
        <v>1152</v>
      </c>
      <c r="K499" s="5">
        <v>36</v>
      </c>
      <c r="L499" s="16">
        <v>53.466666666666669</v>
      </c>
      <c r="M499" s="12"/>
      <c r="N499" s="14">
        <f>L499*M499</f>
        <v>0</v>
      </c>
      <c r="O499" s="23">
        <f>0.106*M499</f>
        <v>0</v>
      </c>
      <c r="P499" s="24">
        <f>0.00048*M499</f>
        <v>0</v>
      </c>
      <c r="Q499" s="25"/>
      <c r="R499" s="26" t="s">
        <v>1698</v>
      </c>
      <c r="S499" s="26" t="s">
        <v>93</v>
      </c>
      <c r="T499" s="6" t="str">
        <f>HYPERLINK("https://kanzpp.ru/api/getInfo/image/f871fcee-37d4-11e8-ba06-5cf3fc4a2490")</f>
        <v>https://kanzpp.ru/api/getInfo/image/f871fcee-37d4-11e8-ba06-5cf3fc4a2490</v>
      </c>
      <c r="U499" s="6"/>
      <c r="V499" s="33" t="s">
        <v>35</v>
      </c>
    </row>
    <row r="500" spans="2:22" ht="21" customHeight="1" outlineLevel="5" x14ac:dyDescent="0.2">
      <c r="B500" s="5">
        <v>431</v>
      </c>
      <c r="C500" s="6" t="s">
        <v>1699</v>
      </c>
      <c r="D500" s="6" t="s">
        <v>1700</v>
      </c>
      <c r="E500" s="7" t="s">
        <v>1701</v>
      </c>
      <c r="F500" s="13"/>
      <c r="G500" s="14"/>
      <c r="H500" s="15">
        <v>36</v>
      </c>
      <c r="I500" s="14"/>
      <c r="J500" s="15">
        <v>108</v>
      </c>
      <c r="K500" s="5">
        <v>36</v>
      </c>
      <c r="L500" s="16">
        <v>55.333333333333336</v>
      </c>
      <c r="M500" s="12"/>
      <c r="N500" s="14">
        <f>L500*M500</f>
        <v>0</v>
      </c>
      <c r="O500" s="23">
        <f>0.121*M500</f>
        <v>0</v>
      </c>
      <c r="P500" s="24">
        <f>0.00051*M500</f>
        <v>0</v>
      </c>
      <c r="Q500" s="25"/>
      <c r="R500" s="26" t="s">
        <v>1702</v>
      </c>
      <c r="S500" s="26" t="s">
        <v>93</v>
      </c>
      <c r="T500" s="6" t="str">
        <f>HYPERLINK("https://kanzpp.ru/api/getInfo/image/2cc46c09-37d5-11e8-ba06-5cf3fc4a2490")</f>
        <v>https://kanzpp.ru/api/getInfo/image/2cc46c09-37d5-11e8-ba06-5cf3fc4a2490</v>
      </c>
      <c r="U500" s="6"/>
      <c r="V500" s="33" t="s">
        <v>35</v>
      </c>
    </row>
    <row r="501" spans="2:22" ht="22.95" customHeight="1" outlineLevel="4" x14ac:dyDescent="0.2">
      <c r="B501" s="82" t="s">
        <v>1703</v>
      </c>
      <c r="C501" s="82"/>
      <c r="D501" s="82"/>
      <c r="L501">
        <v>0</v>
      </c>
    </row>
    <row r="502" spans="2:22" ht="21" customHeight="1" outlineLevel="5" x14ac:dyDescent="0.2">
      <c r="B502" s="36">
        <v>432</v>
      </c>
      <c r="C502" s="37" t="s">
        <v>1704</v>
      </c>
      <c r="D502" s="37" t="s">
        <v>1705</v>
      </c>
      <c r="E502" s="38" t="s">
        <v>1706</v>
      </c>
      <c r="F502" s="39"/>
      <c r="G502" s="40"/>
      <c r="H502" s="41">
        <v>36</v>
      </c>
      <c r="I502" s="40"/>
      <c r="J502" s="50">
        <v>1692</v>
      </c>
      <c r="K502" s="36">
        <v>36</v>
      </c>
      <c r="L502" s="42" t="e">
        <f>(IF(#REF!,71.16*(1-#REF!/100),71.16*(1-O3/100)))/0.75</f>
        <v>#REF!</v>
      </c>
      <c r="M502" s="12"/>
      <c r="N502" s="40" t="e">
        <f>L502*M502</f>
        <v>#REF!</v>
      </c>
      <c r="O502" s="43">
        <f>0.138*M502</f>
        <v>0</v>
      </c>
      <c r="P502" s="47">
        <f>0.00052*M502</f>
        <v>0</v>
      </c>
      <c r="Q502" s="44"/>
      <c r="R502" s="45" t="s">
        <v>1707</v>
      </c>
      <c r="S502" s="45" t="s">
        <v>93</v>
      </c>
      <c r="T502" s="37" t="str">
        <f>HYPERLINK("https://kanzpp.ru/api/getInfo/image/34aeb377-b18a-11e6-a48a-5cf3fc4a2490")</f>
        <v>https://kanzpp.ru/api/getInfo/image/34aeb377-b18a-11e6-a48a-5cf3fc4a2490</v>
      </c>
      <c r="U502" s="37"/>
    </row>
    <row r="503" spans="2:22" ht="21" customHeight="1" outlineLevel="5" x14ac:dyDescent="0.2">
      <c r="B503" s="36">
        <v>433</v>
      </c>
      <c r="C503" s="37" t="s">
        <v>1708</v>
      </c>
      <c r="D503" s="37" t="s">
        <v>1709</v>
      </c>
      <c r="E503" s="38" t="s">
        <v>1710</v>
      </c>
      <c r="F503" s="39"/>
      <c r="G503" s="40"/>
      <c r="H503" s="41">
        <v>36</v>
      </c>
      <c r="I503" s="40"/>
      <c r="J503" s="50">
        <v>1008</v>
      </c>
      <c r="K503" s="36">
        <v>36</v>
      </c>
      <c r="L503" s="42" t="e">
        <f>(IF(#REF!,75.58*(1-#REF!/100),75.58*(1-O3/100)))/0.75</f>
        <v>#REF!</v>
      </c>
      <c r="M503" s="12"/>
      <c r="N503" s="40" t="e">
        <f>L503*M503</f>
        <v>#REF!</v>
      </c>
      <c r="O503" s="43">
        <f>0.153*M503</f>
        <v>0</v>
      </c>
      <c r="P503" s="47">
        <f>0.00053*M503</f>
        <v>0</v>
      </c>
      <c r="Q503" s="44"/>
      <c r="R503" s="45" t="s">
        <v>1711</v>
      </c>
      <c r="S503" s="45" t="s">
        <v>93</v>
      </c>
      <c r="T503" s="37" t="str">
        <f>HYPERLINK("https://kanzpp.ru/api/getInfo/image/67b336de-b2d3-11e6-a48a-5cf3fc4a2490")</f>
        <v>https://kanzpp.ru/api/getInfo/image/67b336de-b2d3-11e6-a48a-5cf3fc4a2490</v>
      </c>
      <c r="U503" s="37"/>
    </row>
    <row r="504" spans="2:22" ht="22.95" customHeight="1" outlineLevel="4" x14ac:dyDescent="0.2">
      <c r="B504" s="82" t="s">
        <v>1712</v>
      </c>
      <c r="C504" s="82"/>
      <c r="D504" s="82"/>
      <c r="L504">
        <v>0</v>
      </c>
    </row>
    <row r="505" spans="2:22" ht="21" customHeight="1" outlineLevel="5" x14ac:dyDescent="0.2">
      <c r="B505" s="5">
        <v>434</v>
      </c>
      <c r="C505" s="6" t="s">
        <v>1713</v>
      </c>
      <c r="D505" s="6" t="s">
        <v>1714</v>
      </c>
      <c r="E505" s="7" t="s">
        <v>1715</v>
      </c>
      <c r="F505" s="13"/>
      <c r="G505" s="14"/>
      <c r="H505" s="15">
        <v>400</v>
      </c>
      <c r="I505" s="14"/>
      <c r="J505" s="15">
        <v>56</v>
      </c>
      <c r="K505" s="5">
        <v>14</v>
      </c>
      <c r="L505" s="16">
        <v>13.200000000000001</v>
      </c>
      <c r="M505" s="12"/>
      <c r="N505" s="14">
        <f>L505*M505</f>
        <v>0</v>
      </c>
      <c r="O505" s="23">
        <f>0.038*M505</f>
        <v>0</v>
      </c>
      <c r="P505" s="24">
        <f>0.00011*M505</f>
        <v>0</v>
      </c>
      <c r="Q505" s="25"/>
      <c r="R505" s="26" t="s">
        <v>1716</v>
      </c>
      <c r="S505" s="26" t="s">
        <v>93</v>
      </c>
      <c r="T505" s="6" t="str">
        <f>HYPERLINK("https://kanzpp.ru/api/getInfo/image/a2b610b7-3f7f-11ef-a261-00155d82e908")</f>
        <v>https://kanzpp.ru/api/getInfo/image/a2b610b7-3f7f-11ef-a261-00155d82e908</v>
      </c>
      <c r="U505" s="6"/>
      <c r="V505" s="33" t="s">
        <v>35</v>
      </c>
    </row>
    <row r="506" spans="2:22" ht="22.95" customHeight="1" outlineLevel="3" x14ac:dyDescent="0.2">
      <c r="B506" s="81" t="s">
        <v>1717</v>
      </c>
      <c r="C506" s="81"/>
      <c r="D506" s="81"/>
      <c r="L506">
        <v>0</v>
      </c>
    </row>
    <row r="507" spans="2:22" ht="21" customHeight="1" outlineLevel="4" x14ac:dyDescent="0.2">
      <c r="B507" s="5">
        <v>435</v>
      </c>
      <c r="C507" s="6" t="s">
        <v>1718</v>
      </c>
      <c r="D507" s="6" t="s">
        <v>1719</v>
      </c>
      <c r="E507" s="7" t="s">
        <v>1720</v>
      </c>
      <c r="F507" s="13"/>
      <c r="G507" s="14"/>
      <c r="H507" s="15">
        <v>400</v>
      </c>
      <c r="I507" s="14"/>
      <c r="J507" s="14" t="s">
        <v>144</v>
      </c>
      <c r="K507" s="5">
        <v>25</v>
      </c>
      <c r="L507" s="16">
        <v>23.866666666666664</v>
      </c>
      <c r="M507" s="12"/>
      <c r="N507" s="14">
        <f t="shared" ref="N507:N513" si="27">L507*M507</f>
        <v>0</v>
      </c>
      <c r="O507" s="23">
        <f>0.051*M507</f>
        <v>0</v>
      </c>
      <c r="P507" s="24">
        <f>0.00216*M507</f>
        <v>0</v>
      </c>
      <c r="Q507" s="25"/>
      <c r="R507" s="26" t="s">
        <v>1721</v>
      </c>
      <c r="S507" s="26" t="s">
        <v>93</v>
      </c>
      <c r="T507" s="6" t="str">
        <f>HYPERLINK("https://kanzpp.ru/api/getInfo/image/6f6987dc-4a1b-11e8-b825-5cf3fc4a2490")</f>
        <v>https://kanzpp.ru/api/getInfo/image/6f6987dc-4a1b-11e8-b825-5cf3fc4a2490</v>
      </c>
      <c r="U507" s="6"/>
      <c r="V507" s="33" t="s">
        <v>35</v>
      </c>
    </row>
    <row r="508" spans="2:22" ht="21" customHeight="1" outlineLevel="4" x14ac:dyDescent="0.2">
      <c r="B508" s="5">
        <v>436</v>
      </c>
      <c r="C508" s="6" t="s">
        <v>1722</v>
      </c>
      <c r="D508" s="6" t="s">
        <v>1723</v>
      </c>
      <c r="E508" s="7" t="s">
        <v>1724</v>
      </c>
      <c r="F508" s="13"/>
      <c r="G508" s="14"/>
      <c r="H508" s="15">
        <v>400</v>
      </c>
      <c r="I508" s="14"/>
      <c r="J508" s="14" t="s">
        <v>144</v>
      </c>
      <c r="K508" s="5">
        <v>18</v>
      </c>
      <c r="L508" s="16">
        <v>26.533333333333331</v>
      </c>
      <c r="M508" s="12"/>
      <c r="N508" s="14">
        <f t="shared" si="27"/>
        <v>0</v>
      </c>
      <c r="O508" s="23">
        <f>0.051*M508</f>
        <v>0</v>
      </c>
      <c r="P508" s="24">
        <f>0.00216*M508</f>
        <v>0</v>
      </c>
      <c r="Q508" s="25"/>
      <c r="R508" s="26" t="s">
        <v>1725</v>
      </c>
      <c r="S508" s="26" t="s">
        <v>93</v>
      </c>
      <c r="T508" s="6" t="str">
        <f>HYPERLINK("https://kanzpp.ru/api/getInfo/image/46a9df52-a9ea-11e8-a208-ac1f6b442184")</f>
        <v>https://kanzpp.ru/api/getInfo/image/46a9df52-a9ea-11e8-a208-ac1f6b442184</v>
      </c>
      <c r="U508" s="6"/>
      <c r="V508" s="33" t="s">
        <v>35</v>
      </c>
    </row>
    <row r="509" spans="2:22" ht="21" customHeight="1" outlineLevel="4" x14ac:dyDescent="0.2">
      <c r="B509" s="5">
        <v>437</v>
      </c>
      <c r="C509" s="6" t="s">
        <v>1726</v>
      </c>
      <c r="D509" s="6" t="s">
        <v>1727</v>
      </c>
      <c r="E509" s="7" t="s">
        <v>1728</v>
      </c>
      <c r="F509" s="13"/>
      <c r="G509" s="14"/>
      <c r="H509" s="15">
        <v>200</v>
      </c>
      <c r="I509" s="14"/>
      <c r="J509" s="14" t="s">
        <v>144</v>
      </c>
      <c r="K509" s="5">
        <v>10</v>
      </c>
      <c r="L509" s="16">
        <v>49.800000000000004</v>
      </c>
      <c r="M509" s="12"/>
      <c r="N509" s="14">
        <f t="shared" si="27"/>
        <v>0</v>
      </c>
      <c r="O509" s="23">
        <f>0.108*M509</f>
        <v>0</v>
      </c>
      <c r="P509" s="24">
        <f>0.00044*M509</f>
        <v>0</v>
      </c>
      <c r="Q509" s="25"/>
      <c r="R509" s="26" t="s">
        <v>1729</v>
      </c>
      <c r="S509" s="26" t="s">
        <v>93</v>
      </c>
      <c r="T509" s="6" t="str">
        <f>HYPERLINK("https://kanzpp.ru/api/getInfo/image/b3f92f98-a9eb-11e8-a208-ac1f6b442184")</f>
        <v>https://kanzpp.ru/api/getInfo/image/b3f92f98-a9eb-11e8-a208-ac1f6b442184</v>
      </c>
      <c r="U509" s="6"/>
      <c r="V509" s="33" t="s">
        <v>35</v>
      </c>
    </row>
    <row r="510" spans="2:22" ht="21" customHeight="1" outlineLevel="4" x14ac:dyDescent="0.2">
      <c r="B510" s="5">
        <v>438</v>
      </c>
      <c r="C510" s="6" t="s">
        <v>1730</v>
      </c>
      <c r="D510" s="6" t="s">
        <v>1731</v>
      </c>
      <c r="E510" s="7" t="s">
        <v>1732</v>
      </c>
      <c r="F510" s="13"/>
      <c r="G510" s="14"/>
      <c r="H510" s="15">
        <v>100</v>
      </c>
      <c r="I510" s="14"/>
      <c r="J510" s="14" t="s">
        <v>144</v>
      </c>
      <c r="K510" s="5">
        <v>5</v>
      </c>
      <c r="L510" s="16">
        <v>93.2</v>
      </c>
      <c r="M510" s="12"/>
      <c r="N510" s="14">
        <f t="shared" si="27"/>
        <v>0</v>
      </c>
      <c r="O510" s="28">
        <f>0.21*M510</f>
        <v>0</v>
      </c>
      <c r="P510" s="24">
        <f>0.00484*M510</f>
        <v>0</v>
      </c>
      <c r="Q510" s="25"/>
      <c r="R510" s="26" t="s">
        <v>1733</v>
      </c>
      <c r="S510" s="26" t="s">
        <v>93</v>
      </c>
      <c r="T510" s="6" t="str">
        <f>HYPERLINK("https://kanzpp.ru/api/getInfo/image/6091e689-a9f0-11e8-a208-ac1f6b442184")</f>
        <v>https://kanzpp.ru/api/getInfo/image/6091e689-a9f0-11e8-a208-ac1f6b442184</v>
      </c>
      <c r="U510" s="6"/>
      <c r="V510" s="33" t="s">
        <v>35</v>
      </c>
    </row>
    <row r="511" spans="2:22" ht="21" customHeight="1" outlineLevel="4" x14ac:dyDescent="0.2">
      <c r="B511" s="5">
        <v>439</v>
      </c>
      <c r="C511" s="6" t="s">
        <v>1734</v>
      </c>
      <c r="D511" s="6" t="s">
        <v>1735</v>
      </c>
      <c r="E511" s="7" t="s">
        <v>1736</v>
      </c>
      <c r="F511" s="13"/>
      <c r="G511" s="14"/>
      <c r="H511" s="15">
        <v>40</v>
      </c>
      <c r="I511" s="14"/>
      <c r="J511" s="14" t="s">
        <v>144</v>
      </c>
      <c r="K511" s="5">
        <v>3</v>
      </c>
      <c r="L511" s="16">
        <v>185.33333333333334</v>
      </c>
      <c r="M511" s="12"/>
      <c r="N511" s="14">
        <f t="shared" si="27"/>
        <v>0</v>
      </c>
      <c r="O511" s="23">
        <f>0.501*M511</f>
        <v>0</v>
      </c>
      <c r="P511" s="24">
        <f>0.00151*M511</f>
        <v>0</v>
      </c>
      <c r="Q511" s="25"/>
      <c r="R511" s="26" t="s">
        <v>1737</v>
      </c>
      <c r="S511" s="26" t="s">
        <v>93</v>
      </c>
      <c r="T511" s="6" t="str">
        <f>HYPERLINK("https://kanzpp.ru/api/getInfo/image/e6f623ad-a9f1-11e8-a208-ac1f6b442184")</f>
        <v>https://kanzpp.ru/api/getInfo/image/e6f623ad-a9f1-11e8-a208-ac1f6b442184</v>
      </c>
      <c r="U511" s="6"/>
      <c r="V511" s="33" t="s">
        <v>35</v>
      </c>
    </row>
    <row r="512" spans="2:22" ht="21" customHeight="1" outlineLevel="4" x14ac:dyDescent="0.2">
      <c r="B512" s="5">
        <v>440</v>
      </c>
      <c r="C512" s="6" t="s">
        <v>1738</v>
      </c>
      <c r="D512" s="6" t="s">
        <v>1739</v>
      </c>
      <c r="E512" s="7" t="s">
        <v>1740</v>
      </c>
      <c r="F512" s="13"/>
      <c r="G512" s="14"/>
      <c r="H512" s="15">
        <v>400</v>
      </c>
      <c r="I512" s="14"/>
      <c r="J512" s="14" t="s">
        <v>144</v>
      </c>
      <c r="K512" s="5">
        <v>15</v>
      </c>
      <c r="L512" s="16">
        <v>26.533333333333331</v>
      </c>
      <c r="M512" s="12"/>
      <c r="N512" s="14">
        <f t="shared" si="27"/>
        <v>0</v>
      </c>
      <c r="O512" s="28">
        <f>0.05*M512</f>
        <v>0</v>
      </c>
      <c r="P512" s="24">
        <f>0.00324*M512</f>
        <v>0</v>
      </c>
      <c r="Q512" s="25"/>
      <c r="R512" s="26" t="s">
        <v>1741</v>
      </c>
      <c r="S512" s="26" t="s">
        <v>93</v>
      </c>
      <c r="T512" s="6" t="str">
        <f>HYPERLINK("https://kanzpp.ru/api/getInfo/image/86a93fd3-a9f5-11e8-a208-ac1f6b442184")</f>
        <v>https://kanzpp.ru/api/getInfo/image/86a93fd3-a9f5-11e8-a208-ac1f6b442184</v>
      </c>
      <c r="U512" s="6"/>
      <c r="V512" s="33" t="s">
        <v>35</v>
      </c>
    </row>
    <row r="513" spans="2:22" ht="21" customHeight="1" outlineLevel="4" x14ac:dyDescent="0.2">
      <c r="B513" s="5">
        <v>441</v>
      </c>
      <c r="C513" s="6" t="s">
        <v>1742</v>
      </c>
      <c r="D513" s="6" t="s">
        <v>1743</v>
      </c>
      <c r="E513" s="7" t="s">
        <v>1744</v>
      </c>
      <c r="F513" s="13"/>
      <c r="G513" s="14"/>
      <c r="H513" s="15">
        <v>200</v>
      </c>
      <c r="I513" s="14"/>
      <c r="J513" s="14" t="s">
        <v>144</v>
      </c>
      <c r="K513" s="5">
        <v>8</v>
      </c>
      <c r="L513" s="16">
        <v>53.199999999999996</v>
      </c>
      <c r="M513" s="12"/>
      <c r="N513" s="14">
        <f t="shared" si="27"/>
        <v>0</v>
      </c>
      <c r="O513" s="23">
        <f>0.101*M513</f>
        <v>0</v>
      </c>
      <c r="P513" s="24">
        <f>0.00667*M513</f>
        <v>0</v>
      </c>
      <c r="Q513" s="25"/>
      <c r="R513" s="26" t="s">
        <v>1745</v>
      </c>
      <c r="S513" s="26" t="s">
        <v>93</v>
      </c>
      <c r="T513" s="6" t="str">
        <f>HYPERLINK("https://kanzpp.ru/api/getInfo/image/6af66242-a9f6-11e8-a208-ac1f6b442184")</f>
        <v>https://kanzpp.ru/api/getInfo/image/6af66242-a9f6-11e8-a208-ac1f6b442184</v>
      </c>
      <c r="U513" s="6"/>
      <c r="V513" s="33" t="s">
        <v>35</v>
      </c>
    </row>
    <row r="514" spans="2:22" ht="22.95" customHeight="1" outlineLevel="3" x14ac:dyDescent="0.2">
      <c r="B514" s="81" t="s">
        <v>1746</v>
      </c>
      <c r="C514" s="81"/>
      <c r="D514" s="81"/>
      <c r="L514">
        <v>0</v>
      </c>
    </row>
    <row r="515" spans="2:22" ht="21" customHeight="1" outlineLevel="4" x14ac:dyDescent="0.2">
      <c r="B515" s="5">
        <v>442</v>
      </c>
      <c r="C515" s="6" t="s">
        <v>1747</v>
      </c>
      <c r="D515" s="6" t="s">
        <v>1748</v>
      </c>
      <c r="E515" s="7" t="s">
        <v>1749</v>
      </c>
      <c r="F515" s="13"/>
      <c r="G515" s="14"/>
      <c r="H515" s="15">
        <v>800</v>
      </c>
      <c r="I515" s="15">
        <v>10</v>
      </c>
      <c r="J515" s="15">
        <v>805</v>
      </c>
      <c r="K515" s="5">
        <v>10</v>
      </c>
      <c r="L515" s="16">
        <v>25.58666666666667</v>
      </c>
      <c r="M515" s="12"/>
      <c r="N515" s="14">
        <f>L515*M515</f>
        <v>0</v>
      </c>
      <c r="O515" s="23">
        <f>0.027*M515</f>
        <v>0</v>
      </c>
      <c r="P515" s="31">
        <f>0.0001*M515</f>
        <v>0</v>
      </c>
      <c r="Q515" s="25"/>
      <c r="R515" s="26" t="s">
        <v>1750</v>
      </c>
      <c r="S515" s="26" t="s">
        <v>93</v>
      </c>
      <c r="T515" s="6" t="str">
        <f>HYPERLINK("https://kanzpp.ru/api/getInfo/image/839c3b46-1054-11ea-a236-ac1f6b442184")</f>
        <v>https://kanzpp.ru/api/getInfo/image/839c3b46-1054-11ea-a236-ac1f6b442184</v>
      </c>
      <c r="U515" s="6"/>
      <c r="V515" s="33" t="s">
        <v>35</v>
      </c>
    </row>
    <row r="516" spans="2:22" ht="21" customHeight="1" outlineLevel="4" x14ac:dyDescent="0.2">
      <c r="B516" s="5">
        <v>443</v>
      </c>
      <c r="C516" s="6" t="s">
        <v>1751</v>
      </c>
      <c r="D516" s="6" t="s">
        <v>1752</v>
      </c>
      <c r="E516" s="7" t="s">
        <v>1753</v>
      </c>
      <c r="F516" s="13"/>
      <c r="G516" s="14"/>
      <c r="H516" s="15">
        <v>200</v>
      </c>
      <c r="I516" s="15">
        <v>10</v>
      </c>
      <c r="J516" s="15">
        <v>300</v>
      </c>
      <c r="K516" s="5">
        <v>10</v>
      </c>
      <c r="L516" s="16">
        <v>46.533333333333331</v>
      </c>
      <c r="M516" s="12"/>
      <c r="N516" s="14">
        <f>L516*M516</f>
        <v>0</v>
      </c>
      <c r="O516" s="28">
        <f>0.02*M516</f>
        <v>0</v>
      </c>
      <c r="P516" s="31">
        <f>0.0001*M516</f>
        <v>0</v>
      </c>
      <c r="Q516" s="25"/>
      <c r="R516" s="26" t="s">
        <v>1754</v>
      </c>
      <c r="S516" s="26" t="s">
        <v>93</v>
      </c>
      <c r="T516" s="6" t="str">
        <f>HYPERLINK("https://kanzpp.ru/api/getInfo/image/b6fc9dd6-1054-11ea-a236-ac1f6b442184")</f>
        <v>https://kanzpp.ru/api/getInfo/image/b6fc9dd6-1054-11ea-a236-ac1f6b442184</v>
      </c>
      <c r="U516" s="6"/>
      <c r="V516" s="33" t="s">
        <v>35</v>
      </c>
    </row>
    <row r="517" spans="2:22" ht="21" customHeight="1" outlineLevel="4" x14ac:dyDescent="0.2">
      <c r="B517" s="5">
        <v>444</v>
      </c>
      <c r="C517" s="6" t="s">
        <v>1755</v>
      </c>
      <c r="D517" s="6" t="s">
        <v>1756</v>
      </c>
      <c r="E517" s="7" t="s">
        <v>1757</v>
      </c>
      <c r="F517" s="13"/>
      <c r="G517" s="14"/>
      <c r="H517" s="15">
        <v>400</v>
      </c>
      <c r="I517" s="15">
        <v>10</v>
      </c>
      <c r="J517" s="15">
        <v>525</v>
      </c>
      <c r="K517" s="5">
        <v>10</v>
      </c>
      <c r="L517" s="16">
        <v>60.74666666666667</v>
      </c>
      <c r="M517" s="12"/>
      <c r="N517" s="14">
        <f>L517*M517</f>
        <v>0</v>
      </c>
      <c r="O517" s="23">
        <f>0.066*M517</f>
        <v>0</v>
      </c>
      <c r="P517" s="24">
        <f>0.00011*M517</f>
        <v>0</v>
      </c>
      <c r="Q517" s="25"/>
      <c r="R517" s="26" t="s">
        <v>1758</v>
      </c>
      <c r="S517" s="26" t="s">
        <v>93</v>
      </c>
      <c r="T517" s="6" t="str">
        <f>HYPERLINK("https://kanzpp.ru/api/getInfo/image/930a7c3e-1055-11ea-a236-ac1f6b442184")</f>
        <v>https://kanzpp.ru/api/getInfo/image/930a7c3e-1055-11ea-a236-ac1f6b442184</v>
      </c>
      <c r="U517" s="6"/>
      <c r="V517" s="33" t="s">
        <v>35</v>
      </c>
    </row>
    <row r="518" spans="2:22" ht="21" customHeight="1" outlineLevel="4" x14ac:dyDescent="0.2">
      <c r="B518" s="5">
        <v>445</v>
      </c>
      <c r="C518" s="6" t="s">
        <v>1759</v>
      </c>
      <c r="D518" s="6" t="s">
        <v>1760</v>
      </c>
      <c r="E518" s="7" t="s">
        <v>1761</v>
      </c>
      <c r="F518" s="13"/>
      <c r="G518" s="14"/>
      <c r="H518" s="15">
        <v>100</v>
      </c>
      <c r="I518" s="15">
        <v>10</v>
      </c>
      <c r="J518" s="17">
        <v>1319</v>
      </c>
      <c r="K518" s="5">
        <v>10</v>
      </c>
      <c r="L518" s="16">
        <v>73.533333333333331</v>
      </c>
      <c r="M518" s="12"/>
      <c r="N518" s="14">
        <f>L518*M518</f>
        <v>0</v>
      </c>
      <c r="O518" s="23">
        <f>0.155*M518</f>
        <v>0</v>
      </c>
      <c r="P518" s="24">
        <f>0.00033*M518</f>
        <v>0</v>
      </c>
      <c r="Q518" s="25"/>
      <c r="R518" s="26" t="s">
        <v>1762</v>
      </c>
      <c r="S518" s="26" t="s">
        <v>93</v>
      </c>
      <c r="T518" s="6" t="str">
        <f>HYPERLINK("https://kanzpp.ru/api/getInfo/image/6dd7ef44-fa81-11e7-951c-5cf3fc4a2490")</f>
        <v>https://kanzpp.ru/api/getInfo/image/6dd7ef44-fa81-11e7-951c-5cf3fc4a2490</v>
      </c>
      <c r="U518" s="6"/>
      <c r="V518" s="33" t="s">
        <v>35</v>
      </c>
    </row>
    <row r="519" spans="2:22" ht="22.95" customHeight="1" outlineLevel="3" x14ac:dyDescent="0.2">
      <c r="B519" s="81" t="s">
        <v>1763</v>
      </c>
      <c r="C519" s="81"/>
      <c r="D519" s="81"/>
      <c r="L519">
        <v>0</v>
      </c>
    </row>
    <row r="520" spans="2:22" ht="22.95" customHeight="1" outlineLevel="4" x14ac:dyDescent="0.2">
      <c r="B520" s="82" t="s">
        <v>1764</v>
      </c>
      <c r="C520" s="82"/>
      <c r="D520" s="82"/>
      <c r="L520">
        <v>0</v>
      </c>
    </row>
    <row r="521" spans="2:22" ht="21" customHeight="1" outlineLevel="5" x14ac:dyDescent="0.2">
      <c r="B521" s="5">
        <v>446</v>
      </c>
      <c r="C521" s="6" t="s">
        <v>1765</v>
      </c>
      <c r="D521" s="6" t="s">
        <v>1766</v>
      </c>
      <c r="E521" s="7" t="s">
        <v>1767</v>
      </c>
      <c r="F521" s="13"/>
      <c r="G521" s="14"/>
      <c r="H521" s="15">
        <v>30</v>
      </c>
      <c r="I521" s="14"/>
      <c r="J521" s="15">
        <v>63</v>
      </c>
      <c r="K521" s="5">
        <v>1</v>
      </c>
      <c r="L521" s="16">
        <v>385.57333333333332</v>
      </c>
      <c r="M521" s="12"/>
      <c r="N521" s="14">
        <f>L521*M521</f>
        <v>0</v>
      </c>
      <c r="O521" s="28">
        <f>0.95*M521</f>
        <v>0</v>
      </c>
      <c r="P521" s="31">
        <f>0.0018*M521</f>
        <v>0</v>
      </c>
      <c r="Q521" s="25"/>
      <c r="R521" s="26" t="s">
        <v>1768</v>
      </c>
      <c r="S521" s="26" t="s">
        <v>93</v>
      </c>
      <c r="T521" s="6" t="str">
        <f>HYPERLINK("https://kanzpp.ru/api/getInfo/image/c2011f14-fa19-11e8-a215-ac1f6b442184")</f>
        <v>https://kanzpp.ru/api/getInfo/image/c2011f14-fa19-11e8-a215-ac1f6b442184</v>
      </c>
      <c r="U521" s="6"/>
      <c r="V521" s="33" t="s">
        <v>35</v>
      </c>
    </row>
    <row r="522" spans="2:22" ht="21" customHeight="1" outlineLevel="5" x14ac:dyDescent="0.2">
      <c r="B522" s="5">
        <v>447</v>
      </c>
      <c r="C522" s="6" t="s">
        <v>1769</v>
      </c>
      <c r="D522" s="6" t="s">
        <v>1770</v>
      </c>
      <c r="E522" s="7" t="s">
        <v>1771</v>
      </c>
      <c r="F522" s="13"/>
      <c r="G522" s="14"/>
      <c r="H522" s="15">
        <v>20</v>
      </c>
      <c r="I522" s="14"/>
      <c r="J522" s="14" t="s">
        <v>144</v>
      </c>
      <c r="K522" s="5">
        <v>1</v>
      </c>
      <c r="L522" s="16">
        <v>646.48</v>
      </c>
      <c r="M522" s="12"/>
      <c r="N522" s="14">
        <f>L522*M522</f>
        <v>0</v>
      </c>
      <c r="O522" s="23">
        <f>1.288*M522</f>
        <v>0</v>
      </c>
      <c r="P522" s="31">
        <f>0.0112*M522</f>
        <v>0</v>
      </c>
      <c r="Q522" s="25"/>
      <c r="R522" s="26" t="s">
        <v>1772</v>
      </c>
      <c r="S522" s="26" t="s">
        <v>93</v>
      </c>
      <c r="T522" s="6" t="str">
        <f>HYPERLINK("https://kanzpp.ru/api/getInfo/image/0f5cc464-7386-11ec-a210-ac1f6b442185")</f>
        <v>https://kanzpp.ru/api/getInfo/image/0f5cc464-7386-11ec-a210-ac1f6b442185</v>
      </c>
      <c r="U522" s="6"/>
      <c r="V522" s="33" t="s">
        <v>35</v>
      </c>
    </row>
    <row r="523" spans="2:22" ht="21" customHeight="1" outlineLevel="5" x14ac:dyDescent="0.2">
      <c r="B523" s="5">
        <v>448</v>
      </c>
      <c r="C523" s="6" t="s">
        <v>1773</v>
      </c>
      <c r="D523" s="6" t="s">
        <v>1774</v>
      </c>
      <c r="E523" s="7" t="s">
        <v>1775</v>
      </c>
      <c r="F523" s="13"/>
      <c r="G523" s="14"/>
      <c r="H523" s="15">
        <v>1</v>
      </c>
      <c r="I523" s="14"/>
      <c r="J523" s="15">
        <v>2</v>
      </c>
      <c r="K523" s="5">
        <v>1</v>
      </c>
      <c r="L523" s="52">
        <v>3426.72</v>
      </c>
      <c r="M523" s="12"/>
      <c r="N523" s="14">
        <f>L523*M523</f>
        <v>0</v>
      </c>
      <c r="O523" s="28">
        <f>5.82*M523</f>
        <v>0</v>
      </c>
      <c r="P523" s="24">
        <f>0.04894*M523</f>
        <v>0</v>
      </c>
      <c r="Q523" s="25"/>
      <c r="R523" s="26" t="s">
        <v>1776</v>
      </c>
      <c r="S523" s="26" t="s">
        <v>93</v>
      </c>
      <c r="T523" s="6" t="str">
        <f>HYPERLINK("https://kanzpp.ru/api/getInfo/image/7f3fc154-fa1c-11e8-a215-ac1f6b442184")</f>
        <v>https://kanzpp.ru/api/getInfo/image/7f3fc154-fa1c-11e8-a215-ac1f6b442184</v>
      </c>
      <c r="U523" s="6"/>
      <c r="V523" s="33" t="s">
        <v>35</v>
      </c>
    </row>
    <row r="524" spans="2:22" ht="21" customHeight="1" outlineLevel="5" x14ac:dyDescent="0.2">
      <c r="B524" s="5">
        <v>449</v>
      </c>
      <c r="C524" s="6" t="s">
        <v>1777</v>
      </c>
      <c r="D524" s="6" t="s">
        <v>1778</v>
      </c>
      <c r="E524" s="7" t="s">
        <v>1779</v>
      </c>
      <c r="F524" s="13"/>
      <c r="G524" s="14"/>
      <c r="H524" s="15">
        <v>1</v>
      </c>
      <c r="I524" s="14"/>
      <c r="J524" s="14" t="s">
        <v>144</v>
      </c>
      <c r="K524" s="5">
        <v>1</v>
      </c>
      <c r="L524" s="52">
        <v>3426.72</v>
      </c>
      <c r="M524" s="12"/>
      <c r="N524" s="14">
        <f>L524*M524</f>
        <v>0</v>
      </c>
      <c r="O524" s="28">
        <f>6.82*M524</f>
        <v>0</v>
      </c>
      <c r="P524" s="24">
        <f>0.06698*M524</f>
        <v>0</v>
      </c>
      <c r="Q524" s="25"/>
      <c r="R524" s="26" t="s">
        <v>1780</v>
      </c>
      <c r="S524" s="26" t="s">
        <v>93</v>
      </c>
      <c r="T524" s="6" t="str">
        <f>HYPERLINK("https://kanzpp.ru/api/getInfo/image/08eed258-37f5-11ed-a216-ac1f6b442185")</f>
        <v>https://kanzpp.ru/api/getInfo/image/08eed258-37f5-11ed-a216-ac1f6b442185</v>
      </c>
      <c r="U524" s="6"/>
      <c r="V524" s="33" t="s">
        <v>35</v>
      </c>
    </row>
    <row r="525" spans="2:22" ht="22.95" customHeight="1" outlineLevel="4" x14ac:dyDescent="0.2">
      <c r="B525" s="82" t="s">
        <v>1781</v>
      </c>
      <c r="C525" s="82"/>
      <c r="D525" s="82"/>
      <c r="L525">
        <v>0</v>
      </c>
    </row>
    <row r="526" spans="2:22" ht="21" customHeight="1" outlineLevel="5" x14ac:dyDescent="0.2">
      <c r="B526" s="5">
        <v>450</v>
      </c>
      <c r="C526" s="6" t="s">
        <v>1782</v>
      </c>
      <c r="D526" s="6" t="s">
        <v>1783</v>
      </c>
      <c r="E526" s="7" t="s">
        <v>1784</v>
      </c>
      <c r="F526" s="13"/>
      <c r="G526" s="14"/>
      <c r="H526" s="15">
        <v>20</v>
      </c>
      <c r="I526" s="14"/>
      <c r="J526" s="15">
        <v>13</v>
      </c>
      <c r="K526" s="5">
        <v>1</v>
      </c>
      <c r="L526" s="16">
        <v>491.74666666666667</v>
      </c>
      <c r="M526" s="12"/>
      <c r="N526" s="14">
        <f>L526*M526</f>
        <v>0</v>
      </c>
      <c r="O526" s="27">
        <f>0.4*M526</f>
        <v>0</v>
      </c>
      <c r="P526" s="24">
        <f>0.00405*M526</f>
        <v>0</v>
      </c>
      <c r="Q526" s="25"/>
      <c r="R526" s="26" t="s">
        <v>1785</v>
      </c>
      <c r="S526" s="26" t="s">
        <v>93</v>
      </c>
      <c r="T526" s="6" t="str">
        <f>HYPERLINK("https://kanzpp.ru/api/getInfo/image/4c013c33-0d29-11ea-a236-ac1f6b442184")</f>
        <v>https://kanzpp.ru/api/getInfo/image/4c013c33-0d29-11ea-a236-ac1f6b442184</v>
      </c>
      <c r="U526" s="6"/>
      <c r="V526" s="33" t="s">
        <v>35</v>
      </c>
    </row>
    <row r="527" spans="2:22" ht="21" customHeight="1" outlineLevel="5" x14ac:dyDescent="0.2">
      <c r="B527" s="36">
        <v>451</v>
      </c>
      <c r="C527" s="37" t="s">
        <v>1786</v>
      </c>
      <c r="D527" s="37" t="s">
        <v>1787</v>
      </c>
      <c r="E527" s="38" t="s">
        <v>1788</v>
      </c>
      <c r="F527" s="39"/>
      <c r="G527" s="40"/>
      <c r="H527" s="41">
        <v>10</v>
      </c>
      <c r="I527" s="40"/>
      <c r="J527" s="41">
        <v>1</v>
      </c>
      <c r="K527" s="36">
        <v>1</v>
      </c>
      <c r="L527" s="53" t="e">
        <f>(IF(#REF!,1642.94*(1-#REF!/100),1642.94*(1-O3/100)))/0.75</f>
        <v>#REF!</v>
      </c>
      <c r="M527" s="12"/>
      <c r="N527" s="40" t="e">
        <f>L527*M527</f>
        <v>#REF!</v>
      </c>
      <c r="O527" s="48">
        <f>0.75*M527</f>
        <v>0</v>
      </c>
      <c r="P527" s="46">
        <f>0.0081*M527</f>
        <v>0</v>
      </c>
      <c r="Q527" s="44"/>
      <c r="R527" s="45" t="s">
        <v>1789</v>
      </c>
      <c r="S527" s="45" t="s">
        <v>93</v>
      </c>
      <c r="T527" s="37" t="str">
        <f>HYPERLINK("https://kanzpp.ru/api/getInfo/image/bb15341d-0d29-11ea-a236-ac1f6b442184")</f>
        <v>https://kanzpp.ru/api/getInfo/image/bb15341d-0d29-11ea-a236-ac1f6b442184</v>
      </c>
      <c r="U527" s="37"/>
    </row>
    <row r="528" spans="2:22" ht="21" customHeight="1" outlineLevel="5" x14ac:dyDescent="0.2">
      <c r="B528" s="36">
        <v>452</v>
      </c>
      <c r="C528" s="37" t="s">
        <v>1790</v>
      </c>
      <c r="D528" s="37" t="s">
        <v>1791</v>
      </c>
      <c r="E528" s="38" t="s">
        <v>1792</v>
      </c>
      <c r="F528" s="39"/>
      <c r="G528" s="40"/>
      <c r="H528" s="41">
        <v>6</v>
      </c>
      <c r="I528" s="40"/>
      <c r="J528" s="41">
        <v>30</v>
      </c>
      <c r="K528" s="36">
        <v>1</v>
      </c>
      <c r="L528" s="53" t="e">
        <f>(IF(#REF!,2161.76*(1-#REF!/100),2161.76*(1-O3/100)))/0.75</f>
        <v>#REF!</v>
      </c>
      <c r="M528" s="12"/>
      <c r="N528" s="40" t="e">
        <f>L528*M528</f>
        <v>#REF!</v>
      </c>
      <c r="O528" s="48">
        <f>1.31*M528</f>
        <v>0</v>
      </c>
      <c r="P528" s="47">
        <f>0.00162*M528</f>
        <v>0</v>
      </c>
      <c r="Q528" s="44"/>
      <c r="R528" s="45" t="s">
        <v>1793</v>
      </c>
      <c r="S528" s="45" t="s">
        <v>93</v>
      </c>
      <c r="T528" s="37" t="str">
        <f>HYPERLINK("https://kanzpp.ru/api/getInfo/image/396225dc-0d2c-11ea-a236-ac1f6b442184")</f>
        <v>https://kanzpp.ru/api/getInfo/image/396225dc-0d2c-11ea-a236-ac1f6b442184</v>
      </c>
      <c r="U528" s="37"/>
    </row>
    <row r="529" spans="2:22" ht="22.95" customHeight="1" outlineLevel="4" x14ac:dyDescent="0.2">
      <c r="B529" s="82" t="s">
        <v>1794</v>
      </c>
      <c r="C529" s="82"/>
      <c r="D529" s="82"/>
      <c r="L529">
        <v>0</v>
      </c>
    </row>
    <row r="530" spans="2:22" ht="21" customHeight="1" outlineLevel="5" x14ac:dyDescent="0.2">
      <c r="B530" s="36">
        <v>453</v>
      </c>
      <c r="C530" s="37" t="s">
        <v>1795</v>
      </c>
      <c r="D530" s="37" t="s">
        <v>1796</v>
      </c>
      <c r="E530" s="38" t="s">
        <v>1797</v>
      </c>
      <c r="F530" s="39"/>
      <c r="G530" s="40"/>
      <c r="H530" s="41">
        <v>240</v>
      </c>
      <c r="I530" s="41">
        <v>12</v>
      </c>
      <c r="J530" s="41">
        <v>208</v>
      </c>
      <c r="K530" s="36">
        <v>12</v>
      </c>
      <c r="L530" s="42" t="e">
        <f>(IF(#REF!,38.69*(1-#REF!/100),38.69*(1-O3/100)))/0.75</f>
        <v>#REF!</v>
      </c>
      <c r="M530" s="12"/>
      <c r="N530" s="40" t="e">
        <f t="shared" ref="N530:N535" si="28">L530*M530</f>
        <v>#REF!</v>
      </c>
      <c r="O530" s="43">
        <f>0.042*M530</f>
        <v>0</v>
      </c>
      <c r="P530" s="47">
        <f>0.00027*M530</f>
        <v>0</v>
      </c>
      <c r="Q530" s="44"/>
      <c r="R530" s="45" t="s">
        <v>1798</v>
      </c>
      <c r="S530" s="45" t="s">
        <v>93</v>
      </c>
      <c r="T530" s="37" t="str">
        <f>HYPERLINK("https://kanzpp.ru/api/getInfo/image/98f79765-130d-11e8-ba06-5cf3fc4a2490")</f>
        <v>https://kanzpp.ru/api/getInfo/image/98f79765-130d-11e8-ba06-5cf3fc4a2490</v>
      </c>
      <c r="U530" s="37"/>
    </row>
    <row r="531" spans="2:22" ht="21" customHeight="1" outlineLevel="5" x14ac:dyDescent="0.2">
      <c r="B531" s="5">
        <v>454</v>
      </c>
      <c r="C531" s="6" t="s">
        <v>1799</v>
      </c>
      <c r="D531" s="6" t="s">
        <v>1800</v>
      </c>
      <c r="E531" s="7" t="s">
        <v>1801</v>
      </c>
      <c r="F531" s="13"/>
      <c r="G531" s="14"/>
      <c r="H531" s="15">
        <v>240</v>
      </c>
      <c r="I531" s="15">
        <v>12</v>
      </c>
      <c r="J531" s="17">
        <v>3264</v>
      </c>
      <c r="K531" s="5">
        <v>12</v>
      </c>
      <c r="L531" s="16">
        <v>60.613333333333337</v>
      </c>
      <c r="M531" s="12"/>
      <c r="N531" s="14">
        <f t="shared" si="28"/>
        <v>0</v>
      </c>
      <c r="O531" s="28">
        <f>0.07*M531</f>
        <v>0</v>
      </c>
      <c r="P531" s="24">
        <f>0.00038*M531</f>
        <v>0</v>
      </c>
      <c r="Q531" s="25"/>
      <c r="R531" s="26" t="s">
        <v>1802</v>
      </c>
      <c r="S531" s="26" t="s">
        <v>93</v>
      </c>
      <c r="T531" s="6" t="str">
        <f>HYPERLINK("https://kanzpp.ru/api/getInfo/image/1e5c4469-0d2d-11ea-a236-ac1f6b442184")</f>
        <v>https://kanzpp.ru/api/getInfo/image/1e5c4469-0d2d-11ea-a236-ac1f6b442184</v>
      </c>
      <c r="U531" s="6"/>
      <c r="V531" s="33" t="s">
        <v>35</v>
      </c>
    </row>
    <row r="532" spans="2:22" ht="21" customHeight="1" outlineLevel="5" x14ac:dyDescent="0.2">
      <c r="B532" s="5">
        <v>455</v>
      </c>
      <c r="C532" s="6" t="s">
        <v>1803</v>
      </c>
      <c r="D532" s="6" t="s">
        <v>1804</v>
      </c>
      <c r="E532" s="7" t="s">
        <v>1805</v>
      </c>
      <c r="F532" s="13"/>
      <c r="G532" s="14"/>
      <c r="H532" s="15">
        <v>144</v>
      </c>
      <c r="I532" s="15">
        <v>24</v>
      </c>
      <c r="J532" s="14" t="s">
        <v>144</v>
      </c>
      <c r="K532" s="5">
        <v>24</v>
      </c>
      <c r="L532" s="16">
        <v>24.253333333333334</v>
      </c>
      <c r="M532" s="12"/>
      <c r="N532" s="14">
        <f t="shared" si="28"/>
        <v>0</v>
      </c>
      <c r="O532" s="23">
        <f>0.018*M532</f>
        <v>0</v>
      </c>
      <c r="P532" s="31">
        <f>0.0001*M532</f>
        <v>0</v>
      </c>
      <c r="Q532" s="25"/>
      <c r="R532" s="26" t="s">
        <v>1806</v>
      </c>
      <c r="S532" s="26" t="s">
        <v>93</v>
      </c>
      <c r="T532" s="6" t="str">
        <f>HYPERLINK("https://kanzpp.ru/api/getInfo/image/0ce708e2-130c-11e8-ba06-5cf3fc4a2490")</f>
        <v>https://kanzpp.ru/api/getInfo/image/0ce708e2-130c-11e8-ba06-5cf3fc4a2490</v>
      </c>
      <c r="U532" s="6"/>
      <c r="V532" s="33" t="s">
        <v>35</v>
      </c>
    </row>
    <row r="533" spans="2:22" ht="21" customHeight="1" outlineLevel="5" x14ac:dyDescent="0.2">
      <c r="B533" s="5">
        <v>456</v>
      </c>
      <c r="C533" s="6" t="s">
        <v>1807</v>
      </c>
      <c r="D533" s="6" t="s">
        <v>1808</v>
      </c>
      <c r="E533" s="7" t="s">
        <v>1809</v>
      </c>
      <c r="F533" s="13"/>
      <c r="G533" s="14"/>
      <c r="H533" s="15">
        <v>144</v>
      </c>
      <c r="I533" s="15">
        <v>24</v>
      </c>
      <c r="J533" s="17">
        <v>1817</v>
      </c>
      <c r="K533" s="5">
        <v>24</v>
      </c>
      <c r="L533" s="16">
        <v>27.28</v>
      </c>
      <c r="M533" s="12"/>
      <c r="N533" s="14">
        <f t="shared" si="28"/>
        <v>0</v>
      </c>
      <c r="O533" s="28">
        <f>0.03*M533</f>
        <v>0</v>
      </c>
      <c r="P533" s="24">
        <f>0.00013*M533</f>
        <v>0</v>
      </c>
      <c r="Q533" s="25"/>
      <c r="R533" s="26" t="s">
        <v>1810</v>
      </c>
      <c r="S533" s="26" t="s">
        <v>93</v>
      </c>
      <c r="T533" s="6" t="str">
        <f>HYPERLINK("https://kanzpp.ru/api/getInfo/image/573e393d-130c-11e8-ba06-5cf3fc4a2490")</f>
        <v>https://kanzpp.ru/api/getInfo/image/573e393d-130c-11e8-ba06-5cf3fc4a2490</v>
      </c>
      <c r="U533" s="6"/>
      <c r="V533" s="33" t="s">
        <v>35</v>
      </c>
    </row>
    <row r="534" spans="2:22" ht="21" customHeight="1" outlineLevel="5" x14ac:dyDescent="0.2">
      <c r="B534" s="36">
        <v>457</v>
      </c>
      <c r="C534" s="37" t="s">
        <v>1811</v>
      </c>
      <c r="D534" s="37" t="s">
        <v>1812</v>
      </c>
      <c r="E534" s="38" t="s">
        <v>1813</v>
      </c>
      <c r="F534" s="39"/>
      <c r="G534" s="40"/>
      <c r="H534" s="41">
        <v>144</v>
      </c>
      <c r="I534" s="41">
        <v>24</v>
      </c>
      <c r="J534" s="41">
        <v>273</v>
      </c>
      <c r="K534" s="36">
        <v>24</v>
      </c>
      <c r="L534" s="42" t="e">
        <f>(IF(#REF!,51.33*(1-#REF!/100),51.33*(1-O3/100)))/0.75</f>
        <v>#REF!</v>
      </c>
      <c r="M534" s="12"/>
      <c r="N534" s="40" t="e">
        <f t="shared" si="28"/>
        <v>#REF!</v>
      </c>
      <c r="O534" s="48">
        <f>0.04*M534</f>
        <v>0</v>
      </c>
      <c r="P534" s="47">
        <f>0.00013*M534</f>
        <v>0</v>
      </c>
      <c r="Q534" s="44"/>
      <c r="R534" s="45" t="s">
        <v>1814</v>
      </c>
      <c r="S534" s="45" t="s">
        <v>93</v>
      </c>
      <c r="T534" s="37" t="str">
        <f>HYPERLINK("https://kanzpp.ru/api/getInfo/image/a45601c0-130c-11e8-ba06-5cf3fc4a2490")</f>
        <v>https://kanzpp.ru/api/getInfo/image/a45601c0-130c-11e8-ba06-5cf3fc4a2490</v>
      </c>
      <c r="U534" s="37"/>
    </row>
    <row r="535" spans="2:22" ht="21" customHeight="1" outlineLevel="5" x14ac:dyDescent="0.2">
      <c r="B535" s="5">
        <v>458</v>
      </c>
      <c r="C535" s="6" t="s">
        <v>1815</v>
      </c>
      <c r="D535" s="6" t="s">
        <v>1816</v>
      </c>
      <c r="E535" s="7" t="s">
        <v>1817</v>
      </c>
      <c r="F535" s="13"/>
      <c r="G535" s="14"/>
      <c r="H535" s="15">
        <v>400</v>
      </c>
      <c r="I535" s="14"/>
      <c r="J535" s="15">
        <v>332</v>
      </c>
      <c r="K535" s="5">
        <v>3</v>
      </c>
      <c r="L535" s="16">
        <v>168.33333333333334</v>
      </c>
      <c r="M535" s="12"/>
      <c r="N535" s="14">
        <f t="shared" si="28"/>
        <v>0</v>
      </c>
      <c r="O535" s="28">
        <f>0.04*M535</f>
        <v>0</v>
      </c>
      <c r="P535" s="24">
        <f>0.00008*M535</f>
        <v>0</v>
      </c>
      <c r="Q535" s="25"/>
      <c r="R535" s="26" t="s">
        <v>1818</v>
      </c>
      <c r="S535" s="26" t="s">
        <v>93</v>
      </c>
      <c r="T535" s="6" t="str">
        <f>HYPERLINK("https://kanzpp.ru/api/getInfo/image/b9669662-2fda-11ef-a261-00155d82e908")</f>
        <v>https://kanzpp.ru/api/getInfo/image/b9669662-2fda-11ef-a261-00155d82e908</v>
      </c>
      <c r="U535" s="6"/>
      <c r="V535" s="33" t="s">
        <v>35</v>
      </c>
    </row>
    <row r="536" spans="2:22" ht="22.95" customHeight="1" outlineLevel="3" x14ac:dyDescent="0.2">
      <c r="B536" s="81" t="s">
        <v>1819</v>
      </c>
      <c r="C536" s="81"/>
      <c r="D536" s="81"/>
      <c r="L536">
        <v>0</v>
      </c>
    </row>
    <row r="537" spans="2:22" ht="22.95" customHeight="1" outlineLevel="4" x14ac:dyDescent="0.2">
      <c r="B537" s="82" t="s">
        <v>1820</v>
      </c>
      <c r="C537" s="82"/>
      <c r="D537" s="82"/>
      <c r="L537">
        <v>0</v>
      </c>
    </row>
    <row r="538" spans="2:22" ht="21" customHeight="1" outlineLevel="5" x14ac:dyDescent="0.2">
      <c r="B538" s="5">
        <v>459</v>
      </c>
      <c r="C538" s="6" t="s">
        <v>1821</v>
      </c>
      <c r="D538" s="6" t="s">
        <v>1822</v>
      </c>
      <c r="E538" s="7" t="s">
        <v>1823</v>
      </c>
      <c r="F538" s="13"/>
      <c r="G538" s="14"/>
      <c r="H538" s="15">
        <v>36</v>
      </c>
      <c r="I538" s="15">
        <v>1</v>
      </c>
      <c r="J538" s="14" t="s">
        <v>144</v>
      </c>
      <c r="K538" s="5">
        <v>1</v>
      </c>
      <c r="L538" s="16">
        <v>357.90666666666669</v>
      </c>
      <c r="M538" s="12"/>
      <c r="N538" s="14">
        <f>L538*M538</f>
        <v>0</v>
      </c>
      <c r="O538" s="28">
        <f>0.36*M538</f>
        <v>0</v>
      </c>
      <c r="P538" s="24">
        <f>0.00266*M538</f>
        <v>0</v>
      </c>
      <c r="Q538" s="25"/>
      <c r="R538" s="26" t="s">
        <v>1824</v>
      </c>
      <c r="S538" s="26" t="s">
        <v>93</v>
      </c>
      <c r="T538" s="6" t="str">
        <f>HYPERLINK("https://kanzpp.ru/api/getInfo/image/d3e0c17e-f9fd-11e7-951c-5cf3fc4a2490")</f>
        <v>https://kanzpp.ru/api/getInfo/image/d3e0c17e-f9fd-11e7-951c-5cf3fc4a2490</v>
      </c>
      <c r="U538" s="6"/>
      <c r="V538" s="33" t="s">
        <v>35</v>
      </c>
    </row>
    <row r="539" spans="2:22" ht="21" customHeight="1" outlineLevel="5" x14ac:dyDescent="0.2">
      <c r="B539" s="5">
        <v>460</v>
      </c>
      <c r="C539" s="6" t="s">
        <v>1825</v>
      </c>
      <c r="D539" s="6" t="s">
        <v>1826</v>
      </c>
      <c r="E539" s="7" t="s">
        <v>1827</v>
      </c>
      <c r="F539" s="13"/>
      <c r="G539" s="14"/>
      <c r="H539" s="15">
        <v>24</v>
      </c>
      <c r="I539" s="15">
        <v>1</v>
      </c>
      <c r="J539" s="14" t="s">
        <v>144</v>
      </c>
      <c r="K539" s="5">
        <v>1</v>
      </c>
      <c r="L539" s="16">
        <v>419.5333333333333</v>
      </c>
      <c r="M539" s="12"/>
      <c r="N539" s="14">
        <f>L539*M539</f>
        <v>0</v>
      </c>
      <c r="O539" s="28">
        <f>0.46*M539</f>
        <v>0</v>
      </c>
      <c r="P539" s="24">
        <f>0.00336*M539</f>
        <v>0</v>
      </c>
      <c r="Q539" s="25"/>
      <c r="R539" s="26" t="s">
        <v>1828</v>
      </c>
      <c r="S539" s="26" t="s">
        <v>93</v>
      </c>
      <c r="T539" s="6" t="str">
        <f>HYPERLINK("https://kanzpp.ru/api/getInfo/image/8554ec2e-f9fe-11e7-951c-5cf3fc4a2490")</f>
        <v>https://kanzpp.ru/api/getInfo/image/8554ec2e-f9fe-11e7-951c-5cf3fc4a2490</v>
      </c>
      <c r="U539" s="6"/>
      <c r="V539" s="33" t="s">
        <v>35</v>
      </c>
    </row>
    <row r="540" spans="2:22" ht="22.95" customHeight="1" outlineLevel="3" x14ac:dyDescent="0.2">
      <c r="B540" s="81" t="s">
        <v>1829</v>
      </c>
      <c r="C540" s="81"/>
      <c r="D540" s="81"/>
      <c r="L540">
        <v>0</v>
      </c>
    </row>
    <row r="541" spans="2:22" ht="22.95" customHeight="1" outlineLevel="4" x14ac:dyDescent="0.2">
      <c r="B541" s="82" t="s">
        <v>1830</v>
      </c>
      <c r="C541" s="82"/>
      <c r="D541" s="82"/>
      <c r="L541">
        <v>0</v>
      </c>
    </row>
    <row r="542" spans="2:22" ht="21" customHeight="1" outlineLevel="5" x14ac:dyDescent="0.2">
      <c r="B542" s="36">
        <v>461</v>
      </c>
      <c r="C542" s="37" t="s">
        <v>1831</v>
      </c>
      <c r="D542" s="37" t="s">
        <v>1832</v>
      </c>
      <c r="E542" s="38" t="s">
        <v>1833</v>
      </c>
      <c r="F542" s="39"/>
      <c r="G542" s="40"/>
      <c r="H542" s="40"/>
      <c r="I542" s="40"/>
      <c r="J542" s="41">
        <v>1</v>
      </c>
      <c r="K542" s="36">
        <v>1</v>
      </c>
      <c r="L542" s="53" t="e">
        <f>(IF(#REF!,5696.63*(1-#REF!/100),5696.63*(1-O3/100)))/0.75</f>
        <v>#REF!</v>
      </c>
      <c r="M542" s="12"/>
      <c r="N542" s="40" t="e">
        <f>L542*M542</f>
        <v>#REF!</v>
      </c>
      <c r="O542" s="43">
        <f>9.561*M542</f>
        <v>0</v>
      </c>
      <c r="P542" s="47">
        <f>0.14869*M542</f>
        <v>0</v>
      </c>
      <c r="Q542" s="44"/>
      <c r="R542" s="45" t="s">
        <v>1834</v>
      </c>
      <c r="S542" s="45" t="s">
        <v>93</v>
      </c>
      <c r="T542" s="37" t="str">
        <f>HYPERLINK("https://kanzpp.ru/api/getInfo/image/a4d6fc3d-2405-11ef-a25f-00155d82e908")</f>
        <v>https://kanzpp.ru/api/getInfo/image/a4d6fc3d-2405-11ef-a25f-00155d82e908</v>
      </c>
      <c r="U542" s="37"/>
    </row>
    <row r="543" spans="2:22" ht="21" customHeight="1" outlineLevel="5" x14ac:dyDescent="0.2">
      <c r="B543" s="5">
        <v>462</v>
      </c>
      <c r="C543" s="6" t="s">
        <v>1835</v>
      </c>
      <c r="D543" s="6" t="s">
        <v>1836</v>
      </c>
      <c r="E543" s="7" t="s">
        <v>1837</v>
      </c>
      <c r="F543" s="13"/>
      <c r="G543" s="14"/>
      <c r="H543" s="15">
        <v>1</v>
      </c>
      <c r="I543" s="14"/>
      <c r="J543" s="15">
        <v>190</v>
      </c>
      <c r="K543" s="5">
        <v>1</v>
      </c>
      <c r="L543" s="52">
        <v>6749.7733333333335</v>
      </c>
      <c r="M543" s="12"/>
      <c r="N543" s="14">
        <f>L543*M543</f>
        <v>0</v>
      </c>
      <c r="O543" s="28">
        <f>10.68*M543</f>
        <v>0</v>
      </c>
      <c r="P543" s="24">
        <f>0.11313*M543</f>
        <v>0</v>
      </c>
      <c r="Q543" s="25"/>
      <c r="R543" s="26"/>
      <c r="S543" s="26" t="s">
        <v>93</v>
      </c>
      <c r="T543" s="6" t="str">
        <f>HYPERLINK("https://kanzpp.ru/api/getInfo/image/ba2ae795-f7d1-11ee-a25d-00155d82e908")</f>
        <v>https://kanzpp.ru/api/getInfo/image/ba2ae795-f7d1-11ee-a25d-00155d82e908</v>
      </c>
      <c r="U543" s="6"/>
      <c r="V543" s="33" t="s">
        <v>35</v>
      </c>
    </row>
    <row r="544" spans="2:22" ht="21" customHeight="1" outlineLevel="5" x14ac:dyDescent="0.2">
      <c r="B544" s="5">
        <v>463</v>
      </c>
      <c r="C544" s="6" t="s">
        <v>1838</v>
      </c>
      <c r="D544" s="6" t="s">
        <v>1839</v>
      </c>
      <c r="E544" s="7" t="s">
        <v>1840</v>
      </c>
      <c r="F544" s="13"/>
      <c r="G544" s="14"/>
      <c r="H544" s="15">
        <v>1</v>
      </c>
      <c r="I544" s="14"/>
      <c r="J544" s="15">
        <v>54</v>
      </c>
      <c r="K544" s="5">
        <v>1</v>
      </c>
      <c r="L544" s="52">
        <v>7303.8533333333335</v>
      </c>
      <c r="M544" s="12"/>
      <c r="N544" s="14">
        <f>L544*M544</f>
        <v>0</v>
      </c>
      <c r="O544" s="23">
        <f>11.993*M544</f>
        <v>0</v>
      </c>
      <c r="P544" s="24">
        <f>0.10543*M544</f>
        <v>0</v>
      </c>
      <c r="Q544" s="25"/>
      <c r="R544" s="26"/>
      <c r="S544" s="26" t="s">
        <v>93</v>
      </c>
      <c r="T544" s="6" t="str">
        <f>HYPERLINK("https://kanzpp.ru/api/getInfo/image/562760ba-f7d1-11ee-a25d-00155d82e908")</f>
        <v>https://kanzpp.ru/api/getInfo/image/562760ba-f7d1-11ee-a25d-00155d82e908</v>
      </c>
      <c r="U544" s="6"/>
      <c r="V544" s="33" t="s">
        <v>35</v>
      </c>
    </row>
    <row r="545" spans="2:22" ht="21" customHeight="1" outlineLevel="5" x14ac:dyDescent="0.2">
      <c r="B545" s="5">
        <v>464</v>
      </c>
      <c r="C545" s="6" t="s">
        <v>1841</v>
      </c>
      <c r="D545" s="6" t="s">
        <v>1842</v>
      </c>
      <c r="E545" s="7" t="s">
        <v>1843</v>
      </c>
      <c r="F545" s="13"/>
      <c r="G545" s="14"/>
      <c r="H545" s="15">
        <v>1</v>
      </c>
      <c r="I545" s="14"/>
      <c r="J545" s="15">
        <v>129</v>
      </c>
      <c r="K545" s="5">
        <v>1</v>
      </c>
      <c r="L545" s="52">
        <v>7807.5733333333337</v>
      </c>
      <c r="M545" s="12"/>
      <c r="N545" s="14">
        <f>L545*M545</f>
        <v>0</v>
      </c>
      <c r="O545" s="23">
        <f>11.598*M545</f>
        <v>0</v>
      </c>
      <c r="P545" s="24">
        <f>0.12266*M545</f>
        <v>0</v>
      </c>
      <c r="Q545" s="25"/>
      <c r="R545" s="26"/>
      <c r="S545" s="26" t="s">
        <v>93</v>
      </c>
      <c r="T545" s="6" t="str">
        <f>HYPERLINK("https://kanzpp.ru/api/getInfo/image/e525eb5f-f7d1-11ee-a25d-00155d82e908")</f>
        <v>https://kanzpp.ru/api/getInfo/image/e525eb5f-f7d1-11ee-a25d-00155d82e908</v>
      </c>
      <c r="U545" s="6"/>
      <c r="V545" s="33" t="s">
        <v>35</v>
      </c>
    </row>
    <row r="546" spans="2:22" ht="22.95" customHeight="1" outlineLevel="3" x14ac:dyDescent="0.2">
      <c r="B546" s="81" t="s">
        <v>1844</v>
      </c>
      <c r="C546" s="81"/>
      <c r="D546" s="81"/>
      <c r="L546">
        <v>0</v>
      </c>
    </row>
    <row r="547" spans="2:22" ht="21" customHeight="1" outlineLevel="4" x14ac:dyDescent="0.2">
      <c r="B547" s="5">
        <v>465</v>
      </c>
      <c r="C547" s="6" t="s">
        <v>1845</v>
      </c>
      <c r="D547" s="6" t="s">
        <v>1846</v>
      </c>
      <c r="E547" s="7" t="s">
        <v>1847</v>
      </c>
      <c r="F547" s="13"/>
      <c r="G547" s="14"/>
      <c r="H547" s="15">
        <v>24</v>
      </c>
      <c r="I547" s="14"/>
      <c r="J547" s="15">
        <v>390</v>
      </c>
      <c r="K547" s="5">
        <v>1</v>
      </c>
      <c r="L547" s="16">
        <v>1065.3333333333333</v>
      </c>
      <c r="M547" s="12"/>
      <c r="N547" s="14">
        <f>L547*M547</f>
        <v>0</v>
      </c>
      <c r="O547" s="23">
        <f>0.567*M547</f>
        <v>0</v>
      </c>
      <c r="P547" s="31">
        <f>0.0037*M547</f>
        <v>0</v>
      </c>
      <c r="Q547" s="25"/>
      <c r="R547" s="26" t="s">
        <v>1848</v>
      </c>
      <c r="S547" s="26" t="s">
        <v>93</v>
      </c>
      <c r="T547" s="6" t="str">
        <f>HYPERLINK("https://kanzpp.ru/api/getInfo/image/33cc2f16-02ce-11ef-a25d-00155d82e908")</f>
        <v>https://kanzpp.ru/api/getInfo/image/33cc2f16-02ce-11ef-a25d-00155d82e908</v>
      </c>
      <c r="U547" s="6"/>
      <c r="V547" s="33" t="s">
        <v>35</v>
      </c>
    </row>
    <row r="548" spans="2:22" ht="21" customHeight="1" outlineLevel="4" x14ac:dyDescent="0.2">
      <c r="B548" s="5">
        <v>466</v>
      </c>
      <c r="C548" s="6" t="s">
        <v>1849</v>
      </c>
      <c r="D548" s="6" t="s">
        <v>1850</v>
      </c>
      <c r="E548" s="7" t="s">
        <v>1851</v>
      </c>
      <c r="F548" s="13"/>
      <c r="G548" s="14"/>
      <c r="H548" s="15">
        <v>10</v>
      </c>
      <c r="I548" s="14"/>
      <c r="J548" s="15">
        <v>234</v>
      </c>
      <c r="K548" s="5">
        <v>1</v>
      </c>
      <c r="L548" s="16">
        <v>1265.3333333333333</v>
      </c>
      <c r="M548" s="12"/>
      <c r="N548" s="14">
        <f>L548*M548</f>
        <v>0</v>
      </c>
      <c r="O548" s="23">
        <f>0.672*M548</f>
        <v>0</v>
      </c>
      <c r="P548" s="24">
        <f>0.00392*M548</f>
        <v>0</v>
      </c>
      <c r="Q548" s="25"/>
      <c r="R548" s="26" t="s">
        <v>1852</v>
      </c>
      <c r="S548" s="26" t="s">
        <v>93</v>
      </c>
      <c r="T548" s="6" t="str">
        <f>HYPERLINK("https://kanzpp.ru/api/getInfo/image/f361e0d8-02ce-11ef-a25d-00155d82e908")</f>
        <v>https://kanzpp.ru/api/getInfo/image/f361e0d8-02ce-11ef-a25d-00155d82e908</v>
      </c>
      <c r="U548" s="6"/>
      <c r="V548" s="33" t="s">
        <v>35</v>
      </c>
    </row>
    <row r="549" spans="2:22" ht="22.95" customHeight="1" outlineLevel="2" x14ac:dyDescent="0.2">
      <c r="B549" s="80" t="s">
        <v>1853</v>
      </c>
      <c r="C549" s="80"/>
      <c r="D549" s="80"/>
      <c r="L549">
        <v>0</v>
      </c>
    </row>
    <row r="550" spans="2:22" ht="22.95" customHeight="1" outlineLevel="3" x14ac:dyDescent="0.2">
      <c r="B550" s="81" t="s">
        <v>1854</v>
      </c>
      <c r="C550" s="81"/>
      <c r="D550" s="81"/>
      <c r="L550">
        <v>0</v>
      </c>
    </row>
    <row r="551" spans="2:22" ht="21" customHeight="1" outlineLevel="4" x14ac:dyDescent="0.2">
      <c r="B551" s="5">
        <v>467</v>
      </c>
      <c r="C551" s="6" t="s">
        <v>1855</v>
      </c>
      <c r="D551" s="6" t="s">
        <v>1856</v>
      </c>
      <c r="E551" s="7" t="s">
        <v>1857</v>
      </c>
      <c r="F551" s="13"/>
      <c r="G551" s="14"/>
      <c r="H551" s="15">
        <v>30</v>
      </c>
      <c r="I551" s="14"/>
      <c r="J551" s="15">
        <v>119</v>
      </c>
      <c r="K551" s="5">
        <v>5</v>
      </c>
      <c r="L551" s="16">
        <v>105.60000000000001</v>
      </c>
      <c r="M551" s="12"/>
      <c r="N551" s="14">
        <f t="shared" ref="N551:N559" si="29">L551*M551</f>
        <v>0</v>
      </c>
      <c r="O551" s="28">
        <f>0.38*M551</f>
        <v>0</v>
      </c>
      <c r="P551" s="24">
        <f>0.00045*M551</f>
        <v>0</v>
      </c>
      <c r="Q551" s="25"/>
      <c r="R551" s="26" t="s">
        <v>1858</v>
      </c>
      <c r="S551" s="26" t="s">
        <v>93</v>
      </c>
      <c r="T551" s="6" t="str">
        <f>HYPERLINK("https://kanzpp.ru/api/getInfo/image/b827b445-971e-11e8-a208-ac1f6b442184")</f>
        <v>https://kanzpp.ru/api/getInfo/image/b827b445-971e-11e8-a208-ac1f6b442184</v>
      </c>
      <c r="U551" s="6"/>
      <c r="V551" s="33" t="s">
        <v>35</v>
      </c>
    </row>
    <row r="552" spans="2:22" ht="21" customHeight="1" outlineLevel="4" x14ac:dyDescent="0.2">
      <c r="B552" s="36">
        <v>468</v>
      </c>
      <c r="C552" s="37" t="s">
        <v>1859</v>
      </c>
      <c r="D552" s="37" t="s">
        <v>1860</v>
      </c>
      <c r="E552" s="38" t="s">
        <v>1861</v>
      </c>
      <c r="F552" s="39"/>
      <c r="G552" s="50">
        <v>1920</v>
      </c>
      <c r="H552" s="41">
        <v>30</v>
      </c>
      <c r="I552" s="40"/>
      <c r="J552" s="40" t="s">
        <v>144</v>
      </c>
      <c r="K552" s="36">
        <v>5</v>
      </c>
      <c r="L552" s="42" t="e">
        <f>(IF(#REF!,104.19*(1-#REF!/100),104.19*(1-O3/100)))/0.75</f>
        <v>#REF!</v>
      </c>
      <c r="M552" s="12"/>
      <c r="N552" s="40" t="e">
        <f t="shared" si="29"/>
        <v>#REF!</v>
      </c>
      <c r="O552" s="43">
        <f>0.261*M552</f>
        <v>0</v>
      </c>
      <c r="P552" s="47">
        <f>0.00025*M552</f>
        <v>0</v>
      </c>
      <c r="Q552" s="44"/>
      <c r="R552" s="45" t="s">
        <v>1862</v>
      </c>
      <c r="S552" s="45" t="s">
        <v>93</v>
      </c>
      <c r="T552" s="37" t="str">
        <f>HYPERLINK("https://kanzpp.ru/api/getInfo/image/5581cfb5-7b67-11e7-8697-5cf3fc4a2490")</f>
        <v>https://kanzpp.ru/api/getInfo/image/5581cfb5-7b67-11e7-8697-5cf3fc4a2490</v>
      </c>
      <c r="U552" s="37"/>
    </row>
    <row r="553" spans="2:22" ht="21" customHeight="1" outlineLevel="4" x14ac:dyDescent="0.2">
      <c r="B553" s="36">
        <v>469</v>
      </c>
      <c r="C553" s="37" t="s">
        <v>1863</v>
      </c>
      <c r="D553" s="37" t="s">
        <v>1864</v>
      </c>
      <c r="E553" s="38" t="s">
        <v>1865</v>
      </c>
      <c r="F553" s="39"/>
      <c r="G553" s="50">
        <v>1920</v>
      </c>
      <c r="H553" s="41">
        <v>30</v>
      </c>
      <c r="I553" s="40"/>
      <c r="J553" s="40" t="s">
        <v>144</v>
      </c>
      <c r="K553" s="36">
        <v>5</v>
      </c>
      <c r="L553" s="42" t="e">
        <f>(IF(#REF!,104.19*(1-#REF!/100),104.19*(1-O3/100)))/0.75</f>
        <v>#REF!</v>
      </c>
      <c r="M553" s="12"/>
      <c r="N553" s="40" t="e">
        <f t="shared" si="29"/>
        <v>#REF!</v>
      </c>
      <c r="O553" s="48">
        <f>0.29*M553</f>
        <v>0</v>
      </c>
      <c r="P553" s="47">
        <f>0.00045*M553</f>
        <v>0</v>
      </c>
      <c r="Q553" s="44"/>
      <c r="R553" s="45" t="s">
        <v>1866</v>
      </c>
      <c r="S553" s="45" t="s">
        <v>93</v>
      </c>
      <c r="T553" s="37" t="str">
        <f>HYPERLINK("https://kanzpp.ru/api/getInfo/image/de9ef122-7b66-11e7-8697-5cf3fc4a2490")</f>
        <v>https://kanzpp.ru/api/getInfo/image/de9ef122-7b66-11e7-8697-5cf3fc4a2490</v>
      </c>
      <c r="U553" s="37"/>
    </row>
    <row r="554" spans="2:22" ht="21" customHeight="1" outlineLevel="4" x14ac:dyDescent="0.2">
      <c r="B554" s="36">
        <v>470</v>
      </c>
      <c r="C554" s="37" t="s">
        <v>1867</v>
      </c>
      <c r="D554" s="37" t="s">
        <v>1868</v>
      </c>
      <c r="E554" s="38" t="s">
        <v>1869</v>
      </c>
      <c r="F554" s="39"/>
      <c r="G554" s="40"/>
      <c r="H554" s="41">
        <v>20</v>
      </c>
      <c r="I554" s="40"/>
      <c r="J554" s="40" t="s">
        <v>144</v>
      </c>
      <c r="K554" s="36">
        <v>4</v>
      </c>
      <c r="L554" s="42" t="e">
        <f>(IF(#REF!,185.81*(1-#REF!/100),185.81*(1-O3/100)))/0.75</f>
        <v>#REF!</v>
      </c>
      <c r="M554" s="12"/>
      <c r="N554" s="40" t="e">
        <f t="shared" si="29"/>
        <v>#REF!</v>
      </c>
      <c r="O554" s="48">
        <f>0.38*M554</f>
        <v>0</v>
      </c>
      <c r="P554" s="47">
        <f>0.00045*M554</f>
        <v>0</v>
      </c>
      <c r="Q554" s="44"/>
      <c r="R554" s="45" t="s">
        <v>1870</v>
      </c>
      <c r="S554" s="45" t="s">
        <v>93</v>
      </c>
      <c r="T554" s="37" t="str">
        <f>HYPERLINK("https://kanzpp.ru/api/getInfo/image/999a59d6-0d25-11ea-a236-ac1f6b442184")</f>
        <v>https://kanzpp.ru/api/getInfo/image/999a59d6-0d25-11ea-a236-ac1f6b442184</v>
      </c>
      <c r="U554" s="37"/>
    </row>
    <row r="555" spans="2:22" ht="21" customHeight="1" outlineLevel="4" x14ac:dyDescent="0.2">
      <c r="B555" s="36">
        <v>471</v>
      </c>
      <c r="C555" s="37" t="s">
        <v>1871</v>
      </c>
      <c r="D555" s="37" t="s">
        <v>1872</v>
      </c>
      <c r="E555" s="38" t="s">
        <v>1873</v>
      </c>
      <c r="F555" s="39"/>
      <c r="G555" s="40"/>
      <c r="H555" s="41">
        <v>20</v>
      </c>
      <c r="I555" s="40"/>
      <c r="J555" s="40" t="s">
        <v>144</v>
      </c>
      <c r="K555" s="36">
        <v>3</v>
      </c>
      <c r="L555" s="42" t="e">
        <f>(IF(#REF!,302.09*(1-#REF!/100),302.09*(1-O3/100)))/0.75</f>
        <v>#REF!</v>
      </c>
      <c r="M555" s="12"/>
      <c r="N555" s="40" t="e">
        <f t="shared" si="29"/>
        <v>#REF!</v>
      </c>
      <c r="O555" s="48">
        <f>0.74*M555</f>
        <v>0</v>
      </c>
      <c r="P555" s="47">
        <f>0.00145*M555</f>
        <v>0</v>
      </c>
      <c r="Q555" s="44"/>
      <c r="R555" s="45" t="s">
        <v>1874</v>
      </c>
      <c r="S555" s="45" t="s">
        <v>93</v>
      </c>
      <c r="T555" s="37" t="str">
        <f>HYPERLINK("https://kanzpp.ru/api/getInfo/image/da24410b-0d25-11ea-a236-ac1f6b442184")</f>
        <v>https://kanzpp.ru/api/getInfo/image/da24410b-0d25-11ea-a236-ac1f6b442184</v>
      </c>
      <c r="U555" s="37"/>
    </row>
    <row r="556" spans="2:22" ht="21" customHeight="1" outlineLevel="4" x14ac:dyDescent="0.2">
      <c r="B556" s="5">
        <v>472</v>
      </c>
      <c r="C556" s="6" t="s">
        <v>1875</v>
      </c>
      <c r="D556" s="6" t="s">
        <v>1876</v>
      </c>
      <c r="E556" s="7" t="s">
        <v>1877</v>
      </c>
      <c r="F556" s="13"/>
      <c r="G556" s="17">
        <v>1680</v>
      </c>
      <c r="H556" s="15">
        <v>30</v>
      </c>
      <c r="I556" s="14"/>
      <c r="J556" s="14" t="s">
        <v>144</v>
      </c>
      <c r="K556" s="5">
        <v>4</v>
      </c>
      <c r="L556" s="16">
        <v>133.32</v>
      </c>
      <c r="M556" s="12"/>
      <c r="N556" s="14">
        <f t="shared" si="29"/>
        <v>0</v>
      </c>
      <c r="O556" s="23">
        <f>0.326*M556</f>
        <v>0</v>
      </c>
      <c r="P556" s="24">
        <f>0.00096*M556</f>
        <v>0</v>
      </c>
      <c r="Q556" s="25"/>
      <c r="R556" s="26" t="s">
        <v>1878</v>
      </c>
      <c r="S556" s="26" t="s">
        <v>93</v>
      </c>
      <c r="T556" s="6" t="str">
        <f>HYPERLINK("https://kanzpp.ru/api/getInfo/image/19720152-7b67-11e7-8697-5cf3fc4a2490")</f>
        <v>https://kanzpp.ru/api/getInfo/image/19720152-7b67-11e7-8697-5cf3fc4a2490</v>
      </c>
      <c r="U556" s="6"/>
      <c r="V556" s="33" t="s">
        <v>35</v>
      </c>
    </row>
    <row r="557" spans="2:22" ht="21" customHeight="1" outlineLevel="4" x14ac:dyDescent="0.2">
      <c r="B557" s="5">
        <v>473</v>
      </c>
      <c r="C557" s="6" t="s">
        <v>1879</v>
      </c>
      <c r="D557" s="6" t="s">
        <v>1880</v>
      </c>
      <c r="E557" s="7" t="s">
        <v>1881</v>
      </c>
      <c r="F557" s="13"/>
      <c r="G557" s="17">
        <v>1120</v>
      </c>
      <c r="H557" s="15">
        <v>20</v>
      </c>
      <c r="I557" s="14"/>
      <c r="J557" s="14" t="s">
        <v>144</v>
      </c>
      <c r="K557" s="5">
        <v>3</v>
      </c>
      <c r="L557" s="16">
        <v>178.30666666666664</v>
      </c>
      <c r="M557" s="12"/>
      <c r="N557" s="14">
        <f t="shared" si="29"/>
        <v>0</v>
      </c>
      <c r="O557" s="23">
        <f>0.442*M557</f>
        <v>0</v>
      </c>
      <c r="P557" s="24">
        <f>0.00258*M557</f>
        <v>0</v>
      </c>
      <c r="Q557" s="25"/>
      <c r="R557" s="26" t="s">
        <v>1882</v>
      </c>
      <c r="S557" s="26" t="s">
        <v>93</v>
      </c>
      <c r="T557" s="6" t="str">
        <f>HYPERLINK("https://kanzpp.ru/api/getInfo/image/8961a573-7b67-11e7-8697-5cf3fc4a2490")</f>
        <v>https://kanzpp.ru/api/getInfo/image/8961a573-7b67-11e7-8697-5cf3fc4a2490</v>
      </c>
      <c r="U557" s="6"/>
      <c r="V557" s="33" t="s">
        <v>35</v>
      </c>
    </row>
    <row r="558" spans="2:22" ht="21" customHeight="1" outlineLevel="4" x14ac:dyDescent="0.2">
      <c r="B558" s="5">
        <v>474</v>
      </c>
      <c r="C558" s="6" t="s">
        <v>1883</v>
      </c>
      <c r="D558" s="6" t="s">
        <v>1884</v>
      </c>
      <c r="E558" s="7" t="s">
        <v>1885</v>
      </c>
      <c r="F558" s="13"/>
      <c r="G558" s="15">
        <v>800</v>
      </c>
      <c r="H558" s="15">
        <v>20</v>
      </c>
      <c r="I558" s="14"/>
      <c r="J558" s="17">
        <v>1262</v>
      </c>
      <c r="K558" s="5">
        <v>2</v>
      </c>
      <c r="L558" s="16">
        <v>234.70666666666668</v>
      </c>
      <c r="M558" s="12"/>
      <c r="N558" s="14">
        <f t="shared" si="29"/>
        <v>0</v>
      </c>
      <c r="O558" s="23">
        <f>0.692*M558</f>
        <v>0</v>
      </c>
      <c r="P558" s="24">
        <f>0.00206*M558</f>
        <v>0</v>
      </c>
      <c r="Q558" s="25"/>
      <c r="R558" s="26" t="s">
        <v>1886</v>
      </c>
      <c r="S558" s="26" t="s">
        <v>93</v>
      </c>
      <c r="T558" s="6" t="str">
        <f>HYPERLINK("https://kanzpp.ru/api/getInfo/image/c2610a5e-7b67-11e7-8697-5cf3fc4a2490")</f>
        <v>https://kanzpp.ru/api/getInfo/image/c2610a5e-7b67-11e7-8697-5cf3fc4a2490</v>
      </c>
      <c r="U558" s="6"/>
      <c r="V558" s="33" t="s">
        <v>35</v>
      </c>
    </row>
    <row r="559" spans="2:22" ht="21" customHeight="1" outlineLevel="4" x14ac:dyDescent="0.2">
      <c r="B559" s="36">
        <v>475</v>
      </c>
      <c r="C559" s="37" t="s">
        <v>1887</v>
      </c>
      <c r="D559" s="37" t="s">
        <v>1888</v>
      </c>
      <c r="E559" s="38" t="s">
        <v>1889</v>
      </c>
      <c r="F559" s="39"/>
      <c r="G559" s="40"/>
      <c r="H559" s="41">
        <v>40</v>
      </c>
      <c r="I559" s="40"/>
      <c r="J559" s="40" t="s">
        <v>144</v>
      </c>
      <c r="K559" s="36">
        <v>2</v>
      </c>
      <c r="L559" s="42" t="e">
        <f>(IF(#REF!,219.77*(1-#REF!/100),219.77*(1-O3/100)))/0.75</f>
        <v>#REF!</v>
      </c>
      <c r="M559" s="12"/>
      <c r="N559" s="40" t="e">
        <f t="shared" si="29"/>
        <v>#REF!</v>
      </c>
      <c r="O559" s="43">
        <f>0.632*M559</f>
        <v>0</v>
      </c>
      <c r="P559" s="46">
        <f>0.0015*M559</f>
        <v>0</v>
      </c>
      <c r="Q559" s="44"/>
      <c r="R559" s="45" t="s">
        <v>1890</v>
      </c>
      <c r="S559" s="45" t="s">
        <v>93</v>
      </c>
      <c r="T559" s="37" t="str">
        <f>HYPERLINK("https://kanzpp.ru/api/getInfo/image/7346d772-f19c-11ee-a25b-00155d82e908")</f>
        <v>https://kanzpp.ru/api/getInfo/image/7346d772-f19c-11ee-a25b-00155d82e908</v>
      </c>
      <c r="U559" s="37"/>
    </row>
    <row r="560" spans="2:22" ht="22.95" customHeight="1" outlineLevel="3" x14ac:dyDescent="0.2">
      <c r="B560" s="81" t="s">
        <v>1891</v>
      </c>
      <c r="C560" s="81"/>
      <c r="D560" s="81"/>
      <c r="L560">
        <v>0</v>
      </c>
    </row>
    <row r="561" spans="2:22" ht="21" customHeight="1" outlineLevel="4" x14ac:dyDescent="0.2">
      <c r="B561" s="5">
        <v>476</v>
      </c>
      <c r="C561" s="6" t="s">
        <v>1892</v>
      </c>
      <c r="D561" s="6" t="s">
        <v>1893</v>
      </c>
      <c r="E561" s="7" t="s">
        <v>1894</v>
      </c>
      <c r="F561" s="13"/>
      <c r="G561" s="14"/>
      <c r="H561" s="15">
        <v>600</v>
      </c>
      <c r="I561" s="15">
        <v>12</v>
      </c>
      <c r="J561" s="14" t="s">
        <v>144</v>
      </c>
      <c r="K561" s="5">
        <v>24</v>
      </c>
      <c r="L561" s="16">
        <v>6.5333333333333341</v>
      </c>
      <c r="M561" s="12"/>
      <c r="N561" s="14">
        <f>L561*M561</f>
        <v>0</v>
      </c>
      <c r="O561" s="23">
        <f>0.084*M561</f>
        <v>0</v>
      </c>
      <c r="P561" s="24">
        <f>0.02354*M561</f>
        <v>0</v>
      </c>
      <c r="Q561" s="25"/>
      <c r="R561" s="26" t="s">
        <v>1895</v>
      </c>
      <c r="S561" s="26" t="s">
        <v>93</v>
      </c>
      <c r="T561" s="6" t="str">
        <f>HYPERLINK("https://kanzpp.ru/api/getInfo/image/111148a4-510f-11ec-a20f-ac1f6b442185")</f>
        <v>https://kanzpp.ru/api/getInfo/image/111148a4-510f-11ec-a20f-ac1f6b442185</v>
      </c>
      <c r="U561" s="6"/>
      <c r="V561" s="33" t="s">
        <v>35</v>
      </c>
    </row>
    <row r="562" spans="2:22" ht="21" customHeight="1" outlineLevel="4" x14ac:dyDescent="0.2">
      <c r="B562" s="5">
        <v>477</v>
      </c>
      <c r="C562" s="6" t="s">
        <v>1896</v>
      </c>
      <c r="D562" s="6" t="s">
        <v>1897</v>
      </c>
      <c r="E562" s="7" t="s">
        <v>1898</v>
      </c>
      <c r="F562" s="13"/>
      <c r="G562" s="14"/>
      <c r="H562" s="15">
        <v>600</v>
      </c>
      <c r="I562" s="15">
        <v>12</v>
      </c>
      <c r="J562" s="15">
        <v>97</v>
      </c>
      <c r="K562" s="5">
        <v>24</v>
      </c>
      <c r="L562" s="16">
        <v>21.92</v>
      </c>
      <c r="M562" s="12"/>
      <c r="N562" s="14">
        <f>L562*M562</f>
        <v>0</v>
      </c>
      <c r="O562" s="23">
        <f>0.026*M562</f>
        <v>0</v>
      </c>
      <c r="P562" s="31">
        <f>0.0007*M562</f>
        <v>0</v>
      </c>
      <c r="Q562" s="25"/>
      <c r="R562" s="26" t="s">
        <v>1899</v>
      </c>
      <c r="S562" s="26" t="s">
        <v>93</v>
      </c>
      <c r="T562" s="6" t="str">
        <f>HYPERLINK("https://kanzpp.ru/api/getInfo/image/dd9d927f-510d-11ec-a20f-ac1f6b442185")</f>
        <v>https://kanzpp.ru/api/getInfo/image/dd9d927f-510d-11ec-a20f-ac1f6b442185</v>
      </c>
      <c r="U562" s="6"/>
      <c r="V562" s="33" t="s">
        <v>35</v>
      </c>
    </row>
    <row r="563" spans="2:22" ht="21" customHeight="1" outlineLevel="4" x14ac:dyDescent="0.2">
      <c r="B563" s="5">
        <v>478</v>
      </c>
      <c r="C563" s="6" t="s">
        <v>1900</v>
      </c>
      <c r="D563" s="6" t="s">
        <v>1901</v>
      </c>
      <c r="E563" s="7" t="s">
        <v>1902</v>
      </c>
      <c r="F563" s="13"/>
      <c r="G563" s="14"/>
      <c r="H563" s="15">
        <v>600</v>
      </c>
      <c r="I563" s="15">
        <v>12</v>
      </c>
      <c r="J563" s="14" t="s">
        <v>144</v>
      </c>
      <c r="K563" s="5">
        <v>24</v>
      </c>
      <c r="L563" s="16">
        <v>6.5333333333333341</v>
      </c>
      <c r="M563" s="12"/>
      <c r="N563" s="14">
        <f>L563*M563</f>
        <v>0</v>
      </c>
      <c r="O563" s="23">
        <f>0.026*M563</f>
        <v>0</v>
      </c>
      <c r="P563" s="24">
        <f>0.00098*M563</f>
        <v>0</v>
      </c>
      <c r="Q563" s="25"/>
      <c r="R563" s="26" t="s">
        <v>1903</v>
      </c>
      <c r="S563" s="26" t="s">
        <v>93</v>
      </c>
      <c r="T563" s="6" t="str">
        <f>HYPERLINK("https://kanzpp.ru/api/getInfo/image/6a797cd9-510d-11ec-a20f-ac1f6b442185")</f>
        <v>https://kanzpp.ru/api/getInfo/image/6a797cd9-510d-11ec-a20f-ac1f6b442185</v>
      </c>
      <c r="U563" s="6"/>
      <c r="V563" s="33" t="s">
        <v>35</v>
      </c>
    </row>
    <row r="564" spans="2:22" ht="21" customHeight="1" outlineLevel="4" x14ac:dyDescent="0.2">
      <c r="B564" s="5">
        <v>479</v>
      </c>
      <c r="C564" s="6" t="s">
        <v>1904</v>
      </c>
      <c r="D564" s="6" t="s">
        <v>1905</v>
      </c>
      <c r="E564" s="7" t="s">
        <v>1906</v>
      </c>
      <c r="F564" s="13"/>
      <c r="G564" s="14"/>
      <c r="H564" s="15">
        <v>600</v>
      </c>
      <c r="I564" s="15">
        <v>12</v>
      </c>
      <c r="J564" s="14" t="s">
        <v>144</v>
      </c>
      <c r="K564" s="5">
        <v>24</v>
      </c>
      <c r="L564" s="16">
        <v>6.5333333333333341</v>
      </c>
      <c r="M564" s="12"/>
      <c r="N564" s="14">
        <f>L564*M564</f>
        <v>0</v>
      </c>
      <c r="O564" s="23">
        <f>0.041*M564</f>
        <v>0</v>
      </c>
      <c r="P564" s="24">
        <f>0.00328*M564</f>
        <v>0</v>
      </c>
      <c r="Q564" s="25"/>
      <c r="R564" s="26" t="s">
        <v>1907</v>
      </c>
      <c r="S564" s="26" t="s">
        <v>93</v>
      </c>
      <c r="T564" s="6" t="str">
        <f>HYPERLINK("https://kanzpp.ru/api/getInfo/image/d7178070-510e-11ec-a20f-ac1f6b442185")</f>
        <v>https://kanzpp.ru/api/getInfo/image/d7178070-510e-11ec-a20f-ac1f6b442185</v>
      </c>
      <c r="U564" s="6"/>
      <c r="V564" s="33" t="s">
        <v>35</v>
      </c>
    </row>
    <row r="565" spans="2:22" ht="22.95" customHeight="1" outlineLevel="3" x14ac:dyDescent="0.2">
      <c r="B565" s="81" t="s">
        <v>1908</v>
      </c>
      <c r="C565" s="81"/>
      <c r="D565" s="81"/>
      <c r="L565">
        <v>0</v>
      </c>
    </row>
    <row r="566" spans="2:22" ht="21" customHeight="1" outlineLevel="4" x14ac:dyDescent="0.2">
      <c r="B566" s="36">
        <v>480</v>
      </c>
      <c r="C566" s="37" t="s">
        <v>1909</v>
      </c>
      <c r="D566" s="37" t="s">
        <v>1910</v>
      </c>
      <c r="E566" s="38" t="s">
        <v>1911</v>
      </c>
      <c r="F566" s="39"/>
      <c r="G566" s="40"/>
      <c r="H566" s="41">
        <v>100</v>
      </c>
      <c r="I566" s="40"/>
      <c r="J566" s="41">
        <v>9</v>
      </c>
      <c r="K566" s="36">
        <v>9</v>
      </c>
      <c r="L566" s="42" t="e">
        <f>(IF(#REF!,65.81*(1-#REF!/100),65.81*(1-O3/100)))/0.75</f>
        <v>#REF!</v>
      </c>
      <c r="M566" s="12"/>
      <c r="N566" s="40" t="e">
        <f t="shared" ref="N566:N581" si="30">L566*M566</f>
        <v>#REF!</v>
      </c>
      <c r="O566" s="48">
        <f>0.13*M566</f>
        <v>0</v>
      </c>
      <c r="P566" s="47">
        <f>0.00021*M566</f>
        <v>0</v>
      </c>
      <c r="Q566" s="44"/>
      <c r="R566" s="45" t="s">
        <v>1912</v>
      </c>
      <c r="S566" s="45" t="s">
        <v>93</v>
      </c>
      <c r="T566" s="37" t="str">
        <f>HYPERLINK("https://kanzpp.ru/api/getInfo/image/1dab520a-eb68-11ee-a25b-00155d82e908")</f>
        <v>https://kanzpp.ru/api/getInfo/image/1dab520a-eb68-11ee-a25b-00155d82e908</v>
      </c>
      <c r="U566" s="37"/>
    </row>
    <row r="567" spans="2:22" ht="21" customHeight="1" outlineLevel="4" x14ac:dyDescent="0.2">
      <c r="B567" s="5">
        <v>481</v>
      </c>
      <c r="C567" s="6" t="s">
        <v>1913</v>
      </c>
      <c r="D567" s="6" t="s">
        <v>1914</v>
      </c>
      <c r="E567" s="7" t="s">
        <v>1915</v>
      </c>
      <c r="F567" s="13"/>
      <c r="G567" s="14"/>
      <c r="H567" s="15">
        <v>80</v>
      </c>
      <c r="I567" s="14"/>
      <c r="J567" s="15">
        <v>98</v>
      </c>
      <c r="K567" s="5">
        <v>6</v>
      </c>
      <c r="L567" s="16">
        <v>6.5333333333333341</v>
      </c>
      <c r="M567" s="12"/>
      <c r="N567" s="14">
        <f t="shared" si="30"/>
        <v>0</v>
      </c>
      <c r="O567" s="28">
        <f>0.09*M567</f>
        <v>0</v>
      </c>
      <c r="P567" s="24">
        <f>0.00119*M567</f>
        <v>0</v>
      </c>
      <c r="Q567" s="25"/>
      <c r="R567" s="26" t="s">
        <v>1916</v>
      </c>
      <c r="S567" s="26" t="s">
        <v>93</v>
      </c>
      <c r="T567" s="6" t="str">
        <f>HYPERLINK("https://kanzpp.ru/api/getInfo/image/50a106c2-eb70-11ee-a25b-00155d82e908")</f>
        <v>https://kanzpp.ru/api/getInfo/image/50a106c2-eb70-11ee-a25b-00155d82e908</v>
      </c>
      <c r="U567" s="6"/>
      <c r="V567" s="33" t="s">
        <v>35</v>
      </c>
    </row>
    <row r="568" spans="2:22" ht="21" customHeight="1" outlineLevel="4" x14ac:dyDescent="0.2">
      <c r="B568" s="5">
        <v>482</v>
      </c>
      <c r="C568" s="6" t="s">
        <v>1917</v>
      </c>
      <c r="D568" s="6" t="s">
        <v>1918</v>
      </c>
      <c r="E568" s="7" t="s">
        <v>1919</v>
      </c>
      <c r="F568" s="13"/>
      <c r="G568" s="14"/>
      <c r="H568" s="15">
        <v>80</v>
      </c>
      <c r="I568" s="14"/>
      <c r="J568" s="15">
        <v>10</v>
      </c>
      <c r="K568" s="5">
        <v>6</v>
      </c>
      <c r="L568" s="16">
        <v>6.5333333333333341</v>
      </c>
      <c r="M568" s="12"/>
      <c r="N568" s="14">
        <f t="shared" si="30"/>
        <v>0</v>
      </c>
      <c r="O568" s="23">
        <f>0.028*M568</f>
        <v>0</v>
      </c>
      <c r="P568" s="24">
        <f>0.00008*M568</f>
        <v>0</v>
      </c>
      <c r="Q568" s="25"/>
      <c r="R568" s="26" t="s">
        <v>1920</v>
      </c>
      <c r="S568" s="26" t="s">
        <v>93</v>
      </c>
      <c r="T568" s="6" t="str">
        <f>HYPERLINK("https://kanzpp.ru/api/getInfo/image/24988613-eb70-11ee-a25b-00155d82e908")</f>
        <v>https://kanzpp.ru/api/getInfo/image/24988613-eb70-11ee-a25b-00155d82e908</v>
      </c>
      <c r="U568" s="6"/>
      <c r="V568" s="33" t="s">
        <v>35</v>
      </c>
    </row>
    <row r="569" spans="2:22" ht="21" customHeight="1" outlineLevel="4" x14ac:dyDescent="0.2">
      <c r="B569" s="5">
        <v>483</v>
      </c>
      <c r="C569" s="6" t="s">
        <v>1921</v>
      </c>
      <c r="D569" s="6" t="s">
        <v>1922</v>
      </c>
      <c r="E569" s="7" t="s">
        <v>1923</v>
      </c>
      <c r="F569" s="13"/>
      <c r="G569" s="14"/>
      <c r="H569" s="15">
        <v>80</v>
      </c>
      <c r="I569" s="14"/>
      <c r="J569" s="15">
        <v>13</v>
      </c>
      <c r="K569" s="5">
        <v>6</v>
      </c>
      <c r="L569" s="16">
        <v>6.5333333333333341</v>
      </c>
      <c r="M569" s="12"/>
      <c r="N569" s="14">
        <f t="shared" si="30"/>
        <v>0</v>
      </c>
      <c r="O569" s="23">
        <f>0.088*M569</f>
        <v>0</v>
      </c>
      <c r="P569" s="24">
        <f>0.00196*M569</f>
        <v>0</v>
      </c>
      <c r="Q569" s="25"/>
      <c r="R569" s="26" t="s">
        <v>1924</v>
      </c>
      <c r="S569" s="26" t="s">
        <v>93</v>
      </c>
      <c r="T569" s="6" t="str">
        <f>HYPERLINK("https://kanzpp.ru/api/getInfo/image/8279456f-eb70-11ee-a25b-00155d82e908")</f>
        <v>https://kanzpp.ru/api/getInfo/image/8279456f-eb70-11ee-a25b-00155d82e908</v>
      </c>
      <c r="U569" s="6"/>
      <c r="V569" s="33" t="s">
        <v>35</v>
      </c>
    </row>
    <row r="570" spans="2:22" ht="21" customHeight="1" outlineLevel="4" x14ac:dyDescent="0.2">
      <c r="B570" s="5">
        <v>484</v>
      </c>
      <c r="C570" s="6" t="s">
        <v>1925</v>
      </c>
      <c r="D570" s="6" t="s">
        <v>1926</v>
      </c>
      <c r="E570" s="7" t="s">
        <v>1927</v>
      </c>
      <c r="F570" s="13"/>
      <c r="G570" s="14"/>
      <c r="H570" s="15">
        <v>480</v>
      </c>
      <c r="I570" s="15">
        <v>24</v>
      </c>
      <c r="J570" s="14" t="s">
        <v>144</v>
      </c>
      <c r="K570" s="5">
        <v>24</v>
      </c>
      <c r="L570" s="16">
        <v>6.5333333333333341</v>
      </c>
      <c r="M570" s="12"/>
      <c r="N570" s="14">
        <f t="shared" si="30"/>
        <v>0</v>
      </c>
      <c r="O570" s="23">
        <f>0.033*M570</f>
        <v>0</v>
      </c>
      <c r="P570" s="24">
        <f>0.00008*M570</f>
        <v>0</v>
      </c>
      <c r="Q570" s="25"/>
      <c r="R570" s="26" t="s">
        <v>1928</v>
      </c>
      <c r="S570" s="26" t="s">
        <v>93</v>
      </c>
      <c r="T570" s="6" t="str">
        <f>HYPERLINK("https://kanzpp.ru/api/getInfo/image/ffd246e8-5112-11ec-a20f-ac1f6b442185")</f>
        <v>https://kanzpp.ru/api/getInfo/image/ffd246e8-5112-11ec-a20f-ac1f6b442185</v>
      </c>
      <c r="U570" s="6"/>
      <c r="V570" s="33" t="s">
        <v>35</v>
      </c>
    </row>
    <row r="571" spans="2:22" ht="21" customHeight="1" outlineLevel="4" x14ac:dyDescent="0.2">
      <c r="B571" s="5">
        <v>485</v>
      </c>
      <c r="C571" s="6" t="s">
        <v>1929</v>
      </c>
      <c r="D571" s="6" t="s">
        <v>1930</v>
      </c>
      <c r="E571" s="7" t="s">
        <v>1931</v>
      </c>
      <c r="F571" s="13"/>
      <c r="G571" s="14"/>
      <c r="H571" s="15">
        <v>240</v>
      </c>
      <c r="I571" s="15">
        <v>12</v>
      </c>
      <c r="J571" s="14" t="s">
        <v>144</v>
      </c>
      <c r="K571" s="5">
        <v>24</v>
      </c>
      <c r="L571" s="16">
        <v>6.5333333333333341</v>
      </c>
      <c r="M571" s="12"/>
      <c r="N571" s="14">
        <f t="shared" si="30"/>
        <v>0</v>
      </c>
      <c r="O571" s="23">
        <f>0.028*M571</f>
        <v>0</v>
      </c>
      <c r="P571" s="24">
        <f>0.00017*M571</f>
        <v>0</v>
      </c>
      <c r="Q571" s="25"/>
      <c r="R571" s="26" t="s">
        <v>1932</v>
      </c>
      <c r="S571" s="26" t="s">
        <v>93</v>
      </c>
      <c r="T571" s="6" t="str">
        <f>HYPERLINK("https://kanzpp.ru/api/getInfo/image/f5d32a68-eb4d-11ee-a25b-00155d82e908")</f>
        <v>https://kanzpp.ru/api/getInfo/image/f5d32a68-eb4d-11ee-a25b-00155d82e908</v>
      </c>
      <c r="U571" s="6"/>
      <c r="V571" s="33" t="s">
        <v>35</v>
      </c>
    </row>
    <row r="572" spans="2:22" ht="21" customHeight="1" outlineLevel="4" x14ac:dyDescent="0.2">
      <c r="B572" s="5">
        <v>486</v>
      </c>
      <c r="C572" s="6" t="s">
        <v>1933</v>
      </c>
      <c r="D572" s="6" t="s">
        <v>1934</v>
      </c>
      <c r="E572" s="7" t="s">
        <v>1935</v>
      </c>
      <c r="F572" s="13"/>
      <c r="G572" s="14"/>
      <c r="H572" s="15">
        <v>240</v>
      </c>
      <c r="I572" s="15">
        <v>12</v>
      </c>
      <c r="J572" s="14" t="s">
        <v>144</v>
      </c>
      <c r="K572" s="5">
        <v>24</v>
      </c>
      <c r="L572" s="16">
        <v>6.5333333333333341</v>
      </c>
      <c r="M572" s="12"/>
      <c r="N572" s="14">
        <f t="shared" si="30"/>
        <v>0</v>
      </c>
      <c r="O572" s="23">
        <f>0.029*M572</f>
        <v>0</v>
      </c>
      <c r="P572" s="24">
        <f>0.00008*M572</f>
        <v>0</v>
      </c>
      <c r="Q572" s="25"/>
      <c r="R572" s="26" t="s">
        <v>1936</v>
      </c>
      <c r="S572" s="26" t="s">
        <v>93</v>
      </c>
      <c r="T572" s="6" t="str">
        <f>HYPERLINK("https://kanzpp.ru/api/getInfo/image/d250a3a2-eb4d-11ee-a25b-00155d82e908")</f>
        <v>https://kanzpp.ru/api/getInfo/image/d250a3a2-eb4d-11ee-a25b-00155d82e908</v>
      </c>
      <c r="U572" s="6"/>
      <c r="V572" s="33" t="s">
        <v>35</v>
      </c>
    </row>
    <row r="573" spans="2:22" ht="21" customHeight="1" outlineLevel="4" x14ac:dyDescent="0.2">
      <c r="B573" s="5">
        <v>487</v>
      </c>
      <c r="C573" s="6" t="s">
        <v>1937</v>
      </c>
      <c r="D573" s="6" t="s">
        <v>1938</v>
      </c>
      <c r="E573" s="7" t="s">
        <v>1939</v>
      </c>
      <c r="F573" s="13"/>
      <c r="G573" s="14"/>
      <c r="H573" s="15">
        <v>240</v>
      </c>
      <c r="I573" s="15">
        <v>12</v>
      </c>
      <c r="J573" s="17">
        <v>1072</v>
      </c>
      <c r="K573" s="5">
        <v>24</v>
      </c>
      <c r="L573" s="16">
        <v>19.066666666666666</v>
      </c>
      <c r="M573" s="12"/>
      <c r="N573" s="14">
        <f t="shared" si="30"/>
        <v>0</v>
      </c>
      <c r="O573" s="23">
        <f>0.005*M573</f>
        <v>0</v>
      </c>
      <c r="P573" s="24">
        <f>0.00025*M573</f>
        <v>0</v>
      </c>
      <c r="Q573" s="25"/>
      <c r="R573" s="26" t="s">
        <v>1940</v>
      </c>
      <c r="S573" s="26" t="s">
        <v>93</v>
      </c>
      <c r="T573" s="6" t="str">
        <f>HYPERLINK("https://kanzpp.ru/api/getInfo/image/3be2e8ad-eb4e-11ee-a25b-00155d82e908")</f>
        <v>https://kanzpp.ru/api/getInfo/image/3be2e8ad-eb4e-11ee-a25b-00155d82e908</v>
      </c>
      <c r="U573" s="6"/>
      <c r="V573" s="33" t="s">
        <v>35</v>
      </c>
    </row>
    <row r="574" spans="2:22" ht="21" customHeight="1" outlineLevel="4" x14ac:dyDescent="0.2">
      <c r="B574" s="5">
        <v>488</v>
      </c>
      <c r="C574" s="6" t="s">
        <v>1941</v>
      </c>
      <c r="D574" s="6" t="s">
        <v>1942</v>
      </c>
      <c r="E574" s="7" t="s">
        <v>1943</v>
      </c>
      <c r="F574" s="13"/>
      <c r="G574" s="14"/>
      <c r="H574" s="15">
        <v>240</v>
      </c>
      <c r="I574" s="15">
        <v>12</v>
      </c>
      <c r="J574" s="15">
        <v>120</v>
      </c>
      <c r="K574" s="5">
        <v>24</v>
      </c>
      <c r="L574" s="16">
        <v>19.066666666666666</v>
      </c>
      <c r="M574" s="12"/>
      <c r="N574" s="14">
        <f t="shared" si="30"/>
        <v>0</v>
      </c>
      <c r="O574" s="23">
        <f>0.094*M574</f>
        <v>0</v>
      </c>
      <c r="P574" s="24">
        <f>0.02529*M574</f>
        <v>0</v>
      </c>
      <c r="Q574" s="25"/>
      <c r="R574" s="26" t="s">
        <v>1944</v>
      </c>
      <c r="S574" s="26" t="s">
        <v>93</v>
      </c>
      <c r="T574" s="6" t="str">
        <f>HYPERLINK("https://kanzpp.ru/api/getInfo/image/1b487e8b-5114-11ec-a20f-ac1f6b442185")</f>
        <v>https://kanzpp.ru/api/getInfo/image/1b487e8b-5114-11ec-a20f-ac1f6b442185</v>
      </c>
      <c r="U574" s="6"/>
      <c r="V574" s="33" t="s">
        <v>35</v>
      </c>
    </row>
    <row r="575" spans="2:22" ht="21" customHeight="1" outlineLevel="4" x14ac:dyDescent="0.2">
      <c r="B575" s="5">
        <v>489</v>
      </c>
      <c r="C575" s="6" t="s">
        <v>1945</v>
      </c>
      <c r="D575" s="6" t="s">
        <v>1946</v>
      </c>
      <c r="E575" s="7" t="s">
        <v>1947</v>
      </c>
      <c r="F575" s="13"/>
      <c r="G575" s="14"/>
      <c r="H575" s="15">
        <v>240</v>
      </c>
      <c r="I575" s="15">
        <v>12</v>
      </c>
      <c r="J575" s="15">
        <v>120</v>
      </c>
      <c r="K575" s="5">
        <v>24</v>
      </c>
      <c r="L575" s="16">
        <v>19.066666666666666</v>
      </c>
      <c r="M575" s="12"/>
      <c r="N575" s="14">
        <f t="shared" si="30"/>
        <v>0</v>
      </c>
      <c r="O575" s="23">
        <f>0.058*M575</f>
        <v>0</v>
      </c>
      <c r="P575" s="24">
        <f>0.02592*M575</f>
        <v>0</v>
      </c>
      <c r="Q575" s="25"/>
      <c r="R575" s="26" t="s">
        <v>1948</v>
      </c>
      <c r="S575" s="26" t="s">
        <v>93</v>
      </c>
      <c r="T575" s="6" t="str">
        <f>HYPERLINK("https://kanzpp.ru/api/getInfo/image/7e6a2940-5114-11ec-a20f-ac1f6b442185")</f>
        <v>https://kanzpp.ru/api/getInfo/image/7e6a2940-5114-11ec-a20f-ac1f6b442185</v>
      </c>
      <c r="U575" s="6"/>
      <c r="V575" s="33" t="s">
        <v>35</v>
      </c>
    </row>
    <row r="576" spans="2:22" ht="21" customHeight="1" outlineLevel="4" x14ac:dyDescent="0.2">
      <c r="B576" s="5">
        <v>490</v>
      </c>
      <c r="C576" s="6" t="s">
        <v>1949</v>
      </c>
      <c r="D576" s="6" t="s">
        <v>1950</v>
      </c>
      <c r="E576" s="7" t="s">
        <v>1951</v>
      </c>
      <c r="F576" s="13"/>
      <c r="G576" s="14"/>
      <c r="H576" s="15">
        <v>240</v>
      </c>
      <c r="I576" s="15">
        <v>12</v>
      </c>
      <c r="J576" s="14" t="s">
        <v>144</v>
      </c>
      <c r="K576" s="5">
        <v>24</v>
      </c>
      <c r="L576" s="16">
        <v>6.5333333333333341</v>
      </c>
      <c r="M576" s="12"/>
      <c r="N576" s="14">
        <f t="shared" si="30"/>
        <v>0</v>
      </c>
      <c r="O576" s="23">
        <f>0.028*M576</f>
        <v>0</v>
      </c>
      <c r="P576" s="24">
        <f>0.00017*M576</f>
        <v>0</v>
      </c>
      <c r="Q576" s="25"/>
      <c r="R576" s="26" t="s">
        <v>1952</v>
      </c>
      <c r="S576" s="26" t="s">
        <v>93</v>
      </c>
      <c r="T576" s="6" t="str">
        <f>HYPERLINK("https://kanzpp.ru/api/getInfo/image/7b533320-eb4d-11ee-a25b-00155d82e908")</f>
        <v>https://kanzpp.ru/api/getInfo/image/7b533320-eb4d-11ee-a25b-00155d82e908</v>
      </c>
      <c r="U576" s="6"/>
      <c r="V576" s="33" t="s">
        <v>35</v>
      </c>
    </row>
    <row r="577" spans="2:22" ht="21" customHeight="1" outlineLevel="4" x14ac:dyDescent="0.2">
      <c r="B577" s="5">
        <v>491</v>
      </c>
      <c r="C577" s="6" t="s">
        <v>1953</v>
      </c>
      <c r="D577" s="6" t="s">
        <v>1954</v>
      </c>
      <c r="E577" s="7" t="s">
        <v>1955</v>
      </c>
      <c r="F577" s="13"/>
      <c r="G577" s="14"/>
      <c r="H577" s="15">
        <v>240</v>
      </c>
      <c r="I577" s="15">
        <v>12</v>
      </c>
      <c r="J577" s="14" t="s">
        <v>144</v>
      </c>
      <c r="K577" s="5">
        <v>24</v>
      </c>
      <c r="L577" s="16">
        <v>6.5333333333333341</v>
      </c>
      <c r="M577" s="12"/>
      <c r="N577" s="14">
        <f t="shared" si="30"/>
        <v>0</v>
      </c>
      <c r="O577" s="23">
        <f>0.026*M577</f>
        <v>0</v>
      </c>
      <c r="P577" s="24">
        <f>0.00008*M577</f>
        <v>0</v>
      </c>
      <c r="Q577" s="25"/>
      <c r="R577" s="26" t="s">
        <v>1956</v>
      </c>
      <c r="S577" s="26" t="s">
        <v>93</v>
      </c>
      <c r="T577" s="6" t="str">
        <f>HYPERLINK("https://kanzpp.ru/api/getInfo/image/af5ae23f-eb4d-11ee-a25b-00155d82e908")</f>
        <v>https://kanzpp.ru/api/getInfo/image/af5ae23f-eb4d-11ee-a25b-00155d82e908</v>
      </c>
      <c r="U577" s="6"/>
      <c r="V577" s="33" t="s">
        <v>35</v>
      </c>
    </row>
    <row r="578" spans="2:22" ht="21" customHeight="1" outlineLevel="4" x14ac:dyDescent="0.2">
      <c r="B578" s="5">
        <v>492</v>
      </c>
      <c r="C578" s="6" t="s">
        <v>1957</v>
      </c>
      <c r="D578" s="6" t="s">
        <v>1958</v>
      </c>
      <c r="E578" s="7" t="s">
        <v>1959</v>
      </c>
      <c r="F578" s="13"/>
      <c r="G578" s="14"/>
      <c r="H578" s="15">
        <v>240</v>
      </c>
      <c r="I578" s="15">
        <v>12</v>
      </c>
      <c r="J578" s="14" t="s">
        <v>144</v>
      </c>
      <c r="K578" s="5">
        <v>24</v>
      </c>
      <c r="L578" s="16">
        <v>6.5333333333333341</v>
      </c>
      <c r="M578" s="12"/>
      <c r="N578" s="14">
        <f t="shared" si="30"/>
        <v>0</v>
      </c>
      <c r="O578" s="23">
        <f>0.027*M578</f>
        <v>0</v>
      </c>
      <c r="P578" s="24">
        <f>0.00008*M578</f>
        <v>0</v>
      </c>
      <c r="Q578" s="25"/>
      <c r="R578" s="26" t="s">
        <v>1960</v>
      </c>
      <c r="S578" s="26" t="s">
        <v>93</v>
      </c>
      <c r="T578" s="6" t="str">
        <f>HYPERLINK("https://kanzpp.ru/api/getInfo/image/1a59a789-eb4e-11ee-a25b-00155d82e908")</f>
        <v>https://kanzpp.ru/api/getInfo/image/1a59a789-eb4e-11ee-a25b-00155d82e908</v>
      </c>
      <c r="U578" s="6"/>
      <c r="V578" s="33" t="s">
        <v>35</v>
      </c>
    </row>
    <row r="579" spans="2:22" ht="21" customHeight="1" outlineLevel="4" x14ac:dyDescent="0.2">
      <c r="B579" s="5">
        <v>493</v>
      </c>
      <c r="C579" s="6" t="s">
        <v>1961</v>
      </c>
      <c r="D579" s="6" t="s">
        <v>1962</v>
      </c>
      <c r="E579" s="7" t="s">
        <v>1963</v>
      </c>
      <c r="F579" s="13"/>
      <c r="G579" s="14"/>
      <c r="H579" s="15">
        <v>240</v>
      </c>
      <c r="I579" s="15">
        <v>12</v>
      </c>
      <c r="J579" s="14" t="s">
        <v>144</v>
      </c>
      <c r="K579" s="5">
        <v>24</v>
      </c>
      <c r="L579" s="16">
        <v>19.066666666666666</v>
      </c>
      <c r="M579" s="12"/>
      <c r="N579" s="14">
        <f t="shared" si="30"/>
        <v>0</v>
      </c>
      <c r="O579" s="23">
        <f>0.005*M579</f>
        <v>0</v>
      </c>
      <c r="P579" s="24">
        <f>0.00008*M579</f>
        <v>0</v>
      </c>
      <c r="Q579" s="25"/>
      <c r="R579" s="26" t="s">
        <v>1964</v>
      </c>
      <c r="S579" s="26" t="s">
        <v>93</v>
      </c>
      <c r="T579" s="6" t="str">
        <f>HYPERLINK("https://kanzpp.ru/api/getInfo/image/5d32feb5-eb4e-11ee-a25b-00155d82e908")</f>
        <v>https://kanzpp.ru/api/getInfo/image/5d32feb5-eb4e-11ee-a25b-00155d82e908</v>
      </c>
      <c r="U579" s="6"/>
      <c r="V579" s="33" t="s">
        <v>35</v>
      </c>
    </row>
    <row r="580" spans="2:22" ht="21" customHeight="1" outlineLevel="4" x14ac:dyDescent="0.2">
      <c r="B580" s="5">
        <v>494</v>
      </c>
      <c r="C580" s="6" t="s">
        <v>1965</v>
      </c>
      <c r="D580" s="6" t="s">
        <v>1966</v>
      </c>
      <c r="E580" s="7" t="s">
        <v>1967</v>
      </c>
      <c r="F580" s="13"/>
      <c r="G580" s="14"/>
      <c r="H580" s="15">
        <v>240</v>
      </c>
      <c r="I580" s="15">
        <v>12</v>
      </c>
      <c r="J580" s="14" t="s">
        <v>144</v>
      </c>
      <c r="K580" s="5">
        <v>24</v>
      </c>
      <c r="L580" s="16">
        <v>19.066666666666666</v>
      </c>
      <c r="M580" s="12"/>
      <c r="N580" s="14">
        <f t="shared" si="30"/>
        <v>0</v>
      </c>
      <c r="O580" s="28">
        <f>0.09*M580</f>
        <v>0</v>
      </c>
      <c r="P580" s="24">
        <f>0.02523*M580</f>
        <v>0</v>
      </c>
      <c r="Q580" s="25"/>
      <c r="R580" s="26" t="s">
        <v>1968</v>
      </c>
      <c r="S580" s="26" t="s">
        <v>93</v>
      </c>
      <c r="T580" s="6" t="str">
        <f>HYPERLINK("https://kanzpp.ru/api/getInfo/image/4cb59008-5114-11ec-a20f-ac1f6b442185")</f>
        <v>https://kanzpp.ru/api/getInfo/image/4cb59008-5114-11ec-a20f-ac1f6b442185</v>
      </c>
      <c r="U580" s="6"/>
      <c r="V580" s="33" t="s">
        <v>35</v>
      </c>
    </row>
    <row r="581" spans="2:22" ht="21" customHeight="1" outlineLevel="4" x14ac:dyDescent="0.2">
      <c r="B581" s="5">
        <v>495</v>
      </c>
      <c r="C581" s="6" t="s">
        <v>1969</v>
      </c>
      <c r="D581" s="6" t="s">
        <v>1970</v>
      </c>
      <c r="E581" s="7" t="s">
        <v>1971</v>
      </c>
      <c r="F581" s="13"/>
      <c r="G581" s="14"/>
      <c r="H581" s="15">
        <v>240</v>
      </c>
      <c r="I581" s="15">
        <v>12</v>
      </c>
      <c r="J581" s="14" t="s">
        <v>144</v>
      </c>
      <c r="K581" s="5">
        <v>24</v>
      </c>
      <c r="L581" s="16">
        <v>19.066666666666666</v>
      </c>
      <c r="M581" s="12"/>
      <c r="N581" s="14">
        <f t="shared" si="30"/>
        <v>0</v>
      </c>
      <c r="O581" s="28">
        <f>0.03*M581</f>
        <v>0</v>
      </c>
      <c r="P581" s="24">
        <f>0.00058*M581</f>
        <v>0</v>
      </c>
      <c r="Q581" s="25"/>
      <c r="R581" s="26" t="s">
        <v>1972</v>
      </c>
      <c r="S581" s="26" t="s">
        <v>93</v>
      </c>
      <c r="T581" s="6" t="str">
        <f>HYPERLINK("https://kanzpp.ru/api/getInfo/image/3e5d60f8-6829-11ee-a247-00155d82e902")</f>
        <v>https://kanzpp.ru/api/getInfo/image/3e5d60f8-6829-11ee-a247-00155d82e902</v>
      </c>
      <c r="U581" s="6"/>
      <c r="V581" s="33" t="s">
        <v>35</v>
      </c>
    </row>
    <row r="582" spans="2:22" ht="22.95" customHeight="1" outlineLevel="3" x14ac:dyDescent="0.2">
      <c r="B582" s="81" t="s">
        <v>1973</v>
      </c>
      <c r="C582" s="81"/>
      <c r="D582" s="81"/>
      <c r="L582">
        <v>0</v>
      </c>
    </row>
    <row r="583" spans="2:22" ht="21" customHeight="1" outlineLevel="4" x14ac:dyDescent="0.2">
      <c r="B583" s="5">
        <v>496</v>
      </c>
      <c r="C583" s="6" t="s">
        <v>1974</v>
      </c>
      <c r="D583" s="6" t="s">
        <v>1975</v>
      </c>
      <c r="E583" s="7" t="s">
        <v>1976</v>
      </c>
      <c r="F583" s="13"/>
      <c r="G583" s="14"/>
      <c r="H583" s="15">
        <v>600</v>
      </c>
      <c r="I583" s="15">
        <v>30</v>
      </c>
      <c r="J583" s="14" t="s">
        <v>144</v>
      </c>
      <c r="K583" s="5">
        <v>30</v>
      </c>
      <c r="L583" s="16">
        <v>5.2</v>
      </c>
      <c r="M583" s="12"/>
      <c r="N583" s="14">
        <f>L583*M583</f>
        <v>0</v>
      </c>
      <c r="O583" s="28">
        <f>0.02*M583</f>
        <v>0</v>
      </c>
      <c r="P583" s="24">
        <f>0.00014*M583</f>
        <v>0</v>
      </c>
      <c r="Q583" s="25"/>
      <c r="R583" s="26" t="s">
        <v>1977</v>
      </c>
      <c r="S583" s="26" t="s">
        <v>93</v>
      </c>
      <c r="T583" s="6" t="str">
        <f>HYPERLINK("https://kanzpp.ru/api/getInfo/image/3c4e873c-682e-11ee-a247-00155d82e902")</f>
        <v>https://kanzpp.ru/api/getInfo/image/3c4e873c-682e-11ee-a247-00155d82e902</v>
      </c>
      <c r="U583" s="6"/>
      <c r="V583" s="33" t="s">
        <v>35</v>
      </c>
    </row>
    <row r="584" spans="2:22" ht="21" customHeight="1" outlineLevel="4" x14ac:dyDescent="0.2">
      <c r="B584" s="5">
        <v>497</v>
      </c>
      <c r="C584" s="6" t="s">
        <v>1978</v>
      </c>
      <c r="D584" s="6" t="s">
        <v>1979</v>
      </c>
      <c r="E584" s="7" t="s">
        <v>1980</v>
      </c>
      <c r="F584" s="13"/>
      <c r="G584" s="14"/>
      <c r="H584" s="15">
        <v>600</v>
      </c>
      <c r="I584" s="15">
        <v>30</v>
      </c>
      <c r="J584" s="14" t="s">
        <v>144</v>
      </c>
      <c r="K584" s="5">
        <v>30</v>
      </c>
      <c r="L584" s="16">
        <v>5.2</v>
      </c>
      <c r="M584" s="12"/>
      <c r="N584" s="14">
        <f>L584*M584</f>
        <v>0</v>
      </c>
      <c r="O584" s="28">
        <f>0.02*M584</f>
        <v>0</v>
      </c>
      <c r="P584" s="24">
        <f>0.00014*M584</f>
        <v>0</v>
      </c>
      <c r="Q584" s="25"/>
      <c r="R584" s="26" t="s">
        <v>1981</v>
      </c>
      <c r="S584" s="26" t="s">
        <v>93</v>
      </c>
      <c r="T584" s="6" t="str">
        <f>HYPERLINK("https://kanzpp.ru/api/getInfo/image/1f4495e6-682e-11ee-a247-00155d82e902")</f>
        <v>https://kanzpp.ru/api/getInfo/image/1f4495e6-682e-11ee-a247-00155d82e902</v>
      </c>
      <c r="U584" s="6"/>
      <c r="V584" s="33" t="s">
        <v>35</v>
      </c>
    </row>
    <row r="585" spans="2:22" ht="21" customHeight="1" outlineLevel="4" x14ac:dyDescent="0.2">
      <c r="B585" s="5">
        <v>498</v>
      </c>
      <c r="C585" s="6" t="s">
        <v>1982</v>
      </c>
      <c r="D585" s="6" t="s">
        <v>1983</v>
      </c>
      <c r="E585" s="7" t="s">
        <v>411</v>
      </c>
      <c r="F585" s="13"/>
      <c r="G585" s="14"/>
      <c r="H585" s="15">
        <v>600</v>
      </c>
      <c r="I585" s="15">
        <v>30</v>
      </c>
      <c r="J585" s="14" t="s">
        <v>144</v>
      </c>
      <c r="K585" s="5">
        <v>30</v>
      </c>
      <c r="L585" s="16">
        <v>5.2</v>
      </c>
      <c r="M585" s="12"/>
      <c r="N585" s="14">
        <f>L585*M585</f>
        <v>0</v>
      </c>
      <c r="O585" s="27">
        <f>0.2*M585</f>
        <v>0</v>
      </c>
      <c r="P585" s="24">
        <f>0.00014*M585</f>
        <v>0</v>
      </c>
      <c r="Q585" s="25"/>
      <c r="R585" s="26" t="s">
        <v>1984</v>
      </c>
      <c r="S585" s="26" t="s">
        <v>93</v>
      </c>
      <c r="T585" s="6" t="str">
        <f>HYPERLINK("https://kanzpp.ru/api/getInfo/image/cba7362b-682d-11ee-a247-00155d82e902")</f>
        <v>https://kanzpp.ru/api/getInfo/image/cba7362b-682d-11ee-a247-00155d82e902</v>
      </c>
      <c r="U585" s="6"/>
      <c r="V585" s="33" t="s">
        <v>35</v>
      </c>
    </row>
    <row r="586" spans="2:22" ht="21" customHeight="1" outlineLevel="4" x14ac:dyDescent="0.2">
      <c r="B586" s="5">
        <v>499</v>
      </c>
      <c r="C586" s="6" t="s">
        <v>1985</v>
      </c>
      <c r="D586" s="6" t="s">
        <v>1986</v>
      </c>
      <c r="E586" s="7" t="s">
        <v>1987</v>
      </c>
      <c r="F586" s="13"/>
      <c r="G586" s="14"/>
      <c r="H586" s="15">
        <v>600</v>
      </c>
      <c r="I586" s="15">
        <v>30</v>
      </c>
      <c r="J586" s="14" t="s">
        <v>144</v>
      </c>
      <c r="K586" s="5">
        <v>30</v>
      </c>
      <c r="L586" s="16">
        <v>5.2</v>
      </c>
      <c r="M586" s="12"/>
      <c r="N586" s="14">
        <f>L586*M586</f>
        <v>0</v>
      </c>
      <c r="O586" s="28">
        <f>0.02*M586</f>
        <v>0</v>
      </c>
      <c r="P586" s="24">
        <f>0.00014*M586</f>
        <v>0</v>
      </c>
      <c r="Q586" s="25"/>
      <c r="R586" s="26" t="s">
        <v>1988</v>
      </c>
      <c r="S586" s="26" t="s">
        <v>93</v>
      </c>
      <c r="T586" s="6" t="str">
        <f>HYPERLINK("https://kanzpp.ru/api/getInfo/image/fe28be96-682d-11ee-a247-00155d82e902")</f>
        <v>https://kanzpp.ru/api/getInfo/image/fe28be96-682d-11ee-a247-00155d82e902</v>
      </c>
      <c r="U586" s="6"/>
      <c r="V586" s="33" t="s">
        <v>35</v>
      </c>
    </row>
    <row r="587" spans="2:22" ht="21" customHeight="1" outlineLevel="4" x14ac:dyDescent="0.2">
      <c r="B587" s="5">
        <v>500</v>
      </c>
      <c r="C587" s="6" t="s">
        <v>1989</v>
      </c>
      <c r="D587" s="6" t="s">
        <v>1990</v>
      </c>
      <c r="E587" s="7" t="s">
        <v>1991</v>
      </c>
      <c r="F587" s="13"/>
      <c r="G587" s="14"/>
      <c r="H587" s="15">
        <v>600</v>
      </c>
      <c r="I587" s="15">
        <v>30</v>
      </c>
      <c r="J587" s="14" t="s">
        <v>144</v>
      </c>
      <c r="K587" s="5">
        <v>30</v>
      </c>
      <c r="L587" s="16">
        <v>5.2</v>
      </c>
      <c r="M587" s="12"/>
      <c r="N587" s="14">
        <f>L587*M587</f>
        <v>0</v>
      </c>
      <c r="O587" s="28">
        <f>0.02*M587</f>
        <v>0</v>
      </c>
      <c r="P587" s="24">
        <f>0.00014*M587</f>
        <v>0</v>
      </c>
      <c r="Q587" s="25"/>
      <c r="R587" s="26" t="s">
        <v>1992</v>
      </c>
      <c r="S587" s="26" t="s">
        <v>93</v>
      </c>
      <c r="T587" s="6" t="str">
        <f>HYPERLINK("https://kanzpp.ru/api/getInfo/image/5f2cfb0b-682e-11ee-a247-00155d82e902")</f>
        <v>https://kanzpp.ru/api/getInfo/image/5f2cfb0b-682e-11ee-a247-00155d82e902</v>
      </c>
      <c r="U587" s="6"/>
      <c r="V587" s="33" t="s">
        <v>35</v>
      </c>
    </row>
    <row r="588" spans="2:22" ht="22.95" customHeight="1" outlineLevel="3" x14ac:dyDescent="0.2">
      <c r="B588" s="81" t="s">
        <v>1993</v>
      </c>
      <c r="C588" s="81"/>
      <c r="D588" s="81"/>
      <c r="L588">
        <v>0</v>
      </c>
    </row>
    <row r="589" spans="2:22" ht="21" customHeight="1" outlineLevel="4" x14ac:dyDescent="0.2">
      <c r="B589" s="36">
        <v>501</v>
      </c>
      <c r="C589" s="37" t="s">
        <v>1994</v>
      </c>
      <c r="D589" s="37" t="s">
        <v>1995</v>
      </c>
      <c r="E589" s="38" t="s">
        <v>1996</v>
      </c>
      <c r="F589" s="39"/>
      <c r="G589" s="40"/>
      <c r="H589" s="41">
        <v>48</v>
      </c>
      <c r="I589" s="41">
        <v>12</v>
      </c>
      <c r="J589" s="41">
        <v>4</v>
      </c>
      <c r="K589" s="36">
        <v>4</v>
      </c>
      <c r="L589" s="42" t="e">
        <f>(IF(#REF!,151.05*(1-#REF!/100),151.05*(1-O3/100)))/0.75</f>
        <v>#REF!</v>
      </c>
      <c r="M589" s="12"/>
      <c r="N589" s="40" t="e">
        <f>L589*M589</f>
        <v>#REF!</v>
      </c>
      <c r="O589" s="43">
        <f>0.205*M589</f>
        <v>0</v>
      </c>
      <c r="P589" s="47">
        <f>0.00123*M589</f>
        <v>0</v>
      </c>
      <c r="Q589" s="44"/>
      <c r="R589" s="45" t="s">
        <v>1997</v>
      </c>
      <c r="S589" s="45" t="s">
        <v>93</v>
      </c>
      <c r="T589" s="37" t="str">
        <f>HYPERLINK("https://kanzpp.ru/api/getInfo/image/f77ef096-1124-11ef-a25d-00155d82e908")</f>
        <v>https://kanzpp.ru/api/getInfo/image/f77ef096-1124-11ef-a25d-00155d82e908</v>
      </c>
      <c r="U589" s="37"/>
    </row>
    <row r="590" spans="2:22" ht="22.95" customHeight="1" outlineLevel="2" x14ac:dyDescent="0.2">
      <c r="B590" s="80" t="s">
        <v>1998</v>
      </c>
      <c r="C590" s="80"/>
      <c r="D590" s="80"/>
      <c r="L590">
        <v>0</v>
      </c>
    </row>
    <row r="591" spans="2:22" ht="22.95" customHeight="1" outlineLevel="3" x14ac:dyDescent="0.2">
      <c r="B591" s="81" t="s">
        <v>1999</v>
      </c>
      <c r="C591" s="81"/>
      <c r="D591" s="81"/>
      <c r="L591">
        <v>0</v>
      </c>
    </row>
    <row r="592" spans="2:22" ht="22.95" customHeight="1" outlineLevel="4" x14ac:dyDescent="0.2">
      <c r="B592" s="82" t="s">
        <v>2000</v>
      </c>
      <c r="C592" s="82"/>
      <c r="D592" s="82"/>
      <c r="L592">
        <v>0</v>
      </c>
    </row>
    <row r="593" spans="2:22" ht="22.95" customHeight="1" outlineLevel="5" x14ac:dyDescent="0.2">
      <c r="B593" s="83" t="s">
        <v>2001</v>
      </c>
      <c r="C593" s="83"/>
      <c r="D593" s="83"/>
      <c r="L593">
        <v>0</v>
      </c>
    </row>
    <row r="594" spans="2:22" ht="21" customHeight="1" outlineLevel="6" x14ac:dyDescent="0.2">
      <c r="B594" s="36">
        <v>502</v>
      </c>
      <c r="C594" s="37" t="s">
        <v>2002</v>
      </c>
      <c r="D594" s="37" t="s">
        <v>2003</v>
      </c>
      <c r="E594" s="38" t="s">
        <v>2004</v>
      </c>
      <c r="F594" s="39"/>
      <c r="G594" s="40"/>
      <c r="H594" s="50">
        <v>2880</v>
      </c>
      <c r="I594" s="41">
        <v>12</v>
      </c>
      <c r="J594" s="40" t="s">
        <v>144</v>
      </c>
      <c r="K594" s="36">
        <v>132</v>
      </c>
      <c r="L594" s="42" t="e">
        <f>(IF(#REF!,3.24*(1-#REF!/100),3.24*(1-O3/100)))/0.75</f>
        <v>#REF!</v>
      </c>
      <c r="M594" s="12"/>
      <c r="N594" s="40" t="e">
        <f>L594*M594</f>
        <v>#REF!</v>
      </c>
      <c r="O594" s="43">
        <f>0.083*M594</f>
        <v>0</v>
      </c>
      <c r="P594" s="47">
        <f>0.00017*M594</f>
        <v>0</v>
      </c>
      <c r="Q594" s="44"/>
      <c r="R594" s="45" t="s">
        <v>2005</v>
      </c>
      <c r="S594" s="45" t="s">
        <v>93</v>
      </c>
      <c r="T594" s="37" t="str">
        <f>HYPERLINK("https://kanzpp.ru/api/getInfo/image/0406d1c6-6bb6-11e7-977d-5cf3fc4a2490")</f>
        <v>https://kanzpp.ru/api/getInfo/image/0406d1c6-6bb6-11e7-977d-5cf3fc4a2490</v>
      </c>
      <c r="U594" s="37"/>
    </row>
    <row r="595" spans="2:22" ht="21" customHeight="1" outlineLevel="6" x14ac:dyDescent="0.2">
      <c r="B595" s="36">
        <v>503</v>
      </c>
      <c r="C595" s="37" t="s">
        <v>2006</v>
      </c>
      <c r="D595" s="37" t="s">
        <v>2007</v>
      </c>
      <c r="E595" s="38" t="s">
        <v>2008</v>
      </c>
      <c r="F595" s="39"/>
      <c r="G595" s="40"/>
      <c r="H595" s="50">
        <v>2880</v>
      </c>
      <c r="I595" s="41">
        <v>12</v>
      </c>
      <c r="J595" s="40" t="s">
        <v>144</v>
      </c>
      <c r="K595" s="36">
        <v>180</v>
      </c>
      <c r="L595" s="42" t="e">
        <f>(IF(#REF!,3.47*(1-#REF!/100),3.47*(1-O3/100)))/0.75</f>
        <v>#REF!</v>
      </c>
      <c r="M595" s="12"/>
      <c r="N595" s="40" t="e">
        <f>L595*M595</f>
        <v>#REF!</v>
      </c>
      <c r="O595" s="43">
        <f>0.101*M595</f>
        <v>0</v>
      </c>
      <c r="P595" s="47">
        <f>0.00019*M595</f>
        <v>0</v>
      </c>
      <c r="Q595" s="44"/>
      <c r="R595" s="45" t="s">
        <v>2009</v>
      </c>
      <c r="S595" s="45" t="s">
        <v>93</v>
      </c>
      <c r="T595" s="37" t="str">
        <f>HYPERLINK("https://kanzpp.ru/api/getInfo/image/9d539314-6bb5-11e7-977d-5cf3fc4a2490")</f>
        <v>https://kanzpp.ru/api/getInfo/image/9d539314-6bb5-11e7-977d-5cf3fc4a2490</v>
      </c>
      <c r="U595" s="37"/>
    </row>
    <row r="596" spans="2:22" ht="22.95" customHeight="1" outlineLevel="5" x14ac:dyDescent="0.2">
      <c r="B596" s="83" t="s">
        <v>2010</v>
      </c>
      <c r="C596" s="83"/>
      <c r="D596" s="83"/>
      <c r="L596">
        <v>0</v>
      </c>
    </row>
    <row r="597" spans="2:22" ht="21" customHeight="1" outlineLevel="6" x14ac:dyDescent="0.2">
      <c r="B597" s="36">
        <v>504</v>
      </c>
      <c r="C597" s="37" t="s">
        <v>2011</v>
      </c>
      <c r="D597" s="37" t="s">
        <v>2012</v>
      </c>
      <c r="E597" s="38" t="s">
        <v>2013</v>
      </c>
      <c r="F597" s="39"/>
      <c r="G597" s="40"/>
      <c r="H597" s="50">
        <v>2880</v>
      </c>
      <c r="I597" s="41">
        <v>12</v>
      </c>
      <c r="J597" s="40" t="s">
        <v>144</v>
      </c>
      <c r="K597" s="36">
        <v>168</v>
      </c>
      <c r="L597" s="42" t="e">
        <f>(IF(#REF!,3.66*(1-#REF!/100),3.66*(1-O3/100)))/0.75</f>
        <v>#REF!</v>
      </c>
      <c r="M597" s="12"/>
      <c r="N597" s="40" t="e">
        <f>L597*M597</f>
        <v>#REF!</v>
      </c>
      <c r="O597" s="43">
        <f>0.098*M597</f>
        <v>0</v>
      </c>
      <c r="P597" s="47">
        <f>0.00019*M597</f>
        <v>0</v>
      </c>
      <c r="Q597" s="44"/>
      <c r="R597" s="45" t="s">
        <v>2014</v>
      </c>
      <c r="S597" s="45" t="s">
        <v>93</v>
      </c>
      <c r="T597" s="37" t="str">
        <f>HYPERLINK("https://kanzpp.ru/api/getInfo/image/3b1fbed8-3f21-11e8-b13b-5cf3fc4a2490")</f>
        <v>https://kanzpp.ru/api/getInfo/image/3b1fbed8-3f21-11e8-b13b-5cf3fc4a2490</v>
      </c>
      <c r="U597" s="37"/>
    </row>
    <row r="598" spans="2:22" ht="21" customHeight="1" outlineLevel="6" x14ac:dyDescent="0.2">
      <c r="B598" s="36">
        <v>505</v>
      </c>
      <c r="C598" s="37" t="s">
        <v>2015</v>
      </c>
      <c r="D598" s="37" t="s">
        <v>2016</v>
      </c>
      <c r="E598" s="38" t="s">
        <v>2017</v>
      </c>
      <c r="F598" s="39"/>
      <c r="G598" s="40"/>
      <c r="H598" s="50">
        <v>2880</v>
      </c>
      <c r="I598" s="41">
        <v>12</v>
      </c>
      <c r="J598" s="40" t="s">
        <v>144</v>
      </c>
      <c r="K598" s="36">
        <v>168</v>
      </c>
      <c r="L598" s="42" t="e">
        <f>(IF(#REF!,3.89*(1-#REF!/100),3.89*(1-O3/100)))/0.75</f>
        <v>#REF!</v>
      </c>
      <c r="M598" s="12"/>
      <c r="N598" s="40" t="e">
        <f>L598*M598</f>
        <v>#REF!</v>
      </c>
      <c r="O598" s="43">
        <f>0.104*M598</f>
        <v>0</v>
      </c>
      <c r="P598" s="46">
        <f>0.0002*M598</f>
        <v>0</v>
      </c>
      <c r="Q598" s="44"/>
      <c r="R598" s="45" t="s">
        <v>2018</v>
      </c>
      <c r="S598" s="45" t="s">
        <v>93</v>
      </c>
      <c r="T598" s="37" t="str">
        <f>HYPERLINK("https://kanzpp.ru/api/getInfo/image/3b09eef3-0c53-11e6-b4aa-5cf3fc4a2490")</f>
        <v>https://kanzpp.ru/api/getInfo/image/3b09eef3-0c53-11e6-b4aa-5cf3fc4a2490</v>
      </c>
      <c r="U598" s="37"/>
    </row>
    <row r="599" spans="2:22" ht="22.95" customHeight="1" outlineLevel="4" x14ac:dyDescent="0.2">
      <c r="B599" s="82" t="s">
        <v>2019</v>
      </c>
      <c r="C599" s="82"/>
      <c r="D599" s="82"/>
      <c r="L599">
        <v>0</v>
      </c>
    </row>
    <row r="600" spans="2:22" ht="22.95" customHeight="1" outlineLevel="5" x14ac:dyDescent="0.2">
      <c r="B600" s="83" t="s">
        <v>2020</v>
      </c>
      <c r="C600" s="83"/>
      <c r="D600" s="83"/>
      <c r="L600">
        <v>0</v>
      </c>
    </row>
    <row r="601" spans="2:22" ht="21" customHeight="1" outlineLevel="6" x14ac:dyDescent="0.2">
      <c r="B601" s="2">
        <v>506</v>
      </c>
      <c r="C601" s="3" t="s">
        <v>2021</v>
      </c>
      <c r="D601" s="3" t="s">
        <v>2022</v>
      </c>
      <c r="E601" s="4" t="s">
        <v>2023</v>
      </c>
      <c r="F601" s="8"/>
      <c r="G601" s="9"/>
      <c r="H601" s="34">
        <v>2880</v>
      </c>
      <c r="I601" s="10">
        <v>12</v>
      </c>
      <c r="J601" s="10">
        <v>130</v>
      </c>
      <c r="K601" s="2">
        <v>108</v>
      </c>
      <c r="L601" s="54">
        <v>1.72</v>
      </c>
      <c r="M601" s="12"/>
      <c r="N601" s="9">
        <f>L601*M601</f>
        <v>0</v>
      </c>
      <c r="O601" s="29">
        <f>0.068*M601</f>
        <v>0</v>
      </c>
      <c r="P601" s="30">
        <f>0.00027*M601</f>
        <v>0</v>
      </c>
      <c r="Q601" s="21"/>
      <c r="R601" s="22"/>
      <c r="S601" s="22" t="s">
        <v>93</v>
      </c>
      <c r="T601" s="3" t="str">
        <f>HYPERLINK("https://kanzpp.ru/api/getInfo/image/e4b9ddb6-0a83-11e9-a21b-ac1f6b442184")</f>
        <v>https://kanzpp.ru/api/getInfo/image/e4b9ddb6-0a83-11e9-a21b-ac1f6b442184</v>
      </c>
      <c r="U601" s="3" t="s">
        <v>2024</v>
      </c>
      <c r="V601" s="32" t="s">
        <v>30</v>
      </c>
    </row>
    <row r="602" spans="2:22" ht="22.95" customHeight="1" outlineLevel="5" x14ac:dyDescent="0.2">
      <c r="B602" s="83" t="s">
        <v>2025</v>
      </c>
      <c r="C602" s="83"/>
      <c r="D602" s="83"/>
      <c r="L602">
        <v>0</v>
      </c>
    </row>
    <row r="603" spans="2:22" ht="21" customHeight="1" outlineLevel="6" x14ac:dyDescent="0.2">
      <c r="B603" s="5">
        <v>507</v>
      </c>
      <c r="C603" s="6" t="s">
        <v>2026</v>
      </c>
      <c r="D603" s="6" t="s">
        <v>2027</v>
      </c>
      <c r="E603" s="7" t="s">
        <v>2028</v>
      </c>
      <c r="F603" s="13"/>
      <c r="G603" s="14"/>
      <c r="H603" s="15">
        <v>576</v>
      </c>
      <c r="I603" s="15">
        <v>48</v>
      </c>
      <c r="J603" s="14" t="s">
        <v>144</v>
      </c>
      <c r="K603" s="5">
        <v>48</v>
      </c>
      <c r="L603" s="16">
        <v>21.36</v>
      </c>
      <c r="M603" s="12"/>
      <c r="N603" s="14">
        <f>L603*M603</f>
        <v>0</v>
      </c>
      <c r="O603" s="23">
        <f>0.016*M603</f>
        <v>0</v>
      </c>
      <c r="P603" s="24">
        <f>0.00003*M603</f>
        <v>0</v>
      </c>
      <c r="Q603" s="25"/>
      <c r="R603" s="26" t="s">
        <v>2029</v>
      </c>
      <c r="S603" s="26" t="s">
        <v>93</v>
      </c>
      <c r="T603" s="6" t="str">
        <f>HYPERLINK("https://kanzpp.ru/api/getInfo/image/d06642ff-10f1-11ea-a237-ac1f6b442184")</f>
        <v>https://kanzpp.ru/api/getInfo/image/d06642ff-10f1-11ea-a237-ac1f6b442184</v>
      </c>
      <c r="U603" s="6"/>
      <c r="V603" s="33" t="s">
        <v>35</v>
      </c>
    </row>
    <row r="604" spans="2:22" ht="22.95" customHeight="1" outlineLevel="4" x14ac:dyDescent="0.2">
      <c r="B604" s="82" t="s">
        <v>2030</v>
      </c>
      <c r="C604" s="82"/>
      <c r="D604" s="82"/>
      <c r="L604">
        <v>0</v>
      </c>
    </row>
    <row r="605" spans="2:22" ht="21" customHeight="1" outlineLevel="5" x14ac:dyDescent="0.2">
      <c r="B605" s="5">
        <v>508</v>
      </c>
      <c r="C605" s="6" t="s">
        <v>2031</v>
      </c>
      <c r="D605" s="6" t="s">
        <v>2032</v>
      </c>
      <c r="E605" s="7" t="s">
        <v>2033</v>
      </c>
      <c r="F605" s="13"/>
      <c r="G605" s="14"/>
      <c r="H605" s="15">
        <v>100</v>
      </c>
      <c r="I605" s="14"/>
      <c r="J605" s="17">
        <v>3957</v>
      </c>
      <c r="K605" s="5">
        <v>2</v>
      </c>
      <c r="L605" s="16">
        <v>261.38666666666666</v>
      </c>
      <c r="M605" s="12"/>
      <c r="N605" s="14">
        <f>L605*M605</f>
        <v>0</v>
      </c>
      <c r="O605" s="23">
        <f>0.194*M605</f>
        <v>0</v>
      </c>
      <c r="P605" s="24">
        <f>0.00043*M605</f>
        <v>0</v>
      </c>
      <c r="Q605" s="25"/>
      <c r="R605" s="26" t="s">
        <v>2034</v>
      </c>
      <c r="S605" s="26" t="s">
        <v>93</v>
      </c>
      <c r="T605" s="6" t="str">
        <f>HYPERLINK("https://kanzpp.ru/api/getInfo/image/c1412301-1cd6-11ef-a25e-00155d82e908")</f>
        <v>https://kanzpp.ru/api/getInfo/image/c1412301-1cd6-11ef-a25e-00155d82e908</v>
      </c>
      <c r="U605" s="6"/>
      <c r="V605" s="33" t="s">
        <v>35</v>
      </c>
    </row>
    <row r="606" spans="2:22" ht="22.95" customHeight="1" outlineLevel="4" x14ac:dyDescent="0.2">
      <c r="B606" s="82" t="s">
        <v>2035</v>
      </c>
      <c r="C606" s="82"/>
      <c r="D606" s="82"/>
      <c r="L606">
        <v>0</v>
      </c>
    </row>
    <row r="607" spans="2:22" ht="22.95" customHeight="1" outlineLevel="5" x14ac:dyDescent="0.2">
      <c r="B607" s="83" t="s">
        <v>2036</v>
      </c>
      <c r="C607" s="83"/>
      <c r="D607" s="83"/>
      <c r="L607">
        <v>0</v>
      </c>
    </row>
    <row r="608" spans="2:22" ht="21" customHeight="1" outlineLevel="6" x14ac:dyDescent="0.2">
      <c r="B608" s="36">
        <v>509</v>
      </c>
      <c r="C608" s="37" t="s">
        <v>2037</v>
      </c>
      <c r="D608" s="37" t="s">
        <v>2038</v>
      </c>
      <c r="E608" s="38" t="s">
        <v>2039</v>
      </c>
      <c r="F608" s="39"/>
      <c r="G608" s="40"/>
      <c r="H608" s="50">
        <v>5760</v>
      </c>
      <c r="I608" s="41">
        <v>24</v>
      </c>
      <c r="J608" s="41">
        <v>30</v>
      </c>
      <c r="K608" s="36">
        <v>30</v>
      </c>
      <c r="L608" s="42" t="e">
        <f>(IF(#REF!,6.86*(1-#REF!/100),6.86*(1-O3/100)))/0.75</f>
        <v>#REF!</v>
      </c>
      <c r="M608" s="12"/>
      <c r="N608" s="40" t="e">
        <f>L608*M608</f>
        <v>#REF!</v>
      </c>
      <c r="O608" s="48">
        <f>0.06*M608</f>
        <v>0</v>
      </c>
      <c r="P608" s="46">
        <f>0.0001*M608</f>
        <v>0</v>
      </c>
      <c r="Q608" s="44"/>
      <c r="R608" s="45" t="s">
        <v>2040</v>
      </c>
      <c r="S608" s="45" t="s">
        <v>93</v>
      </c>
      <c r="T608" s="37" t="str">
        <f>HYPERLINK("https://kanzpp.ru/api/getInfo/image/f34eeda7-aa4d-11ea-a248-ac1f6b442184")</f>
        <v>https://kanzpp.ru/api/getInfo/image/f34eeda7-aa4d-11ea-a248-ac1f6b442184</v>
      </c>
      <c r="U608" s="37"/>
    </row>
    <row r="609" spans="2:22" ht="22.95" customHeight="1" outlineLevel="5" x14ac:dyDescent="0.2">
      <c r="B609" s="83" t="s">
        <v>2041</v>
      </c>
      <c r="C609" s="83"/>
      <c r="D609" s="83"/>
      <c r="L609">
        <v>0</v>
      </c>
    </row>
    <row r="610" spans="2:22" ht="21" customHeight="1" outlineLevel="6" x14ac:dyDescent="0.2">
      <c r="B610" s="5">
        <v>510</v>
      </c>
      <c r="C610" s="6" t="s">
        <v>2042</v>
      </c>
      <c r="D610" s="6" t="s">
        <v>2043</v>
      </c>
      <c r="E610" s="7" t="s">
        <v>2044</v>
      </c>
      <c r="F610" s="13"/>
      <c r="G610" s="14"/>
      <c r="H610" s="17">
        <v>1440</v>
      </c>
      <c r="I610" s="15">
        <v>36</v>
      </c>
      <c r="J610" s="15">
        <v>324</v>
      </c>
      <c r="K610" s="5">
        <v>36</v>
      </c>
      <c r="L610" s="16">
        <v>77.28</v>
      </c>
      <c r="M610" s="12"/>
      <c r="N610" s="14">
        <f>L610*M610</f>
        <v>0</v>
      </c>
      <c r="O610" s="23">
        <f>0.011*M610</f>
        <v>0</v>
      </c>
      <c r="P610" s="24">
        <f>0.00001*M610</f>
        <v>0</v>
      </c>
      <c r="Q610" s="25"/>
      <c r="R610" s="26" t="s">
        <v>2045</v>
      </c>
      <c r="S610" s="26" t="s">
        <v>93</v>
      </c>
      <c r="T610" s="6" t="str">
        <f>HYPERLINK("https://kanzpp.ru/api/getInfo/image/edcdd402-5f53-11ed-a229-00155d82e902")</f>
        <v>https://kanzpp.ru/api/getInfo/image/edcdd402-5f53-11ed-a229-00155d82e902</v>
      </c>
      <c r="U610" s="6"/>
      <c r="V610" s="33" t="s">
        <v>35</v>
      </c>
    </row>
    <row r="611" spans="2:22" ht="22.95" customHeight="1" outlineLevel="3" x14ac:dyDescent="0.2">
      <c r="B611" s="81" t="s">
        <v>2046</v>
      </c>
      <c r="C611" s="81"/>
      <c r="D611" s="81"/>
      <c r="L611">
        <v>0</v>
      </c>
    </row>
    <row r="612" spans="2:22" ht="22.95" customHeight="1" outlineLevel="4" x14ac:dyDescent="0.2">
      <c r="B612" s="82" t="s">
        <v>2047</v>
      </c>
      <c r="C612" s="82"/>
      <c r="D612" s="82"/>
      <c r="L612">
        <v>0</v>
      </c>
    </row>
    <row r="613" spans="2:22" ht="22.95" customHeight="1" outlineLevel="5" x14ac:dyDescent="0.2">
      <c r="B613" s="83" t="s">
        <v>2048</v>
      </c>
      <c r="C613" s="83"/>
      <c r="D613" s="83"/>
      <c r="L613">
        <v>0</v>
      </c>
    </row>
    <row r="614" spans="2:22" ht="21" customHeight="1" outlineLevel="6" x14ac:dyDescent="0.2">
      <c r="B614" s="5">
        <v>511</v>
      </c>
      <c r="C614" s="6" t="s">
        <v>2049</v>
      </c>
      <c r="D614" s="6" t="s">
        <v>2050</v>
      </c>
      <c r="E614" s="7" t="s">
        <v>2051</v>
      </c>
      <c r="F614" s="13"/>
      <c r="G614" s="14"/>
      <c r="H614" s="17">
        <v>2000</v>
      </c>
      <c r="I614" s="15">
        <v>50</v>
      </c>
      <c r="J614" s="14" t="s">
        <v>144</v>
      </c>
      <c r="K614" s="5">
        <v>50</v>
      </c>
      <c r="L614" s="16">
        <v>7.7333333333333334</v>
      </c>
      <c r="M614" s="12"/>
      <c r="N614" s="14">
        <f>L614*M614</f>
        <v>0</v>
      </c>
      <c r="O614" s="23">
        <f>0.007*M614</f>
        <v>0</v>
      </c>
      <c r="P614" s="24">
        <f>0.00001*M614</f>
        <v>0</v>
      </c>
      <c r="Q614" s="25"/>
      <c r="R614" s="26" t="s">
        <v>2052</v>
      </c>
      <c r="S614" s="26" t="s">
        <v>93</v>
      </c>
      <c r="T614" s="6" t="str">
        <f>HYPERLINK("https://kanzpp.ru/api/getInfo/image/61c17ffa-10ea-11ea-a237-ac1f6b442184")</f>
        <v>https://kanzpp.ru/api/getInfo/image/61c17ffa-10ea-11ea-a237-ac1f6b442184</v>
      </c>
      <c r="U614" s="6"/>
      <c r="V614" s="33" t="s">
        <v>35</v>
      </c>
    </row>
    <row r="615" spans="2:22" ht="21" customHeight="1" outlineLevel="6" x14ac:dyDescent="0.2">
      <c r="B615" s="5">
        <v>512</v>
      </c>
      <c r="C615" s="6" t="s">
        <v>2053</v>
      </c>
      <c r="D615" s="6" t="s">
        <v>2050</v>
      </c>
      <c r="E615" s="7" t="s">
        <v>2051</v>
      </c>
      <c r="F615" s="13"/>
      <c r="G615" s="14"/>
      <c r="H615" s="17">
        <v>2000</v>
      </c>
      <c r="I615" s="15">
        <v>50</v>
      </c>
      <c r="J615" s="17">
        <v>9465</v>
      </c>
      <c r="K615" s="5">
        <v>50</v>
      </c>
      <c r="L615" s="16">
        <v>7.7333333333333334</v>
      </c>
      <c r="M615" s="12"/>
      <c r="N615" s="14">
        <f>L615*M615</f>
        <v>0</v>
      </c>
      <c r="O615" s="23">
        <f>0.005*M615</f>
        <v>0</v>
      </c>
      <c r="P615" s="24">
        <f>0.00002*M615</f>
        <v>0</v>
      </c>
      <c r="Q615" s="25"/>
      <c r="R615" s="26"/>
      <c r="S615" s="26" t="s">
        <v>93</v>
      </c>
      <c r="T615" s="6" t="str">
        <f>HYPERLINK("https://kanzpp.ru/api/getInfo/image/e7f2892b-f056-11ef-a274-00155d82e908")</f>
        <v>https://kanzpp.ru/api/getInfo/image/e7f2892b-f056-11ef-a274-00155d82e908</v>
      </c>
      <c r="U615" s="6" t="s">
        <v>2054</v>
      </c>
      <c r="V615" s="33" t="s">
        <v>35</v>
      </c>
    </row>
    <row r="616" spans="2:22" ht="22.95" customHeight="1" outlineLevel="5" x14ac:dyDescent="0.2">
      <c r="B616" s="83" t="s">
        <v>2055</v>
      </c>
      <c r="C616" s="83"/>
      <c r="D616" s="83"/>
      <c r="L616">
        <v>0</v>
      </c>
    </row>
    <row r="617" spans="2:22" ht="21" customHeight="1" outlineLevel="6" x14ac:dyDescent="0.2">
      <c r="B617" s="5">
        <v>513</v>
      </c>
      <c r="C617" s="6" t="s">
        <v>2056</v>
      </c>
      <c r="D617" s="6" t="s">
        <v>2057</v>
      </c>
      <c r="E617" s="7" t="s">
        <v>2058</v>
      </c>
      <c r="F617" s="13"/>
      <c r="G617" s="14"/>
      <c r="H617" s="17">
        <v>1728</v>
      </c>
      <c r="I617" s="15">
        <v>12</v>
      </c>
      <c r="J617" s="15">
        <v>488</v>
      </c>
      <c r="K617" s="5">
        <v>60</v>
      </c>
      <c r="L617" s="16">
        <v>9.08</v>
      </c>
      <c r="M617" s="12"/>
      <c r="N617" s="14">
        <f>L617*M617</f>
        <v>0</v>
      </c>
      <c r="O617" s="23">
        <f>0.006*M617</f>
        <v>0</v>
      </c>
      <c r="P617" s="24">
        <f>0.00003*M617</f>
        <v>0</v>
      </c>
      <c r="Q617" s="25"/>
      <c r="R617" s="26" t="s">
        <v>2059</v>
      </c>
      <c r="S617" s="26" t="s">
        <v>93</v>
      </c>
      <c r="T617" s="6" t="str">
        <f>HYPERLINK("https://kanzpp.ru/api/getInfo/image/8c790a94-12f0-11e8-ba06-5cf3fc4a2490")</f>
        <v>https://kanzpp.ru/api/getInfo/image/8c790a94-12f0-11e8-ba06-5cf3fc4a2490</v>
      </c>
      <c r="U617" s="6"/>
      <c r="V617" s="33" t="s">
        <v>35</v>
      </c>
    </row>
    <row r="618" spans="2:22" ht="21" customHeight="1" outlineLevel="6" x14ac:dyDescent="0.2">
      <c r="B618" s="5">
        <v>514</v>
      </c>
      <c r="C618" s="6" t="s">
        <v>2060</v>
      </c>
      <c r="D618" s="6" t="s">
        <v>2061</v>
      </c>
      <c r="E618" s="7" t="s">
        <v>2062</v>
      </c>
      <c r="F618" s="13"/>
      <c r="G618" s="14"/>
      <c r="H618" s="17">
        <v>1200</v>
      </c>
      <c r="I618" s="15">
        <v>12</v>
      </c>
      <c r="J618" s="15">
        <v>457</v>
      </c>
      <c r="K618" s="5">
        <v>24</v>
      </c>
      <c r="L618" s="16">
        <v>13.32</v>
      </c>
      <c r="M618" s="12"/>
      <c r="N618" s="14">
        <f>L618*M618</f>
        <v>0</v>
      </c>
      <c r="O618" s="23">
        <f>0.005*M618</f>
        <v>0</v>
      </c>
      <c r="P618" s="24">
        <f>0.00001*M618</f>
        <v>0</v>
      </c>
      <c r="Q618" s="25"/>
      <c r="R618" s="26" t="s">
        <v>2063</v>
      </c>
      <c r="S618" s="26" t="s">
        <v>93</v>
      </c>
      <c r="T618" s="6" t="str">
        <f>HYPERLINK("https://kanzpp.ru/api/getInfo/image/44b2ff94-8ead-11ee-a250-00155d82e908")</f>
        <v>https://kanzpp.ru/api/getInfo/image/44b2ff94-8ead-11ee-a250-00155d82e908</v>
      </c>
      <c r="U618" s="6"/>
      <c r="V618" s="33" t="s">
        <v>35</v>
      </c>
    </row>
    <row r="619" spans="2:22" ht="21" customHeight="1" outlineLevel="6" x14ac:dyDescent="0.2">
      <c r="B619" s="5">
        <v>515</v>
      </c>
      <c r="C619" s="6" t="s">
        <v>2064</v>
      </c>
      <c r="D619" s="6" t="s">
        <v>2065</v>
      </c>
      <c r="E619" s="7" t="s">
        <v>2066</v>
      </c>
      <c r="F619" s="13"/>
      <c r="G619" s="14"/>
      <c r="H619" s="17">
        <v>2000</v>
      </c>
      <c r="I619" s="15">
        <v>50</v>
      </c>
      <c r="J619" s="17">
        <v>4000</v>
      </c>
      <c r="K619" s="5">
        <v>50</v>
      </c>
      <c r="L619" s="16">
        <v>20.373333333333331</v>
      </c>
      <c r="M619" s="12"/>
      <c r="N619" s="14">
        <f>L619*M619</f>
        <v>0</v>
      </c>
      <c r="O619" s="23">
        <f>0.003*M619</f>
        <v>0</v>
      </c>
      <c r="P619" s="14">
        <v>0</v>
      </c>
      <c r="Q619" s="25"/>
      <c r="R619" s="26" t="s">
        <v>2067</v>
      </c>
      <c r="S619" s="26" t="s">
        <v>93</v>
      </c>
      <c r="T619" s="6" t="str">
        <f>HYPERLINK("https://kanzpp.ru/api/getInfo/image/aaa7bb8b-6020-11ed-a229-00155d82e902")</f>
        <v>https://kanzpp.ru/api/getInfo/image/aaa7bb8b-6020-11ed-a229-00155d82e902</v>
      </c>
      <c r="U619" s="6"/>
      <c r="V619" s="33" t="s">
        <v>35</v>
      </c>
    </row>
    <row r="620" spans="2:22" ht="21" customHeight="1" outlineLevel="6" x14ac:dyDescent="0.2">
      <c r="B620" s="5">
        <v>516</v>
      </c>
      <c r="C620" s="6" t="s">
        <v>2068</v>
      </c>
      <c r="D620" s="6" t="s">
        <v>2069</v>
      </c>
      <c r="E620" s="7" t="s">
        <v>2070</v>
      </c>
      <c r="F620" s="13"/>
      <c r="G620" s="14"/>
      <c r="H620" s="17">
        <v>1728</v>
      </c>
      <c r="I620" s="15">
        <v>12</v>
      </c>
      <c r="J620" s="14" t="s">
        <v>144</v>
      </c>
      <c r="K620" s="5">
        <v>48</v>
      </c>
      <c r="L620" s="16">
        <v>11.253333333333332</v>
      </c>
      <c r="M620" s="12"/>
      <c r="N620" s="14">
        <f>L620*M620</f>
        <v>0</v>
      </c>
      <c r="O620" s="23">
        <f>0.007*M620</f>
        <v>0</v>
      </c>
      <c r="P620" s="24">
        <f>0.00002*M620</f>
        <v>0</v>
      </c>
      <c r="Q620" s="25"/>
      <c r="R620" s="26" t="s">
        <v>2071</v>
      </c>
      <c r="S620" s="26" t="s">
        <v>93</v>
      </c>
      <c r="T620" s="6" t="str">
        <f>HYPERLINK("https://kanzpp.ru/api/getInfo/image/73b6c639-9598-11ee-a250-00155d82e908")</f>
        <v>https://kanzpp.ru/api/getInfo/image/73b6c639-9598-11ee-a250-00155d82e908</v>
      </c>
      <c r="U620" s="6"/>
      <c r="V620" s="33" t="s">
        <v>35</v>
      </c>
    </row>
    <row r="621" spans="2:22" ht="22.95" customHeight="1" outlineLevel="3" x14ac:dyDescent="0.2">
      <c r="B621" s="81" t="s">
        <v>2072</v>
      </c>
      <c r="C621" s="81"/>
      <c r="D621" s="81"/>
      <c r="L621">
        <v>0</v>
      </c>
    </row>
    <row r="622" spans="2:22" ht="21" customHeight="1" outlineLevel="4" x14ac:dyDescent="0.2">
      <c r="B622" s="5">
        <v>517</v>
      </c>
      <c r="C622" s="6" t="s">
        <v>2073</v>
      </c>
      <c r="D622" s="6" t="s">
        <v>2074</v>
      </c>
      <c r="E622" s="7" t="s">
        <v>2075</v>
      </c>
      <c r="F622" s="13"/>
      <c r="G622" s="14"/>
      <c r="H622" s="15">
        <v>240</v>
      </c>
      <c r="I622" s="15">
        <v>24</v>
      </c>
      <c r="J622" s="14" t="s">
        <v>144</v>
      </c>
      <c r="K622" s="5">
        <v>24</v>
      </c>
      <c r="L622" s="16">
        <v>18</v>
      </c>
      <c r="M622" s="12"/>
      <c r="N622" s="14">
        <f t="shared" ref="N622:N629" si="31">L622*M622</f>
        <v>0</v>
      </c>
      <c r="O622" s="23">
        <f>0.024*M622</f>
        <v>0</v>
      </c>
      <c r="P622" s="24">
        <f>0.00002*M622</f>
        <v>0</v>
      </c>
      <c r="Q622" s="25"/>
      <c r="R622" s="26" t="s">
        <v>2076</v>
      </c>
      <c r="S622" s="26" t="s">
        <v>93</v>
      </c>
      <c r="T622" s="6" t="str">
        <f>HYPERLINK("https://kanzpp.ru/api/getInfo/image/902ad1c6-12e8-11e8-ba06-5cf3fc4a2490")</f>
        <v>https://kanzpp.ru/api/getInfo/image/902ad1c6-12e8-11e8-ba06-5cf3fc4a2490</v>
      </c>
      <c r="U622" s="6"/>
      <c r="V622" s="33" t="s">
        <v>35</v>
      </c>
    </row>
    <row r="623" spans="2:22" ht="21" customHeight="1" outlineLevel="4" x14ac:dyDescent="0.2">
      <c r="B623" s="5">
        <v>518</v>
      </c>
      <c r="C623" s="6" t="s">
        <v>2077</v>
      </c>
      <c r="D623" s="6" t="s">
        <v>2078</v>
      </c>
      <c r="E623" s="7" t="s">
        <v>2079</v>
      </c>
      <c r="F623" s="13"/>
      <c r="G623" s="14"/>
      <c r="H623" s="15">
        <v>240</v>
      </c>
      <c r="I623" s="15">
        <v>24</v>
      </c>
      <c r="J623" s="14" t="s">
        <v>144</v>
      </c>
      <c r="K623" s="5">
        <v>24</v>
      </c>
      <c r="L623" s="16">
        <v>6.6533333333333333</v>
      </c>
      <c r="M623" s="12"/>
      <c r="N623" s="14">
        <f t="shared" si="31"/>
        <v>0</v>
      </c>
      <c r="O623" s="23">
        <f>0.024*M623</f>
        <v>0</v>
      </c>
      <c r="P623" s="24">
        <f>0.00002*M623</f>
        <v>0</v>
      </c>
      <c r="Q623" s="25"/>
      <c r="R623" s="26" t="s">
        <v>2080</v>
      </c>
      <c r="S623" s="26" t="s">
        <v>93</v>
      </c>
      <c r="T623" s="6" t="str">
        <f>HYPERLINK("https://kanzpp.ru/api/getInfo/image/81d92c18-18e0-11ef-a25d-00155d82e908")</f>
        <v>https://kanzpp.ru/api/getInfo/image/81d92c18-18e0-11ef-a25d-00155d82e908</v>
      </c>
      <c r="U623" s="6"/>
      <c r="V623" s="33" t="s">
        <v>35</v>
      </c>
    </row>
    <row r="624" spans="2:22" ht="21" customHeight="1" outlineLevel="4" x14ac:dyDescent="0.2">
      <c r="B624" s="5">
        <v>519</v>
      </c>
      <c r="C624" s="6" t="s">
        <v>2081</v>
      </c>
      <c r="D624" s="6" t="s">
        <v>2082</v>
      </c>
      <c r="E624" s="7" t="s">
        <v>2083</v>
      </c>
      <c r="F624" s="13"/>
      <c r="G624" s="14"/>
      <c r="H624" s="15">
        <v>480</v>
      </c>
      <c r="I624" s="15">
        <v>24</v>
      </c>
      <c r="J624" s="14" t="s">
        <v>144</v>
      </c>
      <c r="K624" s="5">
        <v>24</v>
      </c>
      <c r="L624" s="16">
        <v>37.06666666666667</v>
      </c>
      <c r="M624" s="12"/>
      <c r="N624" s="14">
        <f t="shared" si="31"/>
        <v>0</v>
      </c>
      <c r="O624" s="23">
        <f>0.038*M624</f>
        <v>0</v>
      </c>
      <c r="P624" s="24">
        <f>0.00018*M624</f>
        <v>0</v>
      </c>
      <c r="Q624" s="25"/>
      <c r="R624" s="26" t="s">
        <v>2084</v>
      </c>
      <c r="S624" s="26" t="s">
        <v>93</v>
      </c>
      <c r="T624" s="6" t="str">
        <f>HYPERLINK("https://kanzpp.ru/api/getInfo/image/381a605d-8016-11ec-a211-ac1f6b442185")</f>
        <v>https://kanzpp.ru/api/getInfo/image/381a605d-8016-11ec-a211-ac1f6b442185</v>
      </c>
      <c r="U624" s="6"/>
      <c r="V624" s="33" t="s">
        <v>35</v>
      </c>
    </row>
    <row r="625" spans="2:22" ht="21" customHeight="1" outlineLevel="4" x14ac:dyDescent="0.2">
      <c r="B625" s="36">
        <v>520</v>
      </c>
      <c r="C625" s="37" t="s">
        <v>2085</v>
      </c>
      <c r="D625" s="37" t="s">
        <v>2086</v>
      </c>
      <c r="E625" s="38" t="s">
        <v>2087</v>
      </c>
      <c r="F625" s="39"/>
      <c r="G625" s="40"/>
      <c r="H625" s="41">
        <v>200</v>
      </c>
      <c r="I625" s="41">
        <v>50</v>
      </c>
      <c r="J625" s="41">
        <v>1</v>
      </c>
      <c r="K625" s="36">
        <v>1</v>
      </c>
      <c r="L625" s="42" t="e">
        <f>(IF(#REF!,249.07*(1-#REF!/100),249.07*(1-O3/100)))/0.75</f>
        <v>#REF!</v>
      </c>
      <c r="M625" s="12"/>
      <c r="N625" s="40" t="e">
        <f t="shared" si="31"/>
        <v>#REF!</v>
      </c>
      <c r="O625" s="48">
        <f>0.07*M625</f>
        <v>0</v>
      </c>
      <c r="P625" s="47">
        <f>0.00003*M625</f>
        <v>0</v>
      </c>
      <c r="Q625" s="44"/>
      <c r="R625" s="45" t="s">
        <v>2088</v>
      </c>
      <c r="S625" s="45" t="s">
        <v>93</v>
      </c>
      <c r="T625" s="37" t="str">
        <f>HYPERLINK("https://kanzpp.ru/api/getInfo/image/c5727216-1cd3-11ef-a25e-00155d82e908")</f>
        <v>https://kanzpp.ru/api/getInfo/image/c5727216-1cd3-11ef-a25e-00155d82e908</v>
      </c>
      <c r="U625" s="37"/>
    </row>
    <row r="626" spans="2:22" ht="21" customHeight="1" outlineLevel="4" x14ac:dyDescent="0.2">
      <c r="B626" s="5">
        <v>521</v>
      </c>
      <c r="C626" s="6" t="s">
        <v>2089</v>
      </c>
      <c r="D626" s="6" t="s">
        <v>2090</v>
      </c>
      <c r="E626" s="7" t="s">
        <v>2091</v>
      </c>
      <c r="F626" s="13"/>
      <c r="G626" s="14"/>
      <c r="H626" s="15">
        <v>200</v>
      </c>
      <c r="I626" s="15">
        <v>50</v>
      </c>
      <c r="J626" s="15">
        <v>496</v>
      </c>
      <c r="K626" s="5">
        <v>3</v>
      </c>
      <c r="L626" s="16">
        <v>210</v>
      </c>
      <c r="M626" s="12"/>
      <c r="N626" s="14">
        <f t="shared" si="31"/>
        <v>0</v>
      </c>
      <c r="O626" s="23">
        <f>0.069*M626</f>
        <v>0</v>
      </c>
      <c r="P626" s="24">
        <f>0.00003*M626</f>
        <v>0</v>
      </c>
      <c r="Q626" s="25"/>
      <c r="R626" s="26" t="s">
        <v>2092</v>
      </c>
      <c r="S626" s="26" t="s">
        <v>93</v>
      </c>
      <c r="T626" s="6" t="str">
        <f>HYPERLINK("https://kanzpp.ru/api/getInfo/image/2b9f0b19-1cd2-11ef-a25e-00155d82e908")</f>
        <v>https://kanzpp.ru/api/getInfo/image/2b9f0b19-1cd2-11ef-a25e-00155d82e908</v>
      </c>
      <c r="U626" s="6"/>
      <c r="V626" s="33" t="s">
        <v>35</v>
      </c>
    </row>
    <row r="627" spans="2:22" ht="21" customHeight="1" outlineLevel="4" x14ac:dyDescent="0.2">
      <c r="B627" s="36">
        <v>522</v>
      </c>
      <c r="C627" s="37" t="s">
        <v>2093</v>
      </c>
      <c r="D627" s="37" t="s">
        <v>2094</v>
      </c>
      <c r="E627" s="38" t="s">
        <v>2095</v>
      </c>
      <c r="F627" s="39"/>
      <c r="G627" s="40"/>
      <c r="H627" s="41">
        <v>200</v>
      </c>
      <c r="I627" s="41">
        <v>50</v>
      </c>
      <c r="J627" s="41">
        <v>11</v>
      </c>
      <c r="K627" s="36">
        <v>3</v>
      </c>
      <c r="L627" s="42" t="e">
        <f>(IF(#REF!,249.07*(1-#REF!/100),249.07*(1-O3/100)))/0.75</f>
        <v>#REF!</v>
      </c>
      <c r="M627" s="12"/>
      <c r="N627" s="40" t="e">
        <f t="shared" si="31"/>
        <v>#REF!</v>
      </c>
      <c r="O627" s="43">
        <f>0.068*M627</f>
        <v>0</v>
      </c>
      <c r="P627" s="47">
        <f>0.00003*M627</f>
        <v>0</v>
      </c>
      <c r="Q627" s="44"/>
      <c r="R627" s="45" t="s">
        <v>2096</v>
      </c>
      <c r="S627" s="45" t="s">
        <v>93</v>
      </c>
      <c r="T627" s="37" t="str">
        <f>HYPERLINK("https://kanzpp.ru/api/getInfo/image/3219c2b5-1cd3-11ef-a25e-00155d82e908")</f>
        <v>https://kanzpp.ru/api/getInfo/image/3219c2b5-1cd3-11ef-a25e-00155d82e908</v>
      </c>
      <c r="U627" s="37"/>
    </row>
    <row r="628" spans="2:22" ht="21" customHeight="1" outlineLevel="4" x14ac:dyDescent="0.2">
      <c r="B628" s="36">
        <v>523</v>
      </c>
      <c r="C628" s="37" t="s">
        <v>2097</v>
      </c>
      <c r="D628" s="37" t="s">
        <v>2098</v>
      </c>
      <c r="E628" s="38" t="s">
        <v>2099</v>
      </c>
      <c r="F628" s="39"/>
      <c r="G628" s="40"/>
      <c r="H628" s="41">
        <v>216</v>
      </c>
      <c r="I628" s="41">
        <v>108</v>
      </c>
      <c r="J628" s="41">
        <v>3</v>
      </c>
      <c r="K628" s="36">
        <v>3</v>
      </c>
      <c r="L628" s="42" t="e">
        <f>(IF(#REF!,99.04*(1-#REF!/100),99.04*(1-O3/100)))/0.75</f>
        <v>#REF!</v>
      </c>
      <c r="M628" s="12"/>
      <c r="N628" s="40" t="e">
        <f t="shared" si="31"/>
        <v>#REF!</v>
      </c>
      <c r="O628" s="48">
        <f>0.06*M628</f>
        <v>0</v>
      </c>
      <c r="P628" s="47">
        <f>0.00029*M628</f>
        <v>0</v>
      </c>
      <c r="Q628" s="44"/>
      <c r="R628" s="45" t="s">
        <v>2100</v>
      </c>
      <c r="S628" s="45" t="s">
        <v>93</v>
      </c>
      <c r="T628" s="37" t="str">
        <f>HYPERLINK("https://kanzpp.ru/api/getInfo/image/cc918018-959a-11ee-a250-00155d82e908")</f>
        <v>https://kanzpp.ru/api/getInfo/image/cc918018-959a-11ee-a250-00155d82e908</v>
      </c>
      <c r="U628" s="37"/>
    </row>
    <row r="629" spans="2:22" ht="21" customHeight="1" outlineLevel="4" x14ac:dyDescent="0.2">
      <c r="B629" s="36">
        <v>524</v>
      </c>
      <c r="C629" s="37" t="s">
        <v>2101</v>
      </c>
      <c r="D629" s="37" t="s">
        <v>2102</v>
      </c>
      <c r="E629" s="38" t="s">
        <v>2103</v>
      </c>
      <c r="F629" s="39"/>
      <c r="G629" s="40"/>
      <c r="H629" s="41">
        <v>72</v>
      </c>
      <c r="I629" s="41">
        <v>36</v>
      </c>
      <c r="J629" s="41">
        <v>4</v>
      </c>
      <c r="K629" s="36">
        <v>2</v>
      </c>
      <c r="L629" s="42" t="e">
        <f>(IF(#REF!,360.47*(1-#REF!/100),360.47*(1-O3/100)))/0.75</f>
        <v>#REF!</v>
      </c>
      <c r="M629" s="12"/>
      <c r="N629" s="40" t="e">
        <f t="shared" si="31"/>
        <v>#REF!</v>
      </c>
      <c r="O629" s="43">
        <f>0.201*M629</f>
        <v>0</v>
      </c>
      <c r="P629" s="47">
        <f>0.00047*M629</f>
        <v>0</v>
      </c>
      <c r="Q629" s="44"/>
      <c r="R629" s="45" t="s">
        <v>2104</v>
      </c>
      <c r="S629" s="45" t="s">
        <v>93</v>
      </c>
      <c r="T629" s="37" t="str">
        <f>HYPERLINK("https://kanzpp.ru/api/getInfo/image/0456c13e-1cd4-11ef-a25e-00155d82e908")</f>
        <v>https://kanzpp.ru/api/getInfo/image/0456c13e-1cd4-11ef-a25e-00155d82e908</v>
      </c>
      <c r="U629" s="37"/>
    </row>
    <row r="630" spans="2:22" ht="22.95" customHeight="1" outlineLevel="3" x14ac:dyDescent="0.2">
      <c r="B630" s="81" t="s">
        <v>2105</v>
      </c>
      <c r="C630" s="81"/>
      <c r="D630" s="81"/>
      <c r="L630">
        <v>0</v>
      </c>
    </row>
    <row r="631" spans="2:22" ht="22.95" customHeight="1" outlineLevel="4" x14ac:dyDescent="0.2">
      <c r="B631" s="82" t="s">
        <v>2106</v>
      </c>
      <c r="C631" s="82"/>
      <c r="D631" s="82"/>
      <c r="L631">
        <v>0</v>
      </c>
    </row>
    <row r="632" spans="2:22" ht="22.95" customHeight="1" outlineLevel="5" x14ac:dyDescent="0.2">
      <c r="B632" s="83" t="s">
        <v>2107</v>
      </c>
      <c r="C632" s="83"/>
      <c r="D632" s="83"/>
      <c r="L632">
        <v>0</v>
      </c>
    </row>
    <row r="633" spans="2:22" ht="21" customHeight="1" outlineLevel="6" x14ac:dyDescent="0.2">
      <c r="B633" s="5">
        <v>525</v>
      </c>
      <c r="C633" s="6" t="s">
        <v>2108</v>
      </c>
      <c r="D633" s="6" t="s">
        <v>2109</v>
      </c>
      <c r="E633" s="7" t="s">
        <v>2110</v>
      </c>
      <c r="F633" s="13"/>
      <c r="G633" s="14"/>
      <c r="H633" s="17">
        <v>4000</v>
      </c>
      <c r="I633" s="15">
        <v>100</v>
      </c>
      <c r="J633" s="14" t="s">
        <v>144</v>
      </c>
      <c r="K633" s="5">
        <v>100</v>
      </c>
      <c r="L633" s="16">
        <v>5.2666666666666666</v>
      </c>
      <c r="M633" s="12"/>
      <c r="N633" s="14">
        <f>L633*M633</f>
        <v>0</v>
      </c>
      <c r="O633" s="23">
        <f>0.009*M633</f>
        <v>0</v>
      </c>
      <c r="P633" s="24">
        <f>0.00001*M633</f>
        <v>0</v>
      </c>
      <c r="Q633" s="25"/>
      <c r="R633" s="26"/>
      <c r="S633" s="26" t="s">
        <v>93</v>
      </c>
      <c r="T633" s="6" t="str">
        <f>HYPERLINK("https://kanzpp.ru/api/getInfo/image/b7eaed31-3d93-11e8-b13b-5cf3fc4a2490")</f>
        <v>https://kanzpp.ru/api/getInfo/image/b7eaed31-3d93-11e8-b13b-5cf3fc4a2490</v>
      </c>
      <c r="U633" s="6" t="s">
        <v>2111</v>
      </c>
      <c r="V633" s="33" t="s">
        <v>35</v>
      </c>
    </row>
    <row r="634" spans="2:22" ht="22.95" customHeight="1" outlineLevel="5" x14ac:dyDescent="0.2">
      <c r="B634" s="83" t="s">
        <v>2112</v>
      </c>
      <c r="C634" s="83"/>
      <c r="D634" s="83"/>
      <c r="L634">
        <v>0</v>
      </c>
    </row>
    <row r="635" spans="2:22" ht="21" customHeight="1" outlineLevel="6" x14ac:dyDescent="0.2">
      <c r="B635" s="5">
        <v>526</v>
      </c>
      <c r="C635" s="6" t="s">
        <v>2113</v>
      </c>
      <c r="D635" s="6" t="s">
        <v>2114</v>
      </c>
      <c r="E635" s="7" t="s">
        <v>2115</v>
      </c>
      <c r="F635" s="13"/>
      <c r="G635" s="14"/>
      <c r="H635" s="17">
        <v>2880</v>
      </c>
      <c r="I635" s="15">
        <v>36</v>
      </c>
      <c r="J635" s="17">
        <v>7648</v>
      </c>
      <c r="K635" s="5">
        <v>72</v>
      </c>
      <c r="L635" s="16">
        <v>7.12</v>
      </c>
      <c r="M635" s="12"/>
      <c r="N635" s="14">
        <f>L635*M635</f>
        <v>0</v>
      </c>
      <c r="O635" s="23">
        <f>0.007*M635</f>
        <v>0</v>
      </c>
      <c r="P635" s="24">
        <f>0.00001*M635</f>
        <v>0</v>
      </c>
      <c r="Q635" s="25"/>
      <c r="R635" s="26" t="s">
        <v>2116</v>
      </c>
      <c r="S635" s="26" t="s">
        <v>93</v>
      </c>
      <c r="T635" s="6" t="str">
        <f>HYPERLINK("https://kanzpp.ru/api/getInfo/image/3a30bdc7-c616-11e7-bf5c-5cf3fc4a2490")</f>
        <v>https://kanzpp.ru/api/getInfo/image/3a30bdc7-c616-11e7-bf5c-5cf3fc4a2490</v>
      </c>
      <c r="U635" s="6"/>
      <c r="V635" s="33" t="s">
        <v>35</v>
      </c>
    </row>
    <row r="636" spans="2:22" ht="21" customHeight="1" outlineLevel="6" x14ac:dyDescent="0.2">
      <c r="B636" s="5">
        <v>527</v>
      </c>
      <c r="C636" s="6" t="s">
        <v>2117</v>
      </c>
      <c r="D636" s="6" t="s">
        <v>2118</v>
      </c>
      <c r="E636" s="7" t="s">
        <v>2119</v>
      </c>
      <c r="F636" s="13"/>
      <c r="G636" s="14"/>
      <c r="H636" s="17">
        <v>2880</v>
      </c>
      <c r="I636" s="15">
        <v>36</v>
      </c>
      <c r="J636" s="15">
        <v>360</v>
      </c>
      <c r="K636" s="5">
        <v>72</v>
      </c>
      <c r="L636" s="16">
        <v>5.32</v>
      </c>
      <c r="M636" s="12"/>
      <c r="N636" s="14">
        <f>L636*M636</f>
        <v>0</v>
      </c>
      <c r="O636" s="23">
        <f>0.008*M636</f>
        <v>0</v>
      </c>
      <c r="P636" s="24">
        <f>0.00001*M636</f>
        <v>0</v>
      </c>
      <c r="Q636" s="25"/>
      <c r="R636" s="26"/>
      <c r="S636" s="26" t="s">
        <v>93</v>
      </c>
      <c r="T636" s="6" t="str">
        <f>HYPERLINK("https://kanzpp.ru/api/getInfo/image/5a53f577-6f36-11ef-a265-00155d82e908")</f>
        <v>https://kanzpp.ru/api/getInfo/image/5a53f577-6f36-11ef-a265-00155d82e908</v>
      </c>
      <c r="U636" s="6" t="s">
        <v>2120</v>
      </c>
      <c r="V636" s="33" t="s">
        <v>35</v>
      </c>
    </row>
    <row r="637" spans="2:22" ht="21" customHeight="1" outlineLevel="6" x14ac:dyDescent="0.2">
      <c r="B637" s="5">
        <v>528</v>
      </c>
      <c r="C637" s="6" t="s">
        <v>2121</v>
      </c>
      <c r="D637" s="6" t="s">
        <v>2122</v>
      </c>
      <c r="E637" s="7" t="s">
        <v>2119</v>
      </c>
      <c r="F637" s="13"/>
      <c r="G637" s="14"/>
      <c r="H637" s="17">
        <v>2880</v>
      </c>
      <c r="I637" s="15">
        <v>36</v>
      </c>
      <c r="J637" s="14" t="s">
        <v>144</v>
      </c>
      <c r="K637" s="5">
        <v>72</v>
      </c>
      <c r="L637" s="16">
        <v>8.8533333333333335</v>
      </c>
      <c r="M637" s="12"/>
      <c r="N637" s="14">
        <f>L637*M637</f>
        <v>0</v>
      </c>
      <c r="O637" s="23">
        <f>0.008*M637</f>
        <v>0</v>
      </c>
      <c r="P637" s="24">
        <f>0.00001*M637</f>
        <v>0</v>
      </c>
      <c r="Q637" s="25"/>
      <c r="R637" s="26" t="s">
        <v>2120</v>
      </c>
      <c r="S637" s="26" t="s">
        <v>93</v>
      </c>
      <c r="T637" s="6" t="str">
        <f>HYPERLINK("https://kanzpp.ru/api/getInfo/image/ac6d9a87-c615-11e7-bf5c-5cf3fc4a2490")</f>
        <v>https://kanzpp.ru/api/getInfo/image/ac6d9a87-c615-11e7-bf5c-5cf3fc4a2490</v>
      </c>
      <c r="U637" s="6"/>
      <c r="V637" s="33" t="s">
        <v>35</v>
      </c>
    </row>
    <row r="638" spans="2:22" ht="22.95" customHeight="1" outlineLevel="4" x14ac:dyDescent="0.2">
      <c r="B638" s="82" t="s">
        <v>2123</v>
      </c>
      <c r="C638" s="82"/>
      <c r="D638" s="82"/>
      <c r="L638">
        <v>0</v>
      </c>
    </row>
    <row r="639" spans="2:22" ht="21" customHeight="1" outlineLevel="5" x14ac:dyDescent="0.2">
      <c r="B639" s="5">
        <v>529</v>
      </c>
      <c r="C639" s="6" t="s">
        <v>2124</v>
      </c>
      <c r="D639" s="6" t="s">
        <v>2125</v>
      </c>
      <c r="E639" s="7" t="s">
        <v>2126</v>
      </c>
      <c r="F639" s="13"/>
      <c r="G639" s="14"/>
      <c r="H639" s="17">
        <v>2304</v>
      </c>
      <c r="I639" s="15">
        <v>12</v>
      </c>
      <c r="J639" s="14" t="s">
        <v>144</v>
      </c>
      <c r="K639" s="5">
        <v>24</v>
      </c>
      <c r="L639" s="16">
        <v>6.6533333333333333</v>
      </c>
      <c r="M639" s="12"/>
      <c r="N639" s="14">
        <f>L639*M639</f>
        <v>0</v>
      </c>
      <c r="O639" s="23">
        <f>0.009*M639</f>
        <v>0</v>
      </c>
      <c r="P639" s="24">
        <f>0.00001*M639</f>
        <v>0</v>
      </c>
      <c r="Q639" s="25"/>
      <c r="R639" s="26" t="s">
        <v>2127</v>
      </c>
      <c r="S639" s="26" t="s">
        <v>93</v>
      </c>
      <c r="T639" s="6" t="str">
        <f>HYPERLINK("https://kanzpp.ru/api/getInfo/image/13d0c279-9593-11ee-a250-00155d82e908")</f>
        <v>https://kanzpp.ru/api/getInfo/image/13d0c279-9593-11ee-a250-00155d82e908</v>
      </c>
      <c r="U639" s="6"/>
      <c r="V639" s="33" t="s">
        <v>35</v>
      </c>
    </row>
    <row r="640" spans="2:22" ht="22.95" customHeight="1" outlineLevel="3" x14ac:dyDescent="0.2">
      <c r="B640" s="81" t="s">
        <v>2128</v>
      </c>
      <c r="C640" s="81"/>
      <c r="D640" s="81"/>
      <c r="L640">
        <v>0</v>
      </c>
    </row>
    <row r="641" spans="2:22" ht="22.95" customHeight="1" outlineLevel="4" x14ac:dyDescent="0.2">
      <c r="B641" s="82" t="s">
        <v>2129</v>
      </c>
      <c r="C641" s="82"/>
      <c r="D641" s="82"/>
      <c r="L641">
        <v>0</v>
      </c>
    </row>
    <row r="642" spans="2:22" ht="21" customHeight="1" outlineLevel="5" x14ac:dyDescent="0.2">
      <c r="B642" s="5">
        <v>530</v>
      </c>
      <c r="C642" s="6" t="s">
        <v>2130</v>
      </c>
      <c r="D642" s="6" t="s">
        <v>2131</v>
      </c>
      <c r="E642" s="7" t="s">
        <v>430</v>
      </c>
      <c r="F642" s="13"/>
      <c r="G642" s="14"/>
      <c r="H642" s="15">
        <v>480</v>
      </c>
      <c r="I642" s="14"/>
      <c r="J642" s="14" t="s">
        <v>144</v>
      </c>
      <c r="K642" s="5">
        <v>15</v>
      </c>
      <c r="L642" s="16">
        <v>13.200000000000001</v>
      </c>
      <c r="M642" s="12"/>
      <c r="N642" s="14">
        <f>L642*M642</f>
        <v>0</v>
      </c>
      <c r="O642" s="23">
        <f>0.037*M642</f>
        <v>0</v>
      </c>
      <c r="P642" s="24">
        <f>0.00014*M642</f>
        <v>0</v>
      </c>
      <c r="Q642" s="25"/>
      <c r="R642" s="26" t="s">
        <v>431</v>
      </c>
      <c r="S642" s="26" t="s">
        <v>93</v>
      </c>
      <c r="T642" s="6" t="str">
        <f>HYPERLINK("https://kanzpp.ru/api/getInfo/image/3cc3a49c-601f-11ed-a229-00155d82e902")</f>
        <v>https://kanzpp.ru/api/getInfo/image/3cc3a49c-601f-11ed-a229-00155d82e902</v>
      </c>
      <c r="U642" s="6"/>
      <c r="V642" s="33" t="s">
        <v>35</v>
      </c>
    </row>
    <row r="643" spans="2:22" ht="22.95" customHeight="1" outlineLevel="4" x14ac:dyDescent="0.2">
      <c r="B643" s="82" t="s">
        <v>2132</v>
      </c>
      <c r="C643" s="82"/>
      <c r="D643" s="82"/>
      <c r="L643">
        <v>0</v>
      </c>
    </row>
    <row r="644" spans="2:22" ht="21" customHeight="1" outlineLevel="5" x14ac:dyDescent="0.2">
      <c r="B644" s="5">
        <v>531</v>
      </c>
      <c r="C644" s="6" t="s">
        <v>2133</v>
      </c>
      <c r="D644" s="6" t="s">
        <v>2134</v>
      </c>
      <c r="E644" s="7" t="s">
        <v>2135</v>
      </c>
      <c r="F644" s="13"/>
      <c r="G644" s="14"/>
      <c r="H644" s="15">
        <v>288</v>
      </c>
      <c r="I644" s="15">
        <v>24</v>
      </c>
      <c r="J644" s="17">
        <v>2611</v>
      </c>
      <c r="K644" s="5">
        <v>24</v>
      </c>
      <c r="L644" s="16">
        <v>43.573333333333331</v>
      </c>
      <c r="M644" s="12"/>
      <c r="N644" s="14">
        <f t="shared" ref="N644:N649" si="32">L644*M644</f>
        <v>0</v>
      </c>
      <c r="O644" s="23">
        <f>0.025*M644</f>
        <v>0</v>
      </c>
      <c r="P644" s="24">
        <f>0.00008*M644</f>
        <v>0</v>
      </c>
      <c r="Q644" s="25"/>
      <c r="R644" s="26" t="s">
        <v>2136</v>
      </c>
      <c r="S644" s="26" t="s">
        <v>93</v>
      </c>
      <c r="T644" s="6" t="str">
        <f>HYPERLINK("https://kanzpp.ru/api/getInfo/image/bf0e62df-12fc-11e8-ba06-5cf3fc4a2490")</f>
        <v>https://kanzpp.ru/api/getInfo/image/bf0e62df-12fc-11e8-ba06-5cf3fc4a2490</v>
      </c>
      <c r="U644" s="6"/>
      <c r="V644" s="33" t="s">
        <v>35</v>
      </c>
    </row>
    <row r="645" spans="2:22" ht="21" customHeight="1" outlineLevel="5" x14ac:dyDescent="0.2">
      <c r="B645" s="5">
        <v>532</v>
      </c>
      <c r="C645" s="6" t="s">
        <v>2137</v>
      </c>
      <c r="D645" s="6" t="s">
        <v>2138</v>
      </c>
      <c r="E645" s="7" t="s">
        <v>2139</v>
      </c>
      <c r="F645" s="13"/>
      <c r="G645" s="14"/>
      <c r="H645" s="15">
        <v>288</v>
      </c>
      <c r="I645" s="15">
        <v>24</v>
      </c>
      <c r="J645" s="17">
        <v>2660</v>
      </c>
      <c r="K645" s="5">
        <v>24</v>
      </c>
      <c r="L645" s="16">
        <v>43.573333333333331</v>
      </c>
      <c r="M645" s="12"/>
      <c r="N645" s="14">
        <f t="shared" si="32"/>
        <v>0</v>
      </c>
      <c r="O645" s="28">
        <f>0.03*M645</f>
        <v>0</v>
      </c>
      <c r="P645" s="24">
        <f>0.00018*M645</f>
        <v>0</v>
      </c>
      <c r="Q645" s="25"/>
      <c r="R645" s="26" t="s">
        <v>2140</v>
      </c>
      <c r="S645" s="26" t="s">
        <v>93</v>
      </c>
      <c r="T645" s="6" t="str">
        <f>HYPERLINK("https://kanzpp.ru/api/getInfo/image/8c2826be-12fc-11e8-ba06-5cf3fc4a2490")</f>
        <v>https://kanzpp.ru/api/getInfo/image/8c2826be-12fc-11e8-ba06-5cf3fc4a2490</v>
      </c>
      <c r="U645" s="6"/>
      <c r="V645" s="33" t="s">
        <v>35</v>
      </c>
    </row>
    <row r="646" spans="2:22" ht="21" customHeight="1" outlineLevel="5" x14ac:dyDescent="0.2">
      <c r="B646" s="5">
        <v>533</v>
      </c>
      <c r="C646" s="6" t="s">
        <v>2141</v>
      </c>
      <c r="D646" s="6" t="s">
        <v>2142</v>
      </c>
      <c r="E646" s="7" t="s">
        <v>2143</v>
      </c>
      <c r="F646" s="13"/>
      <c r="G646" s="14"/>
      <c r="H646" s="15">
        <v>288</v>
      </c>
      <c r="I646" s="15">
        <v>24</v>
      </c>
      <c r="J646" s="17">
        <v>6312</v>
      </c>
      <c r="K646" s="5">
        <v>24</v>
      </c>
      <c r="L646" s="16">
        <v>43.573333333333331</v>
      </c>
      <c r="M646" s="12"/>
      <c r="N646" s="14">
        <f t="shared" si="32"/>
        <v>0</v>
      </c>
      <c r="O646" s="23">
        <f>0.035*M646</f>
        <v>0</v>
      </c>
      <c r="P646" s="31">
        <f>0.0001*M646</f>
        <v>0</v>
      </c>
      <c r="Q646" s="25"/>
      <c r="R646" s="26" t="s">
        <v>2144</v>
      </c>
      <c r="S646" s="26" t="s">
        <v>93</v>
      </c>
      <c r="T646" s="6" t="str">
        <f>HYPERLINK("https://kanzpp.ru/api/getInfo/image/b6dbabf6-12fa-11e8-ba06-5cf3fc4a2490")</f>
        <v>https://kanzpp.ru/api/getInfo/image/b6dbabf6-12fa-11e8-ba06-5cf3fc4a2490</v>
      </c>
      <c r="U646" s="6"/>
      <c r="V646" s="33" t="s">
        <v>35</v>
      </c>
    </row>
    <row r="647" spans="2:22" ht="21" customHeight="1" outlineLevel="5" x14ac:dyDescent="0.2">
      <c r="B647" s="5">
        <v>534</v>
      </c>
      <c r="C647" s="6" t="s">
        <v>2145</v>
      </c>
      <c r="D647" s="6" t="s">
        <v>2146</v>
      </c>
      <c r="E647" s="7" t="s">
        <v>2147</v>
      </c>
      <c r="F647" s="13"/>
      <c r="G647" s="14"/>
      <c r="H647" s="15">
        <v>144</v>
      </c>
      <c r="I647" s="15">
        <v>24</v>
      </c>
      <c r="J647" s="15">
        <v>96</v>
      </c>
      <c r="K647" s="5">
        <v>24</v>
      </c>
      <c r="L647" s="16">
        <v>63.639999999999993</v>
      </c>
      <c r="M647" s="12"/>
      <c r="N647" s="14">
        <f t="shared" si="32"/>
        <v>0</v>
      </c>
      <c r="O647" s="28">
        <f>0.04*M647</f>
        <v>0</v>
      </c>
      <c r="P647" s="24">
        <f>0.00016*M647</f>
        <v>0</v>
      </c>
      <c r="Q647" s="25"/>
      <c r="R647" s="26" t="s">
        <v>2148</v>
      </c>
      <c r="S647" s="26" t="s">
        <v>93</v>
      </c>
      <c r="T647" s="6" t="str">
        <f>HYPERLINK("https://kanzpp.ru/api/getInfo/image/00016288-12fd-11e8-ba06-5cf3fc4a2490")</f>
        <v>https://kanzpp.ru/api/getInfo/image/00016288-12fd-11e8-ba06-5cf3fc4a2490</v>
      </c>
      <c r="U647" s="6"/>
      <c r="V647" s="33" t="s">
        <v>35</v>
      </c>
    </row>
    <row r="648" spans="2:22" ht="21" customHeight="1" outlineLevel="5" x14ac:dyDescent="0.2">
      <c r="B648" s="5">
        <v>535</v>
      </c>
      <c r="C648" s="6" t="s">
        <v>2149</v>
      </c>
      <c r="D648" s="6" t="s">
        <v>2150</v>
      </c>
      <c r="E648" s="7" t="s">
        <v>2151</v>
      </c>
      <c r="F648" s="13"/>
      <c r="G648" s="14"/>
      <c r="H648" s="15">
        <v>144</v>
      </c>
      <c r="I648" s="15">
        <v>24</v>
      </c>
      <c r="J648" s="17">
        <v>3312</v>
      </c>
      <c r="K648" s="5">
        <v>24</v>
      </c>
      <c r="L648" s="16">
        <v>63.639999999999993</v>
      </c>
      <c r="M648" s="12"/>
      <c r="N648" s="14">
        <f t="shared" si="32"/>
        <v>0</v>
      </c>
      <c r="O648" s="23">
        <f>0.041*M648</f>
        <v>0</v>
      </c>
      <c r="P648" s="24">
        <f>0.00029*M648</f>
        <v>0</v>
      </c>
      <c r="Q648" s="25"/>
      <c r="R648" s="26" t="s">
        <v>2152</v>
      </c>
      <c r="S648" s="26" t="s">
        <v>93</v>
      </c>
      <c r="T648" s="6" t="str">
        <f>HYPERLINK("https://kanzpp.ru/api/getInfo/image/3a3b5d3f-12fd-11e8-ba06-5cf3fc4a2490")</f>
        <v>https://kanzpp.ru/api/getInfo/image/3a3b5d3f-12fd-11e8-ba06-5cf3fc4a2490</v>
      </c>
      <c r="U648" s="6"/>
      <c r="V648" s="33" t="s">
        <v>35</v>
      </c>
    </row>
    <row r="649" spans="2:22" ht="21" customHeight="1" outlineLevel="5" x14ac:dyDescent="0.2">
      <c r="B649" s="5">
        <v>536</v>
      </c>
      <c r="C649" s="6" t="s">
        <v>2153</v>
      </c>
      <c r="D649" s="6" t="s">
        <v>2154</v>
      </c>
      <c r="E649" s="7" t="s">
        <v>2155</v>
      </c>
      <c r="F649" s="13"/>
      <c r="G649" s="14"/>
      <c r="H649" s="15">
        <v>144</v>
      </c>
      <c r="I649" s="15">
        <v>24</v>
      </c>
      <c r="J649" s="17">
        <v>3574</v>
      </c>
      <c r="K649" s="5">
        <v>24</v>
      </c>
      <c r="L649" s="16">
        <v>63.639999999999993</v>
      </c>
      <c r="M649" s="12"/>
      <c r="N649" s="14">
        <f t="shared" si="32"/>
        <v>0</v>
      </c>
      <c r="O649" s="23">
        <f>0.042*M649</f>
        <v>0</v>
      </c>
      <c r="P649" s="24">
        <f>0.00031*M649</f>
        <v>0</v>
      </c>
      <c r="Q649" s="25"/>
      <c r="R649" s="26" t="s">
        <v>2156</v>
      </c>
      <c r="S649" s="26" t="s">
        <v>93</v>
      </c>
      <c r="T649" s="6" t="str">
        <f>HYPERLINK("https://kanzpp.ru/api/getInfo/image/6516909f-12fd-11e8-ba06-5cf3fc4a2490")</f>
        <v>https://kanzpp.ru/api/getInfo/image/6516909f-12fd-11e8-ba06-5cf3fc4a2490</v>
      </c>
      <c r="U649" s="6"/>
      <c r="V649" s="33" t="s">
        <v>35</v>
      </c>
    </row>
    <row r="650" spans="2:22" ht="22.95" customHeight="1" outlineLevel="4" x14ac:dyDescent="0.2">
      <c r="B650" s="82" t="s">
        <v>2157</v>
      </c>
      <c r="C650" s="82"/>
      <c r="D650" s="82"/>
      <c r="L650">
        <v>0</v>
      </c>
    </row>
    <row r="651" spans="2:22" ht="21" customHeight="1" outlineLevel="5" x14ac:dyDescent="0.2">
      <c r="B651" s="5">
        <v>537</v>
      </c>
      <c r="C651" s="6" t="s">
        <v>2158</v>
      </c>
      <c r="D651" s="6" t="s">
        <v>2159</v>
      </c>
      <c r="E651" s="7" t="s">
        <v>2160</v>
      </c>
      <c r="F651" s="13"/>
      <c r="G651" s="14"/>
      <c r="H651" s="15">
        <v>144</v>
      </c>
      <c r="I651" s="15">
        <v>12</v>
      </c>
      <c r="J651" s="17">
        <v>3982</v>
      </c>
      <c r="K651" s="5">
        <v>12</v>
      </c>
      <c r="L651" s="16">
        <v>74.653333333333336</v>
      </c>
      <c r="M651" s="12"/>
      <c r="N651" s="14">
        <f t="shared" ref="N651:N657" si="33">L651*M651</f>
        <v>0</v>
      </c>
      <c r="O651" s="23">
        <f>0.082*M651</f>
        <v>0</v>
      </c>
      <c r="P651" s="24">
        <f>0.00027*M651</f>
        <v>0</v>
      </c>
      <c r="Q651" s="25"/>
      <c r="R651" s="26" t="s">
        <v>2161</v>
      </c>
      <c r="S651" s="26" t="s">
        <v>93</v>
      </c>
      <c r="T651" s="6" t="str">
        <f>HYPERLINK("https://kanzpp.ru/api/getInfo/image/6960f53b-8035-11ec-a211-ac1f6b442185")</f>
        <v>https://kanzpp.ru/api/getInfo/image/6960f53b-8035-11ec-a211-ac1f6b442185</v>
      </c>
      <c r="U651" s="6"/>
      <c r="V651" s="33" t="s">
        <v>35</v>
      </c>
    </row>
    <row r="652" spans="2:22" ht="21" customHeight="1" outlineLevel="5" x14ac:dyDescent="0.2">
      <c r="B652" s="5">
        <v>538</v>
      </c>
      <c r="C652" s="6" t="s">
        <v>2162</v>
      </c>
      <c r="D652" s="6" t="s">
        <v>2163</v>
      </c>
      <c r="E652" s="7" t="s">
        <v>2164</v>
      </c>
      <c r="F652" s="13"/>
      <c r="G652" s="14"/>
      <c r="H652" s="15">
        <v>144</v>
      </c>
      <c r="I652" s="15">
        <v>12</v>
      </c>
      <c r="J652" s="17">
        <v>6256</v>
      </c>
      <c r="K652" s="5">
        <v>12</v>
      </c>
      <c r="L652" s="16">
        <v>90.839999999999989</v>
      </c>
      <c r="M652" s="12"/>
      <c r="N652" s="14">
        <f t="shared" si="33"/>
        <v>0</v>
      </c>
      <c r="O652" s="23">
        <f>0.081*M652</f>
        <v>0</v>
      </c>
      <c r="P652" s="24">
        <f>0.00013*M652</f>
        <v>0</v>
      </c>
      <c r="Q652" s="25"/>
      <c r="R652" s="26" t="s">
        <v>2165</v>
      </c>
      <c r="S652" s="26" t="s">
        <v>93</v>
      </c>
      <c r="T652" s="6" t="str">
        <f>HYPERLINK("https://kanzpp.ru/api/getInfo/image/696e9419-8036-11ec-a211-ac1f6b442185")</f>
        <v>https://kanzpp.ru/api/getInfo/image/696e9419-8036-11ec-a211-ac1f6b442185</v>
      </c>
      <c r="U652" s="6"/>
      <c r="V652" s="33" t="s">
        <v>35</v>
      </c>
    </row>
    <row r="653" spans="2:22" ht="21" customHeight="1" outlineLevel="5" x14ac:dyDescent="0.2">
      <c r="B653" s="5">
        <v>539</v>
      </c>
      <c r="C653" s="6" t="s">
        <v>2166</v>
      </c>
      <c r="D653" s="6" t="s">
        <v>2167</v>
      </c>
      <c r="E653" s="7" t="s">
        <v>2168</v>
      </c>
      <c r="F653" s="13"/>
      <c r="G653" s="14"/>
      <c r="H653" s="15">
        <v>144</v>
      </c>
      <c r="I653" s="15">
        <v>12</v>
      </c>
      <c r="J653" s="17">
        <v>4500</v>
      </c>
      <c r="K653" s="5">
        <v>12</v>
      </c>
      <c r="L653" s="16">
        <v>98.733333333333334</v>
      </c>
      <c r="M653" s="12"/>
      <c r="N653" s="14">
        <f t="shared" si="33"/>
        <v>0</v>
      </c>
      <c r="O653" s="23">
        <f>0.078*M653</f>
        <v>0</v>
      </c>
      <c r="P653" s="31">
        <f>0.0002*M653</f>
        <v>0</v>
      </c>
      <c r="Q653" s="25"/>
      <c r="R653" s="26" t="s">
        <v>2169</v>
      </c>
      <c r="S653" s="26" t="s">
        <v>93</v>
      </c>
      <c r="T653" s="6" t="str">
        <f>HYPERLINK("https://kanzpp.ru/api/getInfo/image/50a88d53-801e-11ec-a211-ac1f6b442185")</f>
        <v>https://kanzpp.ru/api/getInfo/image/50a88d53-801e-11ec-a211-ac1f6b442185</v>
      </c>
      <c r="U653" s="6"/>
      <c r="V653" s="33" t="s">
        <v>35</v>
      </c>
    </row>
    <row r="654" spans="2:22" ht="21" customHeight="1" outlineLevel="5" x14ac:dyDescent="0.2">
      <c r="B654" s="36">
        <v>540</v>
      </c>
      <c r="C654" s="37" t="s">
        <v>2170</v>
      </c>
      <c r="D654" s="37" t="s">
        <v>2171</v>
      </c>
      <c r="E654" s="38" t="s">
        <v>2172</v>
      </c>
      <c r="F654" s="39"/>
      <c r="G654" s="40"/>
      <c r="H654" s="41">
        <v>576</v>
      </c>
      <c r="I654" s="41">
        <v>48</v>
      </c>
      <c r="J654" s="41">
        <v>1</v>
      </c>
      <c r="K654" s="36">
        <v>1</v>
      </c>
      <c r="L654" s="42" t="e">
        <f>(IF(#REF!,45.93*(1-#REF!/100),45.93*(1-O3/100)))/0.75</f>
        <v>#REF!</v>
      </c>
      <c r="M654" s="12"/>
      <c r="N654" s="40" t="e">
        <f t="shared" si="33"/>
        <v>#REF!</v>
      </c>
      <c r="O654" s="43">
        <f>0.022*M654</f>
        <v>0</v>
      </c>
      <c r="P654" s="47">
        <f>0.00022*M654</f>
        <v>0</v>
      </c>
      <c r="Q654" s="44"/>
      <c r="R654" s="45" t="s">
        <v>2173</v>
      </c>
      <c r="S654" s="45" t="s">
        <v>93</v>
      </c>
      <c r="T654" s="37" t="str">
        <f>HYPERLINK("https://kanzpp.ru/api/getInfo/image/770c6bcf-71a9-11ee-a247-00155d82e902")</f>
        <v>https://kanzpp.ru/api/getInfo/image/770c6bcf-71a9-11ee-a247-00155d82e902</v>
      </c>
      <c r="U654" s="37"/>
    </row>
    <row r="655" spans="2:22" ht="21" customHeight="1" outlineLevel="5" x14ac:dyDescent="0.2">
      <c r="B655" s="5">
        <v>541</v>
      </c>
      <c r="C655" s="6" t="s">
        <v>2174</v>
      </c>
      <c r="D655" s="6" t="s">
        <v>2175</v>
      </c>
      <c r="E655" s="7" t="s">
        <v>2176</v>
      </c>
      <c r="F655" s="13"/>
      <c r="G655" s="14"/>
      <c r="H655" s="15">
        <v>72</v>
      </c>
      <c r="I655" s="15">
        <v>12</v>
      </c>
      <c r="J655" s="15">
        <v>756</v>
      </c>
      <c r="K655" s="5">
        <v>12</v>
      </c>
      <c r="L655" s="16">
        <v>135.72</v>
      </c>
      <c r="M655" s="12"/>
      <c r="N655" s="14">
        <f t="shared" si="33"/>
        <v>0</v>
      </c>
      <c r="O655" s="23">
        <f>0.125*M655</f>
        <v>0</v>
      </c>
      <c r="P655" s="31">
        <f>0.0003*M655</f>
        <v>0</v>
      </c>
      <c r="Q655" s="25"/>
      <c r="R655" s="26" t="s">
        <v>2177</v>
      </c>
      <c r="S655" s="26" t="s">
        <v>93</v>
      </c>
      <c r="T655" s="6" t="str">
        <f>HYPERLINK("https://kanzpp.ru/api/getInfo/image/66e34b4d-8037-11ec-a211-ac1f6b442185")</f>
        <v>https://kanzpp.ru/api/getInfo/image/66e34b4d-8037-11ec-a211-ac1f6b442185</v>
      </c>
      <c r="U655" s="6"/>
      <c r="V655" s="33" t="s">
        <v>35</v>
      </c>
    </row>
    <row r="656" spans="2:22" ht="21" customHeight="1" outlineLevel="5" x14ac:dyDescent="0.2">
      <c r="B656" s="5">
        <v>542</v>
      </c>
      <c r="C656" s="6" t="s">
        <v>2178</v>
      </c>
      <c r="D656" s="6" t="s">
        <v>2179</v>
      </c>
      <c r="E656" s="7" t="s">
        <v>2180</v>
      </c>
      <c r="F656" s="13"/>
      <c r="G656" s="14"/>
      <c r="H656" s="15">
        <v>72</v>
      </c>
      <c r="I656" s="15">
        <v>12</v>
      </c>
      <c r="J656" s="17">
        <v>1512</v>
      </c>
      <c r="K656" s="5">
        <v>12</v>
      </c>
      <c r="L656" s="16">
        <v>147.52000000000001</v>
      </c>
      <c r="M656" s="12"/>
      <c r="N656" s="14">
        <f t="shared" si="33"/>
        <v>0</v>
      </c>
      <c r="O656" s="23">
        <f>0.124*M656</f>
        <v>0</v>
      </c>
      <c r="P656" s="24">
        <f>0.00025*M656</f>
        <v>0</v>
      </c>
      <c r="Q656" s="25"/>
      <c r="R656" s="26" t="s">
        <v>2181</v>
      </c>
      <c r="S656" s="26" t="s">
        <v>93</v>
      </c>
      <c r="T656" s="6" t="str">
        <f>HYPERLINK("https://kanzpp.ru/api/getInfo/image/2a32a330-e8bc-11ec-a213-ac1f6b442185")</f>
        <v>https://kanzpp.ru/api/getInfo/image/2a32a330-e8bc-11ec-a213-ac1f6b442185</v>
      </c>
      <c r="U656" s="6"/>
      <c r="V656" s="33" t="s">
        <v>35</v>
      </c>
    </row>
    <row r="657" spans="2:22" ht="21" customHeight="1" outlineLevel="5" x14ac:dyDescent="0.2">
      <c r="B657" s="5">
        <v>543</v>
      </c>
      <c r="C657" s="6" t="s">
        <v>2182</v>
      </c>
      <c r="D657" s="6" t="s">
        <v>2183</v>
      </c>
      <c r="E657" s="7" t="s">
        <v>2184</v>
      </c>
      <c r="F657" s="13"/>
      <c r="G657" s="14"/>
      <c r="H657" s="15">
        <v>72</v>
      </c>
      <c r="I657" s="15">
        <v>12</v>
      </c>
      <c r="J657" s="15">
        <v>355</v>
      </c>
      <c r="K657" s="5">
        <v>12</v>
      </c>
      <c r="L657" s="16">
        <v>147.52000000000001</v>
      </c>
      <c r="M657" s="12"/>
      <c r="N657" s="14">
        <f t="shared" si="33"/>
        <v>0</v>
      </c>
      <c r="O657" s="23">
        <f>0.124*M657</f>
        <v>0</v>
      </c>
      <c r="P657" s="14">
        <v>0</v>
      </c>
      <c r="Q657" s="25"/>
      <c r="R657" s="26" t="s">
        <v>2185</v>
      </c>
      <c r="S657" s="26" t="s">
        <v>93</v>
      </c>
      <c r="T657" s="6" t="str">
        <f>HYPERLINK("https://kanzpp.ru/api/getInfo/image/f3cb2998-8037-11ec-a211-ac1f6b442185")</f>
        <v>https://kanzpp.ru/api/getInfo/image/f3cb2998-8037-11ec-a211-ac1f6b442185</v>
      </c>
      <c r="U657" s="6"/>
      <c r="V657" s="33" t="s">
        <v>35</v>
      </c>
    </row>
    <row r="658" spans="2:22" ht="22.95" customHeight="1" outlineLevel="4" x14ac:dyDescent="0.2">
      <c r="B658" s="82" t="s">
        <v>2186</v>
      </c>
      <c r="C658" s="82"/>
      <c r="D658" s="82"/>
      <c r="L658">
        <v>0</v>
      </c>
    </row>
    <row r="659" spans="2:22" ht="21" customHeight="1" outlineLevel="5" x14ac:dyDescent="0.2">
      <c r="B659" s="36">
        <v>544</v>
      </c>
      <c r="C659" s="37" t="s">
        <v>2187</v>
      </c>
      <c r="D659" s="37" t="s">
        <v>2188</v>
      </c>
      <c r="E659" s="38" t="s">
        <v>2189</v>
      </c>
      <c r="F659" s="39"/>
      <c r="G659" s="40"/>
      <c r="H659" s="41">
        <v>100</v>
      </c>
      <c r="I659" s="40"/>
      <c r="J659" s="41">
        <v>906</v>
      </c>
      <c r="K659" s="36">
        <v>3</v>
      </c>
      <c r="L659" s="42" t="e">
        <f>(IF(#REF!,165.23*(1-#REF!/100),165.23*(1-O3/100)))/0.75</f>
        <v>#REF!</v>
      </c>
      <c r="M659" s="12"/>
      <c r="N659" s="40" t="e">
        <f>L659*M659</f>
        <v>#REF!</v>
      </c>
      <c r="O659" s="43">
        <f>0.112*M659</f>
        <v>0</v>
      </c>
      <c r="P659" s="47">
        <f>0.00037*M659</f>
        <v>0</v>
      </c>
      <c r="Q659" s="44"/>
      <c r="R659" s="45" t="s">
        <v>2190</v>
      </c>
      <c r="S659" s="45" t="s">
        <v>93</v>
      </c>
      <c r="T659" s="37" t="str">
        <f>HYPERLINK("https://kanzpp.ru/api/getInfo/image/d59cd9b3-8eaf-11ee-a250-00155d82e908")</f>
        <v>https://kanzpp.ru/api/getInfo/image/d59cd9b3-8eaf-11ee-a250-00155d82e908</v>
      </c>
      <c r="U659" s="37"/>
    </row>
    <row r="660" spans="2:22" ht="22.95" customHeight="1" outlineLevel="3" x14ac:dyDescent="0.2">
      <c r="B660" s="81" t="s">
        <v>2191</v>
      </c>
      <c r="C660" s="81"/>
      <c r="D660" s="81"/>
      <c r="L660">
        <v>0</v>
      </c>
    </row>
    <row r="661" spans="2:22" ht="21" customHeight="1" outlineLevel="4" x14ac:dyDescent="0.2">
      <c r="B661" s="5">
        <v>545</v>
      </c>
      <c r="C661" s="6" t="s">
        <v>2192</v>
      </c>
      <c r="D661" s="6" t="s">
        <v>2193</v>
      </c>
      <c r="E661" s="7" t="s">
        <v>2194</v>
      </c>
      <c r="F661" s="13"/>
      <c r="G661" s="14"/>
      <c r="H661" s="17">
        <v>1728</v>
      </c>
      <c r="I661" s="15">
        <v>12</v>
      </c>
      <c r="J661" s="17">
        <v>4920</v>
      </c>
      <c r="K661" s="5">
        <v>48</v>
      </c>
      <c r="L661" s="16">
        <v>8.8133333333333344</v>
      </c>
      <c r="M661" s="12"/>
      <c r="N661" s="14">
        <f>L661*M661</f>
        <v>0</v>
      </c>
      <c r="O661" s="28">
        <f>0.07*M661</f>
        <v>0</v>
      </c>
      <c r="P661" s="24">
        <f>0.00019*M661</f>
        <v>0</v>
      </c>
      <c r="Q661" s="25"/>
      <c r="R661" s="26" t="s">
        <v>2195</v>
      </c>
      <c r="S661" s="26" t="s">
        <v>93</v>
      </c>
      <c r="T661" s="6" t="str">
        <f>HYPERLINK("https://kanzpp.ru/api/getInfo/image/13899059-a1a6-11ea-a248-ac1f6b442184")</f>
        <v>https://kanzpp.ru/api/getInfo/image/13899059-a1a6-11ea-a248-ac1f6b442184</v>
      </c>
      <c r="U661" s="6"/>
      <c r="V661" s="33" t="s">
        <v>35</v>
      </c>
    </row>
    <row r="662" spans="2:22" ht="22.95" customHeight="1" outlineLevel="3" x14ac:dyDescent="0.2">
      <c r="B662" s="81" t="s">
        <v>2196</v>
      </c>
      <c r="C662" s="81"/>
      <c r="D662" s="81"/>
      <c r="L662">
        <v>0</v>
      </c>
    </row>
    <row r="663" spans="2:22" ht="22.95" customHeight="1" outlineLevel="4" x14ac:dyDescent="0.2">
      <c r="B663" s="82" t="s">
        <v>2197</v>
      </c>
      <c r="C663" s="82"/>
      <c r="D663" s="82"/>
      <c r="L663">
        <v>0</v>
      </c>
    </row>
    <row r="664" spans="2:22" ht="21" customHeight="1" outlineLevel="5" x14ac:dyDescent="0.2">
      <c r="B664" s="5">
        <v>546</v>
      </c>
      <c r="C664" s="6" t="s">
        <v>2198</v>
      </c>
      <c r="D664" s="6" t="s">
        <v>2199</v>
      </c>
      <c r="E664" s="7" t="s">
        <v>2200</v>
      </c>
      <c r="F664" s="13"/>
      <c r="G664" s="14"/>
      <c r="H664" s="15">
        <v>288</v>
      </c>
      <c r="I664" s="15">
        <v>24</v>
      </c>
      <c r="J664" s="15">
        <v>84</v>
      </c>
      <c r="K664" s="5">
        <v>24</v>
      </c>
      <c r="L664" s="16">
        <v>69.08</v>
      </c>
      <c r="M664" s="12"/>
      <c r="N664" s="14">
        <f t="shared" ref="N664:N669" si="34">L664*M664</f>
        <v>0</v>
      </c>
      <c r="O664" s="23">
        <f>0.047*M664</f>
        <v>0</v>
      </c>
      <c r="P664" s="24">
        <f>0.00016*M664</f>
        <v>0</v>
      </c>
      <c r="Q664" s="25"/>
      <c r="R664" s="26" t="s">
        <v>2201</v>
      </c>
      <c r="S664" s="26" t="s">
        <v>93</v>
      </c>
      <c r="T664" s="6" t="str">
        <f>HYPERLINK("https://kanzpp.ru/api/getInfo/image/34f480c1-803a-11ec-a211-ac1f6b442185")</f>
        <v>https://kanzpp.ru/api/getInfo/image/34f480c1-803a-11ec-a211-ac1f6b442185</v>
      </c>
      <c r="U664" s="6"/>
      <c r="V664" s="33" t="s">
        <v>35</v>
      </c>
    </row>
    <row r="665" spans="2:22" ht="21" customHeight="1" outlineLevel="5" x14ac:dyDescent="0.2">
      <c r="B665" s="5">
        <v>547</v>
      </c>
      <c r="C665" s="6" t="s">
        <v>2202</v>
      </c>
      <c r="D665" s="6" t="s">
        <v>2203</v>
      </c>
      <c r="E665" s="7" t="s">
        <v>2204</v>
      </c>
      <c r="F665" s="13"/>
      <c r="G665" s="14"/>
      <c r="H665" s="15">
        <v>144</v>
      </c>
      <c r="I665" s="15">
        <v>12</v>
      </c>
      <c r="J665" s="15">
        <v>120</v>
      </c>
      <c r="K665" s="5">
        <v>12</v>
      </c>
      <c r="L665" s="16">
        <v>102.72000000000001</v>
      </c>
      <c r="M665" s="12"/>
      <c r="N665" s="14">
        <f t="shared" si="34"/>
        <v>0</v>
      </c>
      <c r="O665" s="23">
        <f>0.086*M665</f>
        <v>0</v>
      </c>
      <c r="P665" s="24">
        <f>0.00015*M665</f>
        <v>0</v>
      </c>
      <c r="Q665" s="25"/>
      <c r="R665" s="26" t="s">
        <v>2205</v>
      </c>
      <c r="S665" s="26" t="s">
        <v>93</v>
      </c>
      <c r="T665" s="6" t="str">
        <f>HYPERLINK("https://kanzpp.ru/api/getInfo/image/5131ff95-803b-11ec-a211-ac1f6b442185")</f>
        <v>https://kanzpp.ru/api/getInfo/image/5131ff95-803b-11ec-a211-ac1f6b442185</v>
      </c>
      <c r="U665" s="6"/>
      <c r="V665" s="33" t="s">
        <v>35</v>
      </c>
    </row>
    <row r="666" spans="2:22" ht="21" customHeight="1" outlineLevel="5" x14ac:dyDescent="0.2">
      <c r="B666" s="5">
        <v>548</v>
      </c>
      <c r="C666" s="6" t="s">
        <v>2206</v>
      </c>
      <c r="D666" s="6" t="s">
        <v>2207</v>
      </c>
      <c r="E666" s="7" t="s">
        <v>442</v>
      </c>
      <c r="F666" s="13"/>
      <c r="G666" s="14"/>
      <c r="H666" s="15">
        <v>48</v>
      </c>
      <c r="I666" s="15">
        <v>12</v>
      </c>
      <c r="J666" s="15">
        <v>6</v>
      </c>
      <c r="K666" s="5">
        <v>1</v>
      </c>
      <c r="L666" s="16">
        <v>265.33333333333331</v>
      </c>
      <c r="M666" s="12"/>
      <c r="N666" s="14">
        <f t="shared" si="34"/>
        <v>0</v>
      </c>
      <c r="O666" s="23">
        <f>0.214*M666</f>
        <v>0</v>
      </c>
      <c r="P666" s="24">
        <f>0.00102*M666</f>
        <v>0</v>
      </c>
      <c r="Q666" s="25"/>
      <c r="R666" s="26" t="s">
        <v>443</v>
      </c>
      <c r="S666" s="26" t="s">
        <v>93</v>
      </c>
      <c r="T666" s="6" t="str">
        <f>HYPERLINK("https://kanzpp.ru/api/getInfo/image/513b746b-803c-11ec-a211-ac1f6b442185")</f>
        <v>https://kanzpp.ru/api/getInfo/image/513b746b-803c-11ec-a211-ac1f6b442185</v>
      </c>
      <c r="U666" s="6"/>
      <c r="V666" s="33" t="s">
        <v>35</v>
      </c>
    </row>
    <row r="667" spans="2:22" ht="21" customHeight="1" outlineLevel="5" x14ac:dyDescent="0.2">
      <c r="B667" s="5">
        <v>549</v>
      </c>
      <c r="C667" s="6" t="s">
        <v>2208</v>
      </c>
      <c r="D667" s="6" t="s">
        <v>2209</v>
      </c>
      <c r="E667" s="7" t="s">
        <v>446</v>
      </c>
      <c r="F667" s="13"/>
      <c r="G667" s="14"/>
      <c r="H667" s="15">
        <v>36</v>
      </c>
      <c r="I667" s="15">
        <v>12</v>
      </c>
      <c r="J667" s="17">
        <v>1774</v>
      </c>
      <c r="K667" s="5">
        <v>1</v>
      </c>
      <c r="L667" s="16">
        <v>358.66666666666669</v>
      </c>
      <c r="M667" s="12"/>
      <c r="N667" s="14">
        <f t="shared" si="34"/>
        <v>0</v>
      </c>
      <c r="O667" s="23">
        <f>0.271*M667</f>
        <v>0</v>
      </c>
      <c r="P667" s="24">
        <f>0.00014*M667</f>
        <v>0</v>
      </c>
      <c r="Q667" s="25"/>
      <c r="R667" s="26" t="s">
        <v>447</v>
      </c>
      <c r="S667" s="26" t="s">
        <v>93</v>
      </c>
      <c r="T667" s="6" t="str">
        <f>HYPERLINK("https://kanzpp.ru/api/getInfo/image/9e3e0e74-803c-11ec-a211-ac1f6b442185")</f>
        <v>https://kanzpp.ru/api/getInfo/image/9e3e0e74-803c-11ec-a211-ac1f6b442185</v>
      </c>
      <c r="U667" s="6"/>
      <c r="V667" s="33" t="s">
        <v>35</v>
      </c>
    </row>
    <row r="668" spans="2:22" ht="21" customHeight="1" outlineLevel="5" x14ac:dyDescent="0.2">
      <c r="B668" s="5">
        <v>550</v>
      </c>
      <c r="C668" s="6" t="s">
        <v>2210</v>
      </c>
      <c r="D668" s="6" t="s">
        <v>2211</v>
      </c>
      <c r="E668" s="7" t="s">
        <v>2212</v>
      </c>
      <c r="F668" s="13"/>
      <c r="G668" s="14"/>
      <c r="H668" s="15">
        <v>36</v>
      </c>
      <c r="I668" s="15">
        <v>6</v>
      </c>
      <c r="J668" s="17">
        <v>3931</v>
      </c>
      <c r="K668" s="5">
        <v>1</v>
      </c>
      <c r="L668" s="16">
        <v>398.66666666666669</v>
      </c>
      <c r="M668" s="12"/>
      <c r="N668" s="14">
        <f t="shared" si="34"/>
        <v>0</v>
      </c>
      <c r="O668" s="23">
        <f>0.337*M668</f>
        <v>0</v>
      </c>
      <c r="P668" s="24">
        <f>0.00067*M668</f>
        <v>0</v>
      </c>
      <c r="Q668" s="25"/>
      <c r="R668" s="26" t="s">
        <v>2213</v>
      </c>
      <c r="S668" s="26" t="s">
        <v>93</v>
      </c>
      <c r="T668" s="6" t="str">
        <f>HYPERLINK("https://kanzpp.ru/api/getInfo/image/02553d2f-803d-11ec-a211-ac1f6b442185")</f>
        <v>https://kanzpp.ru/api/getInfo/image/02553d2f-803d-11ec-a211-ac1f6b442185</v>
      </c>
      <c r="U668" s="6"/>
      <c r="V668" s="33" t="s">
        <v>35</v>
      </c>
    </row>
    <row r="669" spans="2:22" ht="21" customHeight="1" outlineLevel="5" x14ac:dyDescent="0.2">
      <c r="B669" s="5">
        <v>551</v>
      </c>
      <c r="C669" s="6" t="s">
        <v>2214</v>
      </c>
      <c r="D669" s="6" t="s">
        <v>2215</v>
      </c>
      <c r="E669" s="7" t="s">
        <v>2216</v>
      </c>
      <c r="F669" s="13"/>
      <c r="G669" s="14"/>
      <c r="H669" s="15">
        <v>24</v>
      </c>
      <c r="I669" s="15">
        <v>6</v>
      </c>
      <c r="J669" s="17">
        <v>3598</v>
      </c>
      <c r="K669" s="5">
        <v>1</v>
      </c>
      <c r="L669" s="16">
        <v>438.66666666666669</v>
      </c>
      <c r="M669" s="12"/>
      <c r="N669" s="14">
        <f t="shared" si="34"/>
        <v>0</v>
      </c>
      <c r="O669" s="23">
        <f>0.407*M669</f>
        <v>0</v>
      </c>
      <c r="P669" s="24">
        <f>0.00086*M669</f>
        <v>0</v>
      </c>
      <c r="Q669" s="25"/>
      <c r="R669" s="26" t="s">
        <v>2217</v>
      </c>
      <c r="S669" s="26" t="s">
        <v>93</v>
      </c>
      <c r="T669" s="6" t="str">
        <f>HYPERLINK("https://kanzpp.ru/api/getInfo/image/5723cb8a-803d-11ec-a211-ac1f6b442185")</f>
        <v>https://kanzpp.ru/api/getInfo/image/5723cb8a-803d-11ec-a211-ac1f6b442185</v>
      </c>
      <c r="U669" s="6"/>
      <c r="V669" s="33" t="s">
        <v>35</v>
      </c>
    </row>
    <row r="670" spans="2:22" ht="22.95" customHeight="1" outlineLevel="3" x14ac:dyDescent="0.2">
      <c r="B670" s="81" t="s">
        <v>2218</v>
      </c>
      <c r="C670" s="81"/>
      <c r="D670" s="81"/>
      <c r="L670">
        <v>0</v>
      </c>
    </row>
    <row r="671" spans="2:22" ht="22.95" customHeight="1" outlineLevel="4" x14ac:dyDescent="0.2">
      <c r="B671" s="82" t="s">
        <v>2219</v>
      </c>
      <c r="C671" s="82"/>
      <c r="D671" s="82"/>
      <c r="L671">
        <v>0</v>
      </c>
    </row>
    <row r="672" spans="2:22" ht="21" customHeight="1" outlineLevel="5" x14ac:dyDescent="0.2">
      <c r="B672" s="5">
        <v>552</v>
      </c>
      <c r="C672" s="6" t="s">
        <v>2220</v>
      </c>
      <c r="D672" s="6" t="s">
        <v>2221</v>
      </c>
      <c r="E672" s="7" t="s">
        <v>2222</v>
      </c>
      <c r="F672" s="13"/>
      <c r="G672" s="14"/>
      <c r="H672" s="15">
        <v>576</v>
      </c>
      <c r="I672" s="15">
        <v>12</v>
      </c>
      <c r="J672" s="14" t="s">
        <v>144</v>
      </c>
      <c r="K672" s="5">
        <v>12</v>
      </c>
      <c r="L672" s="16">
        <v>13.32</v>
      </c>
      <c r="M672" s="12"/>
      <c r="N672" s="14">
        <f>L672*M672</f>
        <v>0</v>
      </c>
      <c r="O672" s="23">
        <f>0.019*M672</f>
        <v>0</v>
      </c>
      <c r="P672" s="24">
        <f>0.00005*M672</f>
        <v>0</v>
      </c>
      <c r="Q672" s="25"/>
      <c r="R672" s="26" t="s">
        <v>2223</v>
      </c>
      <c r="S672" s="26" t="s">
        <v>93</v>
      </c>
      <c r="T672" s="6" t="str">
        <f>HYPERLINK("https://kanzpp.ru/api/getInfo/image/f120477f-0b36-11e9-a21b-ac1f6b442184")</f>
        <v>https://kanzpp.ru/api/getInfo/image/f120477f-0b36-11e9-a21b-ac1f6b442184</v>
      </c>
      <c r="U672" s="6"/>
      <c r="V672" s="33" t="s">
        <v>35</v>
      </c>
    </row>
    <row r="673" spans="2:22" ht="21" customHeight="1" outlineLevel="5" x14ac:dyDescent="0.2">
      <c r="B673" s="5">
        <v>553</v>
      </c>
      <c r="C673" s="6" t="s">
        <v>2224</v>
      </c>
      <c r="D673" s="6" t="s">
        <v>2225</v>
      </c>
      <c r="E673" s="7" t="s">
        <v>2226</v>
      </c>
      <c r="F673" s="13"/>
      <c r="G673" s="14"/>
      <c r="H673" s="15">
        <v>576</v>
      </c>
      <c r="I673" s="15">
        <v>12</v>
      </c>
      <c r="J673" s="14" t="s">
        <v>144</v>
      </c>
      <c r="K673" s="5">
        <v>12</v>
      </c>
      <c r="L673" s="16">
        <v>13.32</v>
      </c>
      <c r="M673" s="12"/>
      <c r="N673" s="14">
        <f>L673*M673</f>
        <v>0</v>
      </c>
      <c r="O673" s="23">
        <f>0.019*M673</f>
        <v>0</v>
      </c>
      <c r="P673" s="24">
        <f>0.00005*M673</f>
        <v>0</v>
      </c>
      <c r="Q673" s="25"/>
      <c r="R673" s="26" t="s">
        <v>2227</v>
      </c>
      <c r="S673" s="26" t="s">
        <v>93</v>
      </c>
      <c r="T673" s="6" t="str">
        <f>HYPERLINK("https://kanzpp.ru/api/getInfo/image/35307fe6-0b37-11e9-a21b-ac1f6b442184")</f>
        <v>https://kanzpp.ru/api/getInfo/image/35307fe6-0b37-11e9-a21b-ac1f6b442184</v>
      </c>
      <c r="U673" s="6"/>
      <c r="V673" s="33" t="s">
        <v>35</v>
      </c>
    </row>
    <row r="674" spans="2:22" ht="21" customHeight="1" outlineLevel="5" x14ac:dyDescent="0.2">
      <c r="B674" s="5">
        <v>554</v>
      </c>
      <c r="C674" s="6" t="s">
        <v>2228</v>
      </c>
      <c r="D674" s="6" t="s">
        <v>2229</v>
      </c>
      <c r="E674" s="7" t="s">
        <v>438</v>
      </c>
      <c r="F674" s="13"/>
      <c r="G674" s="14"/>
      <c r="H674" s="15">
        <v>576</v>
      </c>
      <c r="I674" s="15">
        <v>12</v>
      </c>
      <c r="J674" s="14" t="s">
        <v>144</v>
      </c>
      <c r="K674" s="5">
        <v>12</v>
      </c>
      <c r="L674" s="16">
        <v>13.32</v>
      </c>
      <c r="M674" s="12"/>
      <c r="N674" s="14">
        <f>L674*M674</f>
        <v>0</v>
      </c>
      <c r="O674" s="23">
        <f>0.019*M674</f>
        <v>0</v>
      </c>
      <c r="P674" s="24">
        <f>0.00005*M674</f>
        <v>0</v>
      </c>
      <c r="Q674" s="25"/>
      <c r="R674" s="26" t="s">
        <v>439</v>
      </c>
      <c r="S674" s="26" t="s">
        <v>93</v>
      </c>
      <c r="T674" s="6" t="str">
        <f>HYPERLINK("https://kanzpp.ru/api/getInfo/image/6515c38e-0b36-11e9-a21b-ac1f6b442184")</f>
        <v>https://kanzpp.ru/api/getInfo/image/6515c38e-0b36-11e9-a21b-ac1f6b442184</v>
      </c>
      <c r="U674" s="6"/>
      <c r="V674" s="33" t="s">
        <v>35</v>
      </c>
    </row>
    <row r="675" spans="2:22" ht="22.95" customHeight="1" outlineLevel="4" x14ac:dyDescent="0.2">
      <c r="B675" s="82" t="s">
        <v>2230</v>
      </c>
      <c r="C675" s="82"/>
      <c r="D675" s="82"/>
      <c r="L675">
        <v>0</v>
      </c>
    </row>
    <row r="676" spans="2:22" ht="21" customHeight="1" outlineLevel="5" x14ac:dyDescent="0.2">
      <c r="B676" s="5">
        <v>555</v>
      </c>
      <c r="C676" s="6" t="s">
        <v>2231</v>
      </c>
      <c r="D676" s="6" t="s">
        <v>2232</v>
      </c>
      <c r="E676" s="7" t="s">
        <v>2233</v>
      </c>
      <c r="F676" s="13"/>
      <c r="G676" s="14"/>
      <c r="H676" s="15">
        <v>864</v>
      </c>
      <c r="I676" s="15">
        <v>12</v>
      </c>
      <c r="J676" s="14" t="s">
        <v>144</v>
      </c>
      <c r="K676" s="5">
        <v>48</v>
      </c>
      <c r="L676" s="16">
        <v>11.986666666666666</v>
      </c>
      <c r="M676" s="12"/>
      <c r="N676" s="14">
        <f>L676*M676</f>
        <v>0</v>
      </c>
      <c r="O676" s="23">
        <f>0.014*M676</f>
        <v>0</v>
      </c>
      <c r="P676" s="24">
        <f>0.00004*M676</f>
        <v>0</v>
      </c>
      <c r="Q676" s="25"/>
      <c r="R676" s="26" t="s">
        <v>2234</v>
      </c>
      <c r="S676" s="26" t="s">
        <v>93</v>
      </c>
      <c r="T676" s="6" t="str">
        <f>HYPERLINK("https://kanzpp.ru/api/getInfo/image/75885172-78f3-11e7-a17c-5cf3fc4a2490")</f>
        <v>https://kanzpp.ru/api/getInfo/image/75885172-78f3-11e7-a17c-5cf3fc4a2490</v>
      </c>
      <c r="U676" s="6"/>
      <c r="V676" s="33" t="s">
        <v>35</v>
      </c>
    </row>
    <row r="677" spans="2:22" ht="22.95" customHeight="1" outlineLevel="3" x14ac:dyDescent="0.2">
      <c r="B677" s="81" t="s">
        <v>2235</v>
      </c>
      <c r="C677" s="81"/>
      <c r="D677" s="81"/>
      <c r="L677">
        <v>0</v>
      </c>
    </row>
    <row r="678" spans="2:22" ht="22.95" customHeight="1" outlineLevel="4" x14ac:dyDescent="0.2">
      <c r="B678" s="82" t="s">
        <v>2236</v>
      </c>
      <c r="C678" s="82"/>
      <c r="D678" s="82"/>
      <c r="L678">
        <v>0</v>
      </c>
    </row>
    <row r="679" spans="2:22" ht="22.95" customHeight="1" outlineLevel="5" x14ac:dyDescent="0.2">
      <c r="B679" s="83" t="s">
        <v>2236</v>
      </c>
      <c r="C679" s="83"/>
      <c r="D679" s="83"/>
      <c r="L679">
        <v>0</v>
      </c>
    </row>
    <row r="680" spans="2:22" ht="21" customHeight="1" outlineLevel="6" x14ac:dyDescent="0.2">
      <c r="B680" s="36">
        <v>556</v>
      </c>
      <c r="C680" s="37" t="s">
        <v>2237</v>
      </c>
      <c r="D680" s="37" t="s">
        <v>2238</v>
      </c>
      <c r="E680" s="38" t="s">
        <v>2239</v>
      </c>
      <c r="F680" s="39"/>
      <c r="G680" s="40"/>
      <c r="H680" s="41">
        <v>720</v>
      </c>
      <c r="I680" s="41">
        <v>36</v>
      </c>
      <c r="J680" s="41">
        <v>171</v>
      </c>
      <c r="K680" s="36">
        <v>36</v>
      </c>
      <c r="L680" s="42" t="e">
        <f>(IF(#REF!,11.35*(1-#REF!/100),11.35*(1-O3/100)))/0.75</f>
        <v>#REF!</v>
      </c>
      <c r="M680" s="12"/>
      <c r="N680" s="40" t="e">
        <f>L680*M680</f>
        <v>#REF!</v>
      </c>
      <c r="O680" s="49">
        <f>0.8*M680</f>
        <v>0</v>
      </c>
      <c r="P680" s="47">
        <f>0.00074*M680</f>
        <v>0</v>
      </c>
      <c r="Q680" s="44"/>
      <c r="R680" s="45" t="s">
        <v>2240</v>
      </c>
      <c r="S680" s="45" t="s">
        <v>93</v>
      </c>
      <c r="T680" s="37" t="str">
        <f>HYPERLINK("https://kanzpp.ru/api/getInfo/image/5bfa6b68-f731-11ea-a254-ac1f6b442184")</f>
        <v>https://kanzpp.ru/api/getInfo/image/5bfa6b68-f731-11ea-a254-ac1f6b442184</v>
      </c>
      <c r="U680" s="37"/>
    </row>
    <row r="681" spans="2:22" ht="22.95" customHeight="1" outlineLevel="3" x14ac:dyDescent="0.2">
      <c r="B681" s="81" t="s">
        <v>2241</v>
      </c>
      <c r="C681" s="81"/>
      <c r="D681" s="81"/>
      <c r="L681">
        <v>0</v>
      </c>
    </row>
    <row r="682" spans="2:22" ht="22.95" customHeight="1" outlineLevel="4" x14ac:dyDescent="0.2">
      <c r="B682" s="82" t="s">
        <v>2242</v>
      </c>
      <c r="C682" s="82"/>
      <c r="D682" s="82"/>
      <c r="L682">
        <v>0</v>
      </c>
    </row>
    <row r="683" spans="2:22" ht="21" customHeight="1" outlineLevel="5" x14ac:dyDescent="0.2">
      <c r="B683" s="5">
        <v>557</v>
      </c>
      <c r="C683" s="6" t="s">
        <v>2243</v>
      </c>
      <c r="D683" s="6" t="s">
        <v>2244</v>
      </c>
      <c r="E683" s="7" t="s">
        <v>391</v>
      </c>
      <c r="F683" s="13"/>
      <c r="G683" s="14"/>
      <c r="H683" s="15">
        <v>600</v>
      </c>
      <c r="I683" s="15">
        <v>20</v>
      </c>
      <c r="J683" s="15">
        <v>708</v>
      </c>
      <c r="K683" s="5">
        <v>40</v>
      </c>
      <c r="L683" s="16">
        <v>13.200000000000001</v>
      </c>
      <c r="M683" s="12"/>
      <c r="N683" s="14">
        <f>L683*M683</f>
        <v>0</v>
      </c>
      <c r="O683" s="23">
        <f>0.039*M683</f>
        <v>0</v>
      </c>
      <c r="P683" s="24">
        <f>0.00001*M683</f>
        <v>0</v>
      </c>
      <c r="Q683" s="25"/>
      <c r="R683" s="26" t="s">
        <v>392</v>
      </c>
      <c r="S683" s="26" t="s">
        <v>93</v>
      </c>
      <c r="T683" s="6" t="str">
        <f>HYPERLINK("https://kanzpp.ru/api/getInfo/image/6d7e76d3-c7cf-11e9-a232-ac1f6b442184")</f>
        <v>https://kanzpp.ru/api/getInfo/image/6d7e76d3-c7cf-11e9-a232-ac1f6b442184</v>
      </c>
      <c r="U683" s="6" t="s">
        <v>392</v>
      </c>
      <c r="V683" s="33" t="s">
        <v>35</v>
      </c>
    </row>
    <row r="684" spans="2:22" ht="22.95" customHeight="1" outlineLevel="4" x14ac:dyDescent="0.2">
      <c r="B684" s="82" t="s">
        <v>2245</v>
      </c>
      <c r="C684" s="82"/>
      <c r="D684" s="82"/>
      <c r="L684">
        <v>0</v>
      </c>
    </row>
    <row r="685" spans="2:22" ht="21" customHeight="1" outlineLevel="5" x14ac:dyDescent="0.2">
      <c r="B685" s="5">
        <v>558</v>
      </c>
      <c r="C685" s="6" t="s">
        <v>2246</v>
      </c>
      <c r="D685" s="6" t="s">
        <v>2247</v>
      </c>
      <c r="E685" s="7" t="s">
        <v>2248</v>
      </c>
      <c r="F685" s="13"/>
      <c r="G685" s="14"/>
      <c r="H685" s="17">
        <v>2000</v>
      </c>
      <c r="I685" s="15">
        <v>20</v>
      </c>
      <c r="J685" s="15">
        <v>100</v>
      </c>
      <c r="K685" s="5">
        <v>40</v>
      </c>
      <c r="L685" s="16">
        <v>14.08</v>
      </c>
      <c r="M685" s="12"/>
      <c r="N685" s="14">
        <f>L685*M685</f>
        <v>0</v>
      </c>
      <c r="O685" s="28">
        <f>0.01*M685</f>
        <v>0</v>
      </c>
      <c r="P685" s="14">
        <v>0</v>
      </c>
      <c r="Q685" s="25"/>
      <c r="R685" s="26" t="s">
        <v>2249</v>
      </c>
      <c r="S685" s="26" t="s">
        <v>93</v>
      </c>
      <c r="T685" s="6" t="str">
        <f>HYPERLINK("https://kanzpp.ru/api/getInfo/image/3d038067-c61a-11e7-bf5c-5cf3fc4a2490")</f>
        <v>https://kanzpp.ru/api/getInfo/image/3d038067-c61a-11e7-bf5c-5cf3fc4a2490</v>
      </c>
      <c r="U685" s="6"/>
      <c r="V685" s="33" t="s">
        <v>35</v>
      </c>
    </row>
    <row r="686" spans="2:22" ht="21" customHeight="1" outlineLevel="5" x14ac:dyDescent="0.2">
      <c r="B686" s="5">
        <v>559</v>
      </c>
      <c r="C686" s="6" t="s">
        <v>2250</v>
      </c>
      <c r="D686" s="6" t="s">
        <v>2251</v>
      </c>
      <c r="E686" s="7" t="s">
        <v>2252</v>
      </c>
      <c r="F686" s="13"/>
      <c r="G686" s="14"/>
      <c r="H686" s="17">
        <v>1200</v>
      </c>
      <c r="I686" s="15">
        <v>20</v>
      </c>
      <c r="J686" s="15">
        <v>200</v>
      </c>
      <c r="K686" s="5">
        <v>40</v>
      </c>
      <c r="L686" s="16">
        <v>19.88</v>
      </c>
      <c r="M686" s="12"/>
      <c r="N686" s="14">
        <f>L686*M686</f>
        <v>0</v>
      </c>
      <c r="O686" s="23">
        <f>0.018*M686</f>
        <v>0</v>
      </c>
      <c r="P686" s="24">
        <f>0.00001*M686</f>
        <v>0</v>
      </c>
      <c r="Q686" s="25"/>
      <c r="R686" s="26" t="s">
        <v>2253</v>
      </c>
      <c r="S686" s="26" t="s">
        <v>93</v>
      </c>
      <c r="T686" s="6" t="str">
        <f>HYPERLINK("https://kanzpp.ru/api/getInfo/image/6d2b7187-c61a-11e7-bf5c-5cf3fc4a2490")</f>
        <v>https://kanzpp.ru/api/getInfo/image/6d2b7187-c61a-11e7-bf5c-5cf3fc4a2490</v>
      </c>
      <c r="U686" s="6" t="s">
        <v>2254</v>
      </c>
      <c r="V686" s="33" t="s">
        <v>35</v>
      </c>
    </row>
    <row r="687" spans="2:22" ht="21" customHeight="1" outlineLevel="5" x14ac:dyDescent="0.2">
      <c r="B687" s="5">
        <v>560</v>
      </c>
      <c r="C687" s="6" t="s">
        <v>2255</v>
      </c>
      <c r="D687" s="6" t="s">
        <v>2256</v>
      </c>
      <c r="E687" s="7" t="s">
        <v>2257</v>
      </c>
      <c r="F687" s="13"/>
      <c r="G687" s="14"/>
      <c r="H687" s="15">
        <v>300</v>
      </c>
      <c r="I687" s="15">
        <v>20</v>
      </c>
      <c r="J687" s="17">
        <v>3216</v>
      </c>
      <c r="K687" s="5">
        <v>20</v>
      </c>
      <c r="L687" s="16">
        <v>43.48</v>
      </c>
      <c r="M687" s="12"/>
      <c r="N687" s="14">
        <f>L687*M687</f>
        <v>0</v>
      </c>
      <c r="O687" s="23">
        <f>0.043*M687</f>
        <v>0</v>
      </c>
      <c r="P687" s="24">
        <f>0.00001*M687</f>
        <v>0</v>
      </c>
      <c r="Q687" s="25"/>
      <c r="R687" s="26" t="s">
        <v>2258</v>
      </c>
      <c r="S687" s="26" t="s">
        <v>93</v>
      </c>
      <c r="T687" s="6" t="str">
        <f>HYPERLINK("https://kanzpp.ru/api/getInfo/image/c8a588c7-c61a-11e7-bf5c-5cf3fc4a2490")</f>
        <v>https://kanzpp.ru/api/getInfo/image/c8a588c7-c61a-11e7-bf5c-5cf3fc4a2490</v>
      </c>
      <c r="U687" s="6" t="s">
        <v>2259</v>
      </c>
      <c r="V687" s="33" t="s">
        <v>35</v>
      </c>
    </row>
    <row r="688" spans="2:22" ht="22.95" customHeight="1" outlineLevel="4" x14ac:dyDescent="0.2">
      <c r="B688" s="82" t="s">
        <v>2260</v>
      </c>
      <c r="C688" s="82"/>
      <c r="D688" s="82"/>
      <c r="L688">
        <v>0</v>
      </c>
    </row>
    <row r="689" spans="2:22" ht="21" customHeight="1" outlineLevel="5" x14ac:dyDescent="0.2">
      <c r="B689" s="5">
        <v>561</v>
      </c>
      <c r="C689" s="6" t="s">
        <v>2261</v>
      </c>
      <c r="D689" s="6" t="s">
        <v>2262</v>
      </c>
      <c r="E689" s="7" t="s">
        <v>2263</v>
      </c>
      <c r="F689" s="13"/>
      <c r="G689" s="14"/>
      <c r="H689" s="17">
        <v>1200</v>
      </c>
      <c r="I689" s="15">
        <v>12</v>
      </c>
      <c r="J689" s="15">
        <v>120</v>
      </c>
      <c r="K689" s="5">
        <v>12</v>
      </c>
      <c r="L689" s="16">
        <v>26.08</v>
      </c>
      <c r="M689" s="12"/>
      <c r="N689" s="14">
        <f>L689*M689</f>
        <v>0</v>
      </c>
      <c r="O689" s="23">
        <f>0.023*M689</f>
        <v>0</v>
      </c>
      <c r="P689" s="24">
        <f>0.00001*M689</f>
        <v>0</v>
      </c>
      <c r="Q689" s="25"/>
      <c r="R689" s="26" t="s">
        <v>2264</v>
      </c>
      <c r="S689" s="26" t="s">
        <v>93</v>
      </c>
      <c r="T689" s="6" t="str">
        <f>HYPERLINK("https://kanzpp.ru/api/getInfo/image/f0e14c39-c7ce-11e9-a232-ac1f6b442184")</f>
        <v>https://kanzpp.ru/api/getInfo/image/f0e14c39-c7ce-11e9-a232-ac1f6b442184</v>
      </c>
      <c r="U689" s="6"/>
      <c r="V689" s="33" t="s">
        <v>35</v>
      </c>
    </row>
    <row r="690" spans="2:22" ht="21" customHeight="1" outlineLevel="5" x14ac:dyDescent="0.2">
      <c r="B690" s="5">
        <v>562</v>
      </c>
      <c r="C690" s="6" t="s">
        <v>2265</v>
      </c>
      <c r="D690" s="6" t="s">
        <v>2266</v>
      </c>
      <c r="E690" s="7" t="s">
        <v>2267</v>
      </c>
      <c r="F690" s="13"/>
      <c r="G690" s="14"/>
      <c r="H690" s="15">
        <v>300</v>
      </c>
      <c r="I690" s="15">
        <v>12</v>
      </c>
      <c r="J690" s="15">
        <v>455</v>
      </c>
      <c r="K690" s="5">
        <v>12</v>
      </c>
      <c r="L690" s="16">
        <v>68.320000000000007</v>
      </c>
      <c r="M690" s="12"/>
      <c r="N690" s="14">
        <f>L690*M690</f>
        <v>0</v>
      </c>
      <c r="O690" s="23">
        <f>0.055*M690</f>
        <v>0</v>
      </c>
      <c r="P690" s="24">
        <f>0.00001*M690</f>
        <v>0</v>
      </c>
      <c r="Q690" s="25"/>
      <c r="R690" s="26" t="s">
        <v>2268</v>
      </c>
      <c r="S690" s="26" t="s">
        <v>93</v>
      </c>
      <c r="T690" s="6" t="str">
        <f>HYPERLINK("https://kanzpp.ru/api/getInfo/image/f790c115-f836-11e6-81a9-5cf3fc4a2490")</f>
        <v>https://kanzpp.ru/api/getInfo/image/f790c115-f836-11e6-81a9-5cf3fc4a2490</v>
      </c>
      <c r="U690" s="6"/>
      <c r="V690" s="33" t="s">
        <v>35</v>
      </c>
    </row>
    <row r="691" spans="2:22" ht="22.95" customHeight="1" outlineLevel="3" x14ac:dyDescent="0.2">
      <c r="B691" s="81" t="s">
        <v>2269</v>
      </c>
      <c r="C691" s="81"/>
      <c r="D691" s="81"/>
      <c r="L691">
        <v>0</v>
      </c>
    </row>
    <row r="692" spans="2:22" ht="22.95" customHeight="1" outlineLevel="4" x14ac:dyDescent="0.2">
      <c r="B692" s="82" t="s">
        <v>2270</v>
      </c>
      <c r="C692" s="82"/>
      <c r="D692" s="82"/>
      <c r="L692">
        <v>0</v>
      </c>
    </row>
    <row r="693" spans="2:22" ht="22.95" customHeight="1" outlineLevel="5" x14ac:dyDescent="0.2">
      <c r="B693" s="83" t="s">
        <v>2271</v>
      </c>
      <c r="C693" s="83"/>
      <c r="D693" s="83"/>
      <c r="L693">
        <v>0</v>
      </c>
    </row>
    <row r="694" spans="2:22" ht="22.95" customHeight="1" outlineLevel="6" x14ac:dyDescent="0.2">
      <c r="B694" s="84" t="s">
        <v>2272</v>
      </c>
      <c r="C694" s="84"/>
      <c r="D694" s="84"/>
      <c r="L694">
        <v>0</v>
      </c>
    </row>
    <row r="695" spans="2:22" ht="21" customHeight="1" outlineLevel="7" x14ac:dyDescent="0.2">
      <c r="B695" s="5">
        <v>563</v>
      </c>
      <c r="C695" s="6" t="s">
        <v>2273</v>
      </c>
      <c r="D695" s="6" t="s">
        <v>2274</v>
      </c>
      <c r="E695" s="7" t="s">
        <v>2275</v>
      </c>
      <c r="F695" s="13"/>
      <c r="G695" s="14"/>
      <c r="H695" s="17">
        <v>7200</v>
      </c>
      <c r="I695" s="15">
        <v>72</v>
      </c>
      <c r="J695" s="14" t="s">
        <v>144</v>
      </c>
      <c r="K695" s="5">
        <v>216</v>
      </c>
      <c r="L695" s="16">
        <v>2.44</v>
      </c>
      <c r="M695" s="12"/>
      <c r="N695" s="14">
        <f>L695*M695</f>
        <v>0</v>
      </c>
      <c r="O695" s="23">
        <f>0.002*M695</f>
        <v>0</v>
      </c>
      <c r="P695" s="24">
        <f>0.00001*M695</f>
        <v>0</v>
      </c>
      <c r="Q695" s="25"/>
      <c r="R695" s="26"/>
      <c r="S695" s="26" t="s">
        <v>93</v>
      </c>
      <c r="T695" s="6" t="str">
        <f>HYPERLINK("https://kanzpp.ru/api/getInfo/image/61c56c6c-a836-11e7-b8ef-5cf3fc4a2490")</f>
        <v>https://kanzpp.ru/api/getInfo/image/61c56c6c-a836-11e7-b8ef-5cf3fc4a2490</v>
      </c>
      <c r="U695" s="6" t="s">
        <v>2276</v>
      </c>
      <c r="V695" s="33" t="s">
        <v>35</v>
      </c>
    </row>
    <row r="696" spans="2:22" ht="21" customHeight="1" outlineLevel="7" x14ac:dyDescent="0.2">
      <c r="B696" s="5">
        <v>564</v>
      </c>
      <c r="C696" s="6" t="s">
        <v>2277</v>
      </c>
      <c r="D696" s="6" t="s">
        <v>2278</v>
      </c>
      <c r="E696" s="7" t="s">
        <v>2279</v>
      </c>
      <c r="F696" s="13"/>
      <c r="G696" s="14"/>
      <c r="H696" s="17">
        <v>1440</v>
      </c>
      <c r="I696" s="15">
        <v>48</v>
      </c>
      <c r="J696" s="17">
        <v>2880</v>
      </c>
      <c r="K696" s="5">
        <v>96</v>
      </c>
      <c r="L696" s="16">
        <v>3.92</v>
      </c>
      <c r="M696" s="12"/>
      <c r="N696" s="14">
        <f>L696*M696</f>
        <v>0</v>
      </c>
      <c r="O696" s="23">
        <f>0.003*M696</f>
        <v>0</v>
      </c>
      <c r="P696" s="24">
        <f>0.00002*M696</f>
        <v>0</v>
      </c>
      <c r="Q696" s="25"/>
      <c r="R696" s="26"/>
      <c r="S696" s="26" t="s">
        <v>93</v>
      </c>
      <c r="T696" s="6" t="str">
        <f>HYPERLINK("https://kanzpp.ru/api/getInfo/image/1a64caa7-a838-11e7-b8ef-5cf3fc4a2490")</f>
        <v>https://kanzpp.ru/api/getInfo/image/1a64caa7-a838-11e7-b8ef-5cf3fc4a2490</v>
      </c>
      <c r="U696" s="6" t="s">
        <v>2280</v>
      </c>
      <c r="V696" s="33" t="s">
        <v>35</v>
      </c>
    </row>
    <row r="697" spans="2:22" ht="22.95" customHeight="1" outlineLevel="5" x14ac:dyDescent="0.2">
      <c r="B697" s="83" t="s">
        <v>2281</v>
      </c>
      <c r="C697" s="83"/>
      <c r="D697" s="83"/>
      <c r="L697">
        <v>0</v>
      </c>
    </row>
    <row r="698" spans="2:22" ht="22.95" customHeight="1" outlineLevel="6" x14ac:dyDescent="0.2">
      <c r="B698" s="84" t="s">
        <v>2282</v>
      </c>
      <c r="C698" s="84"/>
      <c r="D698" s="84"/>
      <c r="L698">
        <v>0</v>
      </c>
    </row>
    <row r="699" spans="2:22" ht="21" customHeight="1" outlineLevel="7" x14ac:dyDescent="0.2">
      <c r="B699" s="5">
        <v>565</v>
      </c>
      <c r="C699" s="6" t="s">
        <v>2283</v>
      </c>
      <c r="D699" s="6" t="s">
        <v>2284</v>
      </c>
      <c r="E699" s="7" t="s">
        <v>2285</v>
      </c>
      <c r="F699" s="13"/>
      <c r="G699" s="14"/>
      <c r="H699" s="17">
        <v>1440</v>
      </c>
      <c r="I699" s="15">
        <v>24</v>
      </c>
      <c r="J699" s="15">
        <v>419</v>
      </c>
      <c r="K699" s="5">
        <v>24</v>
      </c>
      <c r="L699" s="16">
        <v>13.4</v>
      </c>
      <c r="M699" s="12"/>
      <c r="N699" s="14">
        <f t="shared" ref="N699:N708" si="35">L699*M699</f>
        <v>0</v>
      </c>
      <c r="O699" s="23">
        <f>0.014*M699</f>
        <v>0</v>
      </c>
      <c r="P699" s="24">
        <f>0.00002*M699</f>
        <v>0</v>
      </c>
      <c r="Q699" s="25"/>
      <c r="R699" s="26" t="s">
        <v>2286</v>
      </c>
      <c r="S699" s="26" t="s">
        <v>93</v>
      </c>
      <c r="T699" s="6" t="str">
        <f>HYPERLINK("https://kanzpp.ru/api/getInfo/image/2712d76f-a837-11e7-b8ef-5cf3fc4a2490")</f>
        <v>https://kanzpp.ru/api/getInfo/image/2712d76f-a837-11e7-b8ef-5cf3fc4a2490</v>
      </c>
      <c r="U699" s="6"/>
      <c r="V699" s="33" t="s">
        <v>35</v>
      </c>
    </row>
    <row r="700" spans="2:22" ht="21" customHeight="1" outlineLevel="7" x14ac:dyDescent="0.2">
      <c r="B700" s="5">
        <v>566</v>
      </c>
      <c r="C700" s="6" t="s">
        <v>2287</v>
      </c>
      <c r="D700" s="6" t="s">
        <v>2288</v>
      </c>
      <c r="E700" s="7" t="s">
        <v>2289</v>
      </c>
      <c r="F700" s="13"/>
      <c r="G700" s="14"/>
      <c r="H700" s="17">
        <v>2880</v>
      </c>
      <c r="I700" s="15">
        <v>80</v>
      </c>
      <c r="J700" s="14" t="s">
        <v>144</v>
      </c>
      <c r="K700" s="5">
        <v>80</v>
      </c>
      <c r="L700" s="16">
        <v>17.853333333333335</v>
      </c>
      <c r="M700" s="12"/>
      <c r="N700" s="14">
        <f t="shared" si="35"/>
        <v>0</v>
      </c>
      <c r="O700" s="23">
        <f>0.002*M700</f>
        <v>0</v>
      </c>
      <c r="P700" s="24">
        <f>0.00003*M700</f>
        <v>0</v>
      </c>
      <c r="Q700" s="25"/>
      <c r="R700" s="26"/>
      <c r="S700" s="26" t="s">
        <v>93</v>
      </c>
      <c r="T700" s="6" t="str">
        <f>HYPERLINK("https://kanzpp.ru/api/getInfo/image/242b3d8f-aa1c-11e9-a22d-ac1f6b442184")</f>
        <v>https://kanzpp.ru/api/getInfo/image/242b3d8f-aa1c-11e9-a22d-ac1f6b442184</v>
      </c>
      <c r="U700" s="6" t="s">
        <v>2290</v>
      </c>
      <c r="V700" s="33" t="s">
        <v>35</v>
      </c>
    </row>
    <row r="701" spans="2:22" ht="21" customHeight="1" outlineLevel="7" x14ac:dyDescent="0.2">
      <c r="B701" s="5">
        <v>567</v>
      </c>
      <c r="C701" s="6" t="s">
        <v>2291</v>
      </c>
      <c r="D701" s="6" t="s">
        <v>2292</v>
      </c>
      <c r="E701" s="7" t="s">
        <v>2293</v>
      </c>
      <c r="F701" s="13"/>
      <c r="G701" s="14"/>
      <c r="H701" s="17">
        <v>1440</v>
      </c>
      <c r="I701" s="15">
        <v>12</v>
      </c>
      <c r="J701" s="15">
        <v>240</v>
      </c>
      <c r="K701" s="5">
        <v>24</v>
      </c>
      <c r="L701" s="16">
        <v>23.506666666666664</v>
      </c>
      <c r="M701" s="12"/>
      <c r="N701" s="14">
        <f t="shared" si="35"/>
        <v>0</v>
      </c>
      <c r="O701" s="28">
        <f>0.02*M701</f>
        <v>0</v>
      </c>
      <c r="P701" s="24">
        <f>0.00011*M701</f>
        <v>0</v>
      </c>
      <c r="Q701" s="25"/>
      <c r="R701" s="26"/>
      <c r="S701" s="26" t="s">
        <v>93</v>
      </c>
      <c r="T701" s="6" t="str">
        <f>HYPERLINK("https://kanzpp.ru/api/getInfo/image/cac2c2be-35cc-11ed-a216-ac1f6b442185")</f>
        <v>https://kanzpp.ru/api/getInfo/image/cac2c2be-35cc-11ed-a216-ac1f6b442185</v>
      </c>
      <c r="U701" s="6" t="s">
        <v>2294</v>
      </c>
      <c r="V701" s="33" t="s">
        <v>35</v>
      </c>
    </row>
    <row r="702" spans="2:22" ht="21" customHeight="1" outlineLevel="7" x14ac:dyDescent="0.2">
      <c r="B702" s="5">
        <v>568</v>
      </c>
      <c r="C702" s="6" t="s">
        <v>2295</v>
      </c>
      <c r="D702" s="6" t="s">
        <v>2296</v>
      </c>
      <c r="E702" s="7" t="s">
        <v>2297</v>
      </c>
      <c r="F702" s="13"/>
      <c r="G702" s="14"/>
      <c r="H702" s="17">
        <v>1440</v>
      </c>
      <c r="I702" s="15">
        <v>12</v>
      </c>
      <c r="J702" s="15">
        <v>252</v>
      </c>
      <c r="K702" s="5">
        <v>24</v>
      </c>
      <c r="L702" s="16">
        <v>29.106666666666666</v>
      </c>
      <c r="M702" s="12"/>
      <c r="N702" s="14">
        <f t="shared" si="35"/>
        <v>0</v>
      </c>
      <c r="O702" s="23">
        <f>0.015*M702</f>
        <v>0</v>
      </c>
      <c r="P702" s="24">
        <f>0.00006*M702</f>
        <v>0</v>
      </c>
      <c r="Q702" s="25"/>
      <c r="R702" s="26" t="s">
        <v>2298</v>
      </c>
      <c r="S702" s="26" t="s">
        <v>93</v>
      </c>
      <c r="T702" s="6" t="str">
        <f>HYPERLINK("https://kanzpp.ru/api/getInfo/image/617ff3ec-35ce-11ed-a216-ac1f6b442185")</f>
        <v>https://kanzpp.ru/api/getInfo/image/617ff3ec-35ce-11ed-a216-ac1f6b442185</v>
      </c>
      <c r="U702" s="6" t="s">
        <v>2299</v>
      </c>
      <c r="V702" s="33" t="s">
        <v>35</v>
      </c>
    </row>
    <row r="703" spans="2:22" ht="21" customHeight="1" outlineLevel="7" x14ac:dyDescent="0.2">
      <c r="B703" s="5">
        <v>569</v>
      </c>
      <c r="C703" s="6" t="s">
        <v>2300</v>
      </c>
      <c r="D703" s="6" t="s">
        <v>2301</v>
      </c>
      <c r="E703" s="7" t="s">
        <v>2302</v>
      </c>
      <c r="F703" s="13"/>
      <c r="G703" s="14"/>
      <c r="H703" s="17">
        <v>1440</v>
      </c>
      <c r="I703" s="15">
        <v>12</v>
      </c>
      <c r="J703" s="17">
        <v>3688</v>
      </c>
      <c r="K703" s="5">
        <v>24</v>
      </c>
      <c r="L703" s="16">
        <v>29.106666666666666</v>
      </c>
      <c r="M703" s="12"/>
      <c r="N703" s="14">
        <f t="shared" si="35"/>
        <v>0</v>
      </c>
      <c r="O703" s="23">
        <f>0.021*M703</f>
        <v>0</v>
      </c>
      <c r="P703" s="24">
        <f>0.00004*M703</f>
        <v>0</v>
      </c>
      <c r="Q703" s="25"/>
      <c r="R703" s="26"/>
      <c r="S703" s="26" t="s">
        <v>93</v>
      </c>
      <c r="T703" s="6" t="str">
        <f>HYPERLINK("https://kanzpp.ru/api/getInfo/image/ed65c408-37ee-11ed-a216-ac1f6b442185")</f>
        <v>https://kanzpp.ru/api/getInfo/image/ed65c408-37ee-11ed-a216-ac1f6b442185</v>
      </c>
      <c r="U703" s="6" t="s">
        <v>2303</v>
      </c>
      <c r="V703" s="33" t="s">
        <v>35</v>
      </c>
    </row>
    <row r="704" spans="2:22" ht="21" customHeight="1" outlineLevel="7" x14ac:dyDescent="0.2">
      <c r="B704" s="5">
        <v>570</v>
      </c>
      <c r="C704" s="6" t="s">
        <v>2304</v>
      </c>
      <c r="D704" s="6" t="s">
        <v>2305</v>
      </c>
      <c r="E704" s="7" t="s">
        <v>2306</v>
      </c>
      <c r="F704" s="13"/>
      <c r="G704" s="14"/>
      <c r="H704" s="17">
        <v>1440</v>
      </c>
      <c r="I704" s="15">
        <v>12</v>
      </c>
      <c r="J704" s="15">
        <v>108</v>
      </c>
      <c r="K704" s="5">
        <v>24</v>
      </c>
      <c r="L704" s="16">
        <v>23.506666666666664</v>
      </c>
      <c r="M704" s="12"/>
      <c r="N704" s="14">
        <f t="shared" si="35"/>
        <v>0</v>
      </c>
      <c r="O704" s="23">
        <f>0.012*M704</f>
        <v>0</v>
      </c>
      <c r="P704" s="24">
        <f>0.00009*M704</f>
        <v>0</v>
      </c>
      <c r="Q704" s="25"/>
      <c r="R704" s="26"/>
      <c r="S704" s="26" t="s">
        <v>93</v>
      </c>
      <c r="T704" s="6" t="str">
        <f>HYPERLINK("https://kanzpp.ru/api/getInfo/image/2e23ce29-37ef-11ed-a216-ac1f6b442185")</f>
        <v>https://kanzpp.ru/api/getInfo/image/2e23ce29-37ef-11ed-a216-ac1f6b442185</v>
      </c>
      <c r="U704" s="6" t="s">
        <v>2307</v>
      </c>
      <c r="V704" s="33" t="s">
        <v>35</v>
      </c>
    </row>
    <row r="705" spans="2:22" ht="21" customHeight="1" outlineLevel="7" x14ac:dyDescent="0.2">
      <c r="B705" s="5">
        <v>571</v>
      </c>
      <c r="C705" s="6" t="s">
        <v>2308</v>
      </c>
      <c r="D705" s="6" t="s">
        <v>2309</v>
      </c>
      <c r="E705" s="7" t="s">
        <v>2310</v>
      </c>
      <c r="F705" s="13"/>
      <c r="G705" s="14"/>
      <c r="H705" s="17">
        <v>1440</v>
      </c>
      <c r="I705" s="15">
        <v>12</v>
      </c>
      <c r="J705" s="15">
        <v>572</v>
      </c>
      <c r="K705" s="5">
        <v>24</v>
      </c>
      <c r="L705" s="16">
        <v>26.319999999999997</v>
      </c>
      <c r="M705" s="12"/>
      <c r="N705" s="14">
        <f t="shared" si="35"/>
        <v>0</v>
      </c>
      <c r="O705" s="23">
        <f>0.021*M705</f>
        <v>0</v>
      </c>
      <c r="P705" s="24">
        <f>0.00004*M705</f>
        <v>0</v>
      </c>
      <c r="Q705" s="25"/>
      <c r="R705" s="26"/>
      <c r="S705" s="26" t="s">
        <v>93</v>
      </c>
      <c r="T705" s="6" t="str">
        <f>HYPERLINK("https://kanzpp.ru/api/getInfo/image/fa27f3dc-37ef-11ed-a216-ac1f6b442185")</f>
        <v>https://kanzpp.ru/api/getInfo/image/fa27f3dc-37ef-11ed-a216-ac1f6b442185</v>
      </c>
      <c r="U705" s="6" t="s">
        <v>2311</v>
      </c>
      <c r="V705" s="33" t="s">
        <v>35</v>
      </c>
    </row>
    <row r="706" spans="2:22" ht="21" customHeight="1" outlineLevel="7" x14ac:dyDescent="0.2">
      <c r="B706" s="5">
        <v>572</v>
      </c>
      <c r="C706" s="6" t="s">
        <v>2312</v>
      </c>
      <c r="D706" s="6" t="s">
        <v>2313</v>
      </c>
      <c r="E706" s="7" t="s">
        <v>2314</v>
      </c>
      <c r="F706" s="13"/>
      <c r="G706" s="14"/>
      <c r="H706" s="17">
        <v>1440</v>
      </c>
      <c r="I706" s="15">
        <v>12</v>
      </c>
      <c r="J706" s="15">
        <v>636</v>
      </c>
      <c r="K706" s="5">
        <v>24</v>
      </c>
      <c r="L706" s="16">
        <v>26.319999999999997</v>
      </c>
      <c r="M706" s="12"/>
      <c r="N706" s="14">
        <f t="shared" si="35"/>
        <v>0</v>
      </c>
      <c r="O706" s="23">
        <f>0.015*M706</f>
        <v>0</v>
      </c>
      <c r="P706" s="24">
        <f>0.00006*M706</f>
        <v>0</v>
      </c>
      <c r="Q706" s="25"/>
      <c r="R706" s="26"/>
      <c r="S706" s="26" t="s">
        <v>93</v>
      </c>
      <c r="T706" s="6" t="str">
        <f>HYPERLINK("https://kanzpp.ru/api/getInfo/image/4685bc22-37f0-11ed-a216-ac1f6b442185")</f>
        <v>https://kanzpp.ru/api/getInfo/image/4685bc22-37f0-11ed-a216-ac1f6b442185</v>
      </c>
      <c r="U706" s="6" t="s">
        <v>2315</v>
      </c>
      <c r="V706" s="33" t="s">
        <v>35</v>
      </c>
    </row>
    <row r="707" spans="2:22" ht="21" customHeight="1" outlineLevel="7" x14ac:dyDescent="0.2">
      <c r="B707" s="5">
        <v>573</v>
      </c>
      <c r="C707" s="6" t="s">
        <v>2316</v>
      </c>
      <c r="D707" s="6" t="s">
        <v>2317</v>
      </c>
      <c r="E707" s="7" t="s">
        <v>2318</v>
      </c>
      <c r="F707" s="13"/>
      <c r="G707" s="14"/>
      <c r="H707" s="17">
        <v>1440</v>
      </c>
      <c r="I707" s="15">
        <v>12</v>
      </c>
      <c r="J707" s="17">
        <v>1764</v>
      </c>
      <c r="K707" s="5">
        <v>24</v>
      </c>
      <c r="L707" s="16">
        <v>26.319999999999997</v>
      </c>
      <c r="M707" s="12"/>
      <c r="N707" s="14">
        <f t="shared" si="35"/>
        <v>0</v>
      </c>
      <c r="O707" s="23">
        <f>0.021*M707</f>
        <v>0</v>
      </c>
      <c r="P707" s="24">
        <f>0.00004*M707</f>
        <v>0</v>
      </c>
      <c r="Q707" s="25"/>
      <c r="R707" s="26"/>
      <c r="S707" s="26" t="s">
        <v>93</v>
      </c>
      <c r="T707" s="6" t="str">
        <f>HYPERLINK("https://kanzpp.ru/api/getInfo/image/22e4f024-37f1-11ed-a216-ac1f6b442185")</f>
        <v>https://kanzpp.ru/api/getInfo/image/22e4f024-37f1-11ed-a216-ac1f6b442185</v>
      </c>
      <c r="U707" s="6" t="s">
        <v>2319</v>
      </c>
      <c r="V707" s="33" t="s">
        <v>35</v>
      </c>
    </row>
    <row r="708" spans="2:22" ht="21" customHeight="1" outlineLevel="7" x14ac:dyDescent="0.2">
      <c r="B708" s="5">
        <v>574</v>
      </c>
      <c r="C708" s="6" t="s">
        <v>2320</v>
      </c>
      <c r="D708" s="6" t="s">
        <v>2321</v>
      </c>
      <c r="E708" s="7" t="s">
        <v>2322</v>
      </c>
      <c r="F708" s="13"/>
      <c r="G708" s="14"/>
      <c r="H708" s="17">
        <v>1440</v>
      </c>
      <c r="I708" s="15">
        <v>12</v>
      </c>
      <c r="J708" s="17">
        <v>1800</v>
      </c>
      <c r="K708" s="5">
        <v>24</v>
      </c>
      <c r="L708" s="16">
        <v>23.506666666666664</v>
      </c>
      <c r="M708" s="12"/>
      <c r="N708" s="14">
        <f t="shared" si="35"/>
        <v>0</v>
      </c>
      <c r="O708" s="23">
        <f>0.002*M708</f>
        <v>0</v>
      </c>
      <c r="P708" s="14">
        <v>0</v>
      </c>
      <c r="Q708" s="25"/>
      <c r="R708" s="26"/>
      <c r="S708" s="26" t="s">
        <v>93</v>
      </c>
      <c r="T708" s="6" t="str">
        <f>HYPERLINK("https://kanzpp.ru/api/getInfo/image/257ced9d-0b3b-11e9-a21b-ac1f6b442184")</f>
        <v>https://kanzpp.ru/api/getInfo/image/257ced9d-0b3b-11e9-a21b-ac1f6b442184</v>
      </c>
      <c r="U708" s="6" t="s">
        <v>2323</v>
      </c>
      <c r="V708" s="33" t="s">
        <v>35</v>
      </c>
    </row>
    <row r="709" spans="2:22" ht="22.95" customHeight="1" outlineLevel="6" x14ac:dyDescent="0.2">
      <c r="B709" s="84" t="s">
        <v>2324</v>
      </c>
      <c r="C709" s="84"/>
      <c r="D709" s="84"/>
      <c r="L709">
        <v>0</v>
      </c>
    </row>
    <row r="710" spans="2:22" ht="21" customHeight="1" outlineLevel="7" x14ac:dyDescent="0.2">
      <c r="B710" s="5">
        <v>575</v>
      </c>
      <c r="C710" s="6" t="s">
        <v>2325</v>
      </c>
      <c r="D710" s="6" t="s">
        <v>2326</v>
      </c>
      <c r="E710" s="7" t="s">
        <v>2327</v>
      </c>
      <c r="F710" s="13"/>
      <c r="G710" s="14"/>
      <c r="H710" s="15">
        <v>120</v>
      </c>
      <c r="I710" s="14"/>
      <c r="J710" s="15">
        <v>436</v>
      </c>
      <c r="K710" s="5">
        <v>3</v>
      </c>
      <c r="L710" s="16">
        <v>101.33333333333333</v>
      </c>
      <c r="M710" s="12"/>
      <c r="N710" s="14">
        <f t="shared" ref="N710:N720" si="36">L710*M710</f>
        <v>0</v>
      </c>
      <c r="O710" s="23">
        <f>0.111*M710</f>
        <v>0</v>
      </c>
      <c r="P710" s="31">
        <f>0.0005*M710</f>
        <v>0</v>
      </c>
      <c r="Q710" s="25"/>
      <c r="R710" s="26" t="s">
        <v>2328</v>
      </c>
      <c r="S710" s="26" t="s">
        <v>93</v>
      </c>
      <c r="T710" s="6" t="str">
        <f>HYPERLINK("https://kanzpp.ru/api/getInfo/image/a95d6521-7f78-11ec-a211-ac1f6b442185")</f>
        <v>https://kanzpp.ru/api/getInfo/image/a95d6521-7f78-11ec-a211-ac1f6b442185</v>
      </c>
      <c r="U710" s="6"/>
      <c r="V710" s="33" t="s">
        <v>35</v>
      </c>
    </row>
    <row r="711" spans="2:22" ht="21" customHeight="1" outlineLevel="7" x14ac:dyDescent="0.2">
      <c r="B711" s="5">
        <v>576</v>
      </c>
      <c r="C711" s="6" t="s">
        <v>2329</v>
      </c>
      <c r="D711" s="6" t="s">
        <v>2330</v>
      </c>
      <c r="E711" s="7" t="s">
        <v>2331</v>
      </c>
      <c r="F711" s="13"/>
      <c r="G711" s="14"/>
      <c r="H711" s="15">
        <v>120</v>
      </c>
      <c r="I711" s="15">
        <v>12</v>
      </c>
      <c r="J711" s="14" t="s">
        <v>144</v>
      </c>
      <c r="K711" s="5">
        <v>3</v>
      </c>
      <c r="L711" s="16">
        <v>173.32000000000002</v>
      </c>
      <c r="M711" s="12"/>
      <c r="N711" s="14">
        <f t="shared" si="36"/>
        <v>0</v>
      </c>
      <c r="O711" s="23">
        <f>0.134*M711</f>
        <v>0</v>
      </c>
      <c r="P711" s="24">
        <f>0.00043*M711</f>
        <v>0</v>
      </c>
      <c r="Q711" s="25"/>
      <c r="R711" s="26" t="s">
        <v>2332</v>
      </c>
      <c r="S711" s="26" t="s">
        <v>93</v>
      </c>
      <c r="T711" s="6" t="str">
        <f>HYPERLINK("https://kanzpp.ru/api/getInfo/image/f120e70f-7ff9-11ec-a211-ac1f6b442185")</f>
        <v>https://kanzpp.ru/api/getInfo/image/f120e70f-7ff9-11ec-a211-ac1f6b442185</v>
      </c>
      <c r="U711" s="6"/>
      <c r="V711" s="33" t="s">
        <v>35</v>
      </c>
    </row>
    <row r="712" spans="2:22" ht="21" customHeight="1" outlineLevel="7" x14ac:dyDescent="0.2">
      <c r="B712" s="5">
        <v>577</v>
      </c>
      <c r="C712" s="6" t="s">
        <v>2333</v>
      </c>
      <c r="D712" s="6" t="s">
        <v>2334</v>
      </c>
      <c r="E712" s="7" t="s">
        <v>2335</v>
      </c>
      <c r="F712" s="13"/>
      <c r="G712" s="14"/>
      <c r="H712" s="15">
        <v>120</v>
      </c>
      <c r="I712" s="14"/>
      <c r="J712" s="15">
        <v>538</v>
      </c>
      <c r="K712" s="5">
        <v>3</v>
      </c>
      <c r="L712" s="16">
        <v>101.33333333333333</v>
      </c>
      <c r="M712" s="12"/>
      <c r="N712" s="14">
        <f t="shared" si="36"/>
        <v>0</v>
      </c>
      <c r="O712" s="23">
        <f>0.106*M712</f>
        <v>0</v>
      </c>
      <c r="P712" s="24">
        <f>0.00044*M712</f>
        <v>0</v>
      </c>
      <c r="Q712" s="25"/>
      <c r="R712" s="26" t="s">
        <v>2336</v>
      </c>
      <c r="S712" s="26" t="s">
        <v>93</v>
      </c>
      <c r="T712" s="6" t="str">
        <f>HYPERLINK("https://kanzpp.ru/api/getInfo/image/2cd721fc-7ffb-11ec-a211-ac1f6b442185")</f>
        <v>https://kanzpp.ru/api/getInfo/image/2cd721fc-7ffb-11ec-a211-ac1f6b442185</v>
      </c>
      <c r="U712" s="6"/>
      <c r="V712" s="33" t="s">
        <v>35</v>
      </c>
    </row>
    <row r="713" spans="2:22" ht="21" customHeight="1" outlineLevel="7" x14ac:dyDescent="0.2">
      <c r="B713" s="5">
        <v>578</v>
      </c>
      <c r="C713" s="6" t="s">
        <v>2337</v>
      </c>
      <c r="D713" s="6" t="s">
        <v>2338</v>
      </c>
      <c r="E713" s="7" t="s">
        <v>2339</v>
      </c>
      <c r="F713" s="13"/>
      <c r="G713" s="14"/>
      <c r="H713" s="15">
        <v>120</v>
      </c>
      <c r="I713" s="15">
        <v>6</v>
      </c>
      <c r="J713" s="17">
        <v>2686</v>
      </c>
      <c r="K713" s="5">
        <v>2</v>
      </c>
      <c r="L713" s="16">
        <v>172</v>
      </c>
      <c r="M713" s="12"/>
      <c r="N713" s="14">
        <f t="shared" si="36"/>
        <v>0</v>
      </c>
      <c r="O713" s="23">
        <f>0.187*M713</f>
        <v>0</v>
      </c>
      <c r="P713" s="24">
        <f>0.00083*M713</f>
        <v>0</v>
      </c>
      <c r="Q713" s="25"/>
      <c r="R713" s="26" t="s">
        <v>2340</v>
      </c>
      <c r="S713" s="26" t="s">
        <v>93</v>
      </c>
      <c r="T713" s="6" t="str">
        <f>HYPERLINK("https://kanzpp.ru/api/getInfo/image/d00fc435-7ffb-11ec-a211-ac1f6b442185")</f>
        <v>https://kanzpp.ru/api/getInfo/image/d00fc435-7ffb-11ec-a211-ac1f6b442185</v>
      </c>
      <c r="U713" s="6"/>
      <c r="V713" s="33" t="s">
        <v>35</v>
      </c>
    </row>
    <row r="714" spans="2:22" ht="21" customHeight="1" outlineLevel="7" x14ac:dyDescent="0.2">
      <c r="B714" s="5">
        <v>579</v>
      </c>
      <c r="C714" s="6" t="s">
        <v>2341</v>
      </c>
      <c r="D714" s="6" t="s">
        <v>2342</v>
      </c>
      <c r="E714" s="7" t="s">
        <v>2343</v>
      </c>
      <c r="F714" s="13"/>
      <c r="G714" s="14"/>
      <c r="H714" s="15">
        <v>120</v>
      </c>
      <c r="I714" s="14"/>
      <c r="J714" s="17">
        <v>2237</v>
      </c>
      <c r="K714" s="5">
        <v>2</v>
      </c>
      <c r="L714" s="16">
        <v>145.33333333333334</v>
      </c>
      <c r="M714" s="12"/>
      <c r="N714" s="14">
        <f t="shared" si="36"/>
        <v>0</v>
      </c>
      <c r="O714" s="23">
        <f>0.141*M714</f>
        <v>0</v>
      </c>
      <c r="P714" s="24">
        <f>0.00072*M714</f>
        <v>0</v>
      </c>
      <c r="Q714" s="25"/>
      <c r="R714" s="26" t="s">
        <v>2344</v>
      </c>
      <c r="S714" s="26" t="s">
        <v>93</v>
      </c>
      <c r="T714" s="6" t="str">
        <f>HYPERLINK("https://kanzpp.ru/api/getInfo/image/dfbbaafd-7ffc-11ec-a211-ac1f6b442185")</f>
        <v>https://kanzpp.ru/api/getInfo/image/dfbbaafd-7ffc-11ec-a211-ac1f6b442185</v>
      </c>
      <c r="U714" s="6"/>
      <c r="V714" s="33" t="s">
        <v>35</v>
      </c>
    </row>
    <row r="715" spans="2:22" ht="21" customHeight="1" outlineLevel="7" x14ac:dyDescent="0.2">
      <c r="B715" s="5">
        <v>580</v>
      </c>
      <c r="C715" s="6" t="s">
        <v>2345</v>
      </c>
      <c r="D715" s="6" t="s">
        <v>2346</v>
      </c>
      <c r="E715" s="7" t="s">
        <v>2347</v>
      </c>
      <c r="F715" s="13"/>
      <c r="G715" s="14"/>
      <c r="H715" s="15">
        <v>120</v>
      </c>
      <c r="I715" s="14"/>
      <c r="J715" s="17">
        <v>1559</v>
      </c>
      <c r="K715" s="5">
        <v>2</v>
      </c>
      <c r="L715" s="16">
        <v>145.33333333333334</v>
      </c>
      <c r="M715" s="12"/>
      <c r="N715" s="14">
        <f t="shared" si="36"/>
        <v>0</v>
      </c>
      <c r="O715" s="23">
        <f>0.131*M715</f>
        <v>0</v>
      </c>
      <c r="P715" s="24">
        <f>0.00079*M715</f>
        <v>0</v>
      </c>
      <c r="Q715" s="25"/>
      <c r="R715" s="26" t="s">
        <v>2348</v>
      </c>
      <c r="S715" s="26" t="s">
        <v>93</v>
      </c>
      <c r="T715" s="6" t="str">
        <f>HYPERLINK("https://kanzpp.ru/api/getInfo/image/61c5e52c-ddbf-11ec-a213-ac1f6b442185")</f>
        <v>https://kanzpp.ru/api/getInfo/image/61c5e52c-ddbf-11ec-a213-ac1f6b442185</v>
      </c>
      <c r="U715" s="6"/>
      <c r="V715" s="33" t="s">
        <v>35</v>
      </c>
    </row>
    <row r="716" spans="2:22" ht="21" customHeight="1" outlineLevel="7" x14ac:dyDescent="0.2">
      <c r="B716" s="5">
        <v>581</v>
      </c>
      <c r="C716" s="6" t="s">
        <v>2349</v>
      </c>
      <c r="D716" s="6" t="s">
        <v>2350</v>
      </c>
      <c r="E716" s="7" t="s">
        <v>2351</v>
      </c>
      <c r="F716" s="13"/>
      <c r="G716" s="14"/>
      <c r="H716" s="15">
        <v>120</v>
      </c>
      <c r="I716" s="14"/>
      <c r="J716" s="17">
        <v>1829</v>
      </c>
      <c r="K716" s="5">
        <v>2</v>
      </c>
      <c r="L716" s="16">
        <v>145.33333333333334</v>
      </c>
      <c r="M716" s="12"/>
      <c r="N716" s="14">
        <f t="shared" si="36"/>
        <v>0</v>
      </c>
      <c r="O716" s="23">
        <f>0.135*M716</f>
        <v>0</v>
      </c>
      <c r="P716" s="24">
        <f>0.00072*M716</f>
        <v>0</v>
      </c>
      <c r="Q716" s="25"/>
      <c r="R716" s="26" t="s">
        <v>2352</v>
      </c>
      <c r="S716" s="26" t="s">
        <v>93</v>
      </c>
      <c r="T716" s="6" t="str">
        <f>HYPERLINK("https://kanzpp.ru/api/getInfo/image/fc466fa4-ddbf-11ec-a213-ac1f6b442185")</f>
        <v>https://kanzpp.ru/api/getInfo/image/fc466fa4-ddbf-11ec-a213-ac1f6b442185</v>
      </c>
      <c r="U716" s="6"/>
      <c r="V716" s="33" t="s">
        <v>35</v>
      </c>
    </row>
    <row r="717" spans="2:22" ht="21" customHeight="1" outlineLevel="7" x14ac:dyDescent="0.2">
      <c r="B717" s="5">
        <v>582</v>
      </c>
      <c r="C717" s="6" t="s">
        <v>2353</v>
      </c>
      <c r="D717" s="6" t="s">
        <v>2354</v>
      </c>
      <c r="E717" s="7" t="s">
        <v>2355</v>
      </c>
      <c r="F717" s="13"/>
      <c r="G717" s="14"/>
      <c r="H717" s="15">
        <v>72</v>
      </c>
      <c r="I717" s="15">
        <v>36</v>
      </c>
      <c r="J717" s="14" t="s">
        <v>144</v>
      </c>
      <c r="K717" s="5">
        <v>1</v>
      </c>
      <c r="L717" s="16">
        <v>398.66666666666669</v>
      </c>
      <c r="M717" s="12"/>
      <c r="N717" s="14">
        <f t="shared" si="36"/>
        <v>0</v>
      </c>
      <c r="O717" s="23">
        <f>0.186*M717</f>
        <v>0</v>
      </c>
      <c r="P717" s="24">
        <f>0.00061*M717</f>
        <v>0</v>
      </c>
      <c r="Q717" s="25"/>
      <c r="R717" s="26" t="s">
        <v>2356</v>
      </c>
      <c r="S717" s="26" t="s">
        <v>93</v>
      </c>
      <c r="T717" s="6" t="str">
        <f>HYPERLINK("https://kanzpp.ru/api/getInfo/image/2ca6404f-6992-11ed-a22a-00155d82e902")</f>
        <v>https://kanzpp.ru/api/getInfo/image/2ca6404f-6992-11ed-a22a-00155d82e902</v>
      </c>
      <c r="U717" s="6"/>
      <c r="V717" s="33" t="s">
        <v>35</v>
      </c>
    </row>
    <row r="718" spans="2:22" ht="21" customHeight="1" outlineLevel="7" x14ac:dyDescent="0.2">
      <c r="B718" s="5">
        <v>583</v>
      </c>
      <c r="C718" s="6" t="s">
        <v>2357</v>
      </c>
      <c r="D718" s="6" t="s">
        <v>2358</v>
      </c>
      <c r="E718" s="7" t="s">
        <v>2359</v>
      </c>
      <c r="F718" s="13"/>
      <c r="G718" s="14"/>
      <c r="H718" s="15">
        <v>72</v>
      </c>
      <c r="I718" s="15">
        <v>36</v>
      </c>
      <c r="J718" s="14" t="s">
        <v>144</v>
      </c>
      <c r="K718" s="5">
        <v>1</v>
      </c>
      <c r="L718" s="16">
        <v>398.66666666666669</v>
      </c>
      <c r="M718" s="12"/>
      <c r="N718" s="14">
        <f t="shared" si="36"/>
        <v>0</v>
      </c>
      <c r="O718" s="23">
        <f>0.186*M718</f>
        <v>0</v>
      </c>
      <c r="P718" s="24">
        <f>0.00063*M718</f>
        <v>0</v>
      </c>
      <c r="Q718" s="25"/>
      <c r="R718" s="26" t="s">
        <v>2360</v>
      </c>
      <c r="S718" s="26" t="s">
        <v>93</v>
      </c>
      <c r="T718" s="6" t="str">
        <f>HYPERLINK("https://kanzpp.ru/api/getInfo/image/7ba5764b-6992-11ed-a22a-00155d82e902")</f>
        <v>https://kanzpp.ru/api/getInfo/image/7ba5764b-6992-11ed-a22a-00155d82e902</v>
      </c>
      <c r="U718" s="6"/>
      <c r="V718" s="33" t="s">
        <v>35</v>
      </c>
    </row>
    <row r="719" spans="2:22" ht="21" customHeight="1" outlineLevel="7" x14ac:dyDescent="0.2">
      <c r="B719" s="5">
        <v>584</v>
      </c>
      <c r="C719" s="6" t="s">
        <v>2361</v>
      </c>
      <c r="D719" s="6" t="s">
        <v>2362</v>
      </c>
      <c r="E719" s="7" t="s">
        <v>2363</v>
      </c>
      <c r="F719" s="13"/>
      <c r="G719" s="14"/>
      <c r="H719" s="15">
        <v>72</v>
      </c>
      <c r="I719" s="15">
        <v>12</v>
      </c>
      <c r="J719" s="14" t="s">
        <v>144</v>
      </c>
      <c r="K719" s="5">
        <v>1</v>
      </c>
      <c r="L719" s="16">
        <v>265.33333333333331</v>
      </c>
      <c r="M719" s="12"/>
      <c r="N719" s="14">
        <f t="shared" si="36"/>
        <v>0</v>
      </c>
      <c r="O719" s="28">
        <f>0.15*M719</f>
        <v>0</v>
      </c>
      <c r="P719" s="24">
        <f>0.00045*M719</f>
        <v>0</v>
      </c>
      <c r="Q719" s="25"/>
      <c r="R719" s="26" t="s">
        <v>2364</v>
      </c>
      <c r="S719" s="26" t="s">
        <v>93</v>
      </c>
      <c r="T719" s="6" t="str">
        <f>HYPERLINK("https://kanzpp.ru/api/getInfo/image/eadbef66-4438-11eb-a25e-ac1f6b442184")</f>
        <v>https://kanzpp.ru/api/getInfo/image/eadbef66-4438-11eb-a25e-ac1f6b442184</v>
      </c>
      <c r="U719" s="6"/>
      <c r="V719" s="33" t="s">
        <v>35</v>
      </c>
    </row>
    <row r="720" spans="2:22" ht="21" customHeight="1" outlineLevel="7" x14ac:dyDescent="0.2">
      <c r="B720" s="5">
        <v>585</v>
      </c>
      <c r="C720" s="6" t="s">
        <v>2365</v>
      </c>
      <c r="D720" s="6" t="s">
        <v>2366</v>
      </c>
      <c r="E720" s="7" t="s">
        <v>2367</v>
      </c>
      <c r="F720" s="13"/>
      <c r="G720" s="14"/>
      <c r="H720" s="15">
        <v>72</v>
      </c>
      <c r="I720" s="15">
        <v>6</v>
      </c>
      <c r="J720" s="14" t="s">
        <v>144</v>
      </c>
      <c r="K720" s="5">
        <v>1</v>
      </c>
      <c r="L720" s="16">
        <v>265.33333333333331</v>
      </c>
      <c r="M720" s="12"/>
      <c r="N720" s="14">
        <f t="shared" si="36"/>
        <v>0</v>
      </c>
      <c r="O720" s="28">
        <f>0.16*M720</f>
        <v>0</v>
      </c>
      <c r="P720" s="24">
        <f>0.00042*M720</f>
        <v>0</v>
      </c>
      <c r="Q720" s="25"/>
      <c r="R720" s="26" t="s">
        <v>2368</v>
      </c>
      <c r="S720" s="26" t="s">
        <v>93</v>
      </c>
      <c r="T720" s="6" t="str">
        <f>HYPERLINK("https://kanzpp.ru/api/getInfo/image/d7e3967e-0b3e-11e9-a21b-ac1f6b442184")</f>
        <v>https://kanzpp.ru/api/getInfo/image/d7e3967e-0b3e-11e9-a21b-ac1f6b442184</v>
      </c>
      <c r="U720" s="6"/>
      <c r="V720" s="33" t="s">
        <v>35</v>
      </c>
    </row>
    <row r="721" spans="2:22" ht="22.95" customHeight="1" outlineLevel="4" x14ac:dyDescent="0.2">
      <c r="B721" s="82" t="s">
        <v>2369</v>
      </c>
      <c r="C721" s="82"/>
      <c r="D721" s="82"/>
      <c r="L721">
        <v>0</v>
      </c>
    </row>
    <row r="722" spans="2:22" ht="22.95" customHeight="1" outlineLevel="5" x14ac:dyDescent="0.2">
      <c r="B722" s="83" t="s">
        <v>2370</v>
      </c>
      <c r="C722" s="83"/>
      <c r="D722" s="83"/>
      <c r="L722">
        <v>0</v>
      </c>
    </row>
    <row r="723" spans="2:22" ht="22.95" customHeight="1" outlineLevel="6" x14ac:dyDescent="0.2">
      <c r="B723" s="84" t="s">
        <v>2371</v>
      </c>
      <c r="C723" s="84"/>
      <c r="D723" s="84"/>
      <c r="L723">
        <v>0</v>
      </c>
    </row>
    <row r="724" spans="2:22" ht="21" customHeight="1" outlineLevel="7" x14ac:dyDescent="0.2">
      <c r="B724" s="5">
        <v>586</v>
      </c>
      <c r="C724" s="6" t="s">
        <v>2372</v>
      </c>
      <c r="D724" s="6" t="s">
        <v>2373</v>
      </c>
      <c r="E724" s="7" t="s">
        <v>2374</v>
      </c>
      <c r="F724" s="13"/>
      <c r="G724" s="14"/>
      <c r="H724" s="15">
        <v>96</v>
      </c>
      <c r="I724" s="14"/>
      <c r="J724" s="14" t="s">
        <v>144</v>
      </c>
      <c r="K724" s="5">
        <v>3</v>
      </c>
      <c r="L724" s="16">
        <v>132</v>
      </c>
      <c r="M724" s="12"/>
      <c r="N724" s="14">
        <f>L724*M724</f>
        <v>0</v>
      </c>
      <c r="O724" s="23">
        <f>0.148*M724</f>
        <v>0</v>
      </c>
      <c r="P724" s="24">
        <f>0.00115*M724</f>
        <v>0</v>
      </c>
      <c r="Q724" s="25"/>
      <c r="R724" s="26" t="s">
        <v>2375</v>
      </c>
      <c r="S724" s="26" t="s">
        <v>93</v>
      </c>
      <c r="T724" s="6" t="str">
        <f>HYPERLINK("https://kanzpp.ru/api/getInfo/image/93c480d9-0b42-11e9-a21b-ac1f6b442184")</f>
        <v>https://kanzpp.ru/api/getInfo/image/93c480d9-0b42-11e9-a21b-ac1f6b442184</v>
      </c>
      <c r="U724" s="6"/>
      <c r="V724" s="33" t="s">
        <v>35</v>
      </c>
    </row>
    <row r="725" spans="2:22" ht="21" customHeight="1" outlineLevel="7" x14ac:dyDescent="0.2">
      <c r="B725" s="5">
        <v>587</v>
      </c>
      <c r="C725" s="6" t="s">
        <v>2376</v>
      </c>
      <c r="D725" s="6" t="s">
        <v>2377</v>
      </c>
      <c r="E725" s="7" t="s">
        <v>2378</v>
      </c>
      <c r="F725" s="13"/>
      <c r="G725" s="14"/>
      <c r="H725" s="15">
        <v>96</v>
      </c>
      <c r="I725" s="15">
        <v>96</v>
      </c>
      <c r="J725" s="14" t="s">
        <v>144</v>
      </c>
      <c r="K725" s="5">
        <v>2</v>
      </c>
      <c r="L725" s="16">
        <v>132</v>
      </c>
      <c r="M725" s="12"/>
      <c r="N725" s="14">
        <f>L725*M725</f>
        <v>0</v>
      </c>
      <c r="O725" s="23">
        <f>0.134*M725</f>
        <v>0</v>
      </c>
      <c r="P725" s="31">
        <f>0.0011*M725</f>
        <v>0</v>
      </c>
      <c r="Q725" s="25"/>
      <c r="R725" s="26" t="s">
        <v>2379</v>
      </c>
      <c r="S725" s="26" t="s">
        <v>93</v>
      </c>
      <c r="T725" s="6" t="str">
        <f>HYPERLINK("https://kanzpp.ru/api/getInfo/image/f4b2a13d-aa2d-11e9-a22d-ac1f6b442184")</f>
        <v>https://kanzpp.ru/api/getInfo/image/f4b2a13d-aa2d-11e9-a22d-ac1f6b442184</v>
      </c>
      <c r="U725" s="6"/>
      <c r="V725" s="33" t="s">
        <v>35</v>
      </c>
    </row>
    <row r="726" spans="2:22" ht="22.95" customHeight="1" outlineLevel="5" x14ac:dyDescent="0.2">
      <c r="B726" s="83" t="s">
        <v>2380</v>
      </c>
      <c r="C726" s="83"/>
      <c r="D726" s="83"/>
      <c r="L726">
        <v>0</v>
      </c>
    </row>
    <row r="727" spans="2:22" ht="21" customHeight="1" outlineLevel="6" x14ac:dyDescent="0.2">
      <c r="B727" s="5">
        <v>588</v>
      </c>
      <c r="C727" s="6" t="s">
        <v>2381</v>
      </c>
      <c r="D727" s="6" t="s">
        <v>2382</v>
      </c>
      <c r="E727" s="7" t="s">
        <v>2383</v>
      </c>
      <c r="F727" s="13"/>
      <c r="G727" s="14"/>
      <c r="H727" s="15">
        <v>96</v>
      </c>
      <c r="I727" s="14"/>
      <c r="J727" s="14" t="s">
        <v>144</v>
      </c>
      <c r="K727" s="5">
        <v>2</v>
      </c>
      <c r="L727" s="16">
        <v>132</v>
      </c>
      <c r="M727" s="12"/>
      <c r="N727" s="14">
        <f t="shared" ref="N727:N733" si="37">L727*M727</f>
        <v>0</v>
      </c>
      <c r="O727" s="28">
        <f>0.14*M727</f>
        <v>0</v>
      </c>
      <c r="P727" s="24">
        <f>0.00094*M727</f>
        <v>0</v>
      </c>
      <c r="Q727" s="25"/>
      <c r="R727" s="26" t="s">
        <v>2384</v>
      </c>
      <c r="S727" s="26" t="s">
        <v>93</v>
      </c>
      <c r="T727" s="6" t="str">
        <f>HYPERLINK("https://kanzpp.ru/api/getInfo/image/0871d572-f8a8-11ea-a254-ac1f6b442184")</f>
        <v>https://kanzpp.ru/api/getInfo/image/0871d572-f8a8-11ea-a254-ac1f6b442184</v>
      </c>
      <c r="U727" s="6"/>
      <c r="V727" s="33" t="s">
        <v>35</v>
      </c>
    </row>
    <row r="728" spans="2:22" ht="21" customHeight="1" outlineLevel="6" x14ac:dyDescent="0.2">
      <c r="B728" s="5">
        <v>589</v>
      </c>
      <c r="C728" s="6" t="s">
        <v>2385</v>
      </c>
      <c r="D728" s="6" t="s">
        <v>2386</v>
      </c>
      <c r="E728" s="7" t="s">
        <v>2387</v>
      </c>
      <c r="F728" s="13"/>
      <c r="G728" s="14"/>
      <c r="H728" s="15">
        <v>96</v>
      </c>
      <c r="I728" s="14"/>
      <c r="J728" s="14" t="s">
        <v>144</v>
      </c>
      <c r="K728" s="5">
        <v>1</v>
      </c>
      <c r="L728" s="16">
        <v>132</v>
      </c>
      <c r="M728" s="12"/>
      <c r="N728" s="14">
        <f t="shared" si="37"/>
        <v>0</v>
      </c>
      <c r="O728" s="28">
        <f>0.18*M728</f>
        <v>0</v>
      </c>
      <c r="P728" s="24">
        <f>0.00161*M728</f>
        <v>0</v>
      </c>
      <c r="Q728" s="25"/>
      <c r="R728" s="26" t="s">
        <v>2388</v>
      </c>
      <c r="S728" s="26" t="s">
        <v>93</v>
      </c>
      <c r="T728" s="6" t="str">
        <f>HYPERLINK("https://kanzpp.ru/api/getInfo/image/9f4c725a-f8a8-11ea-a254-ac1f6b442184")</f>
        <v>https://kanzpp.ru/api/getInfo/image/9f4c725a-f8a8-11ea-a254-ac1f6b442184</v>
      </c>
      <c r="U728" s="6"/>
      <c r="V728" s="33" t="s">
        <v>35</v>
      </c>
    </row>
    <row r="729" spans="2:22" ht="21" customHeight="1" outlineLevel="6" x14ac:dyDescent="0.2">
      <c r="B729" s="5">
        <v>590</v>
      </c>
      <c r="C729" s="6" t="s">
        <v>2389</v>
      </c>
      <c r="D729" s="6" t="s">
        <v>2390</v>
      </c>
      <c r="E729" s="7" t="s">
        <v>2391</v>
      </c>
      <c r="F729" s="13"/>
      <c r="G729" s="14"/>
      <c r="H729" s="15">
        <v>120</v>
      </c>
      <c r="I729" s="14"/>
      <c r="J729" s="15">
        <v>72</v>
      </c>
      <c r="K729" s="5">
        <v>2</v>
      </c>
      <c r="L729" s="16">
        <v>132</v>
      </c>
      <c r="M729" s="12"/>
      <c r="N729" s="14">
        <f t="shared" si="37"/>
        <v>0</v>
      </c>
      <c r="O729" s="14">
        <v>0</v>
      </c>
      <c r="P729" s="14">
        <v>0</v>
      </c>
      <c r="Q729" s="25"/>
      <c r="R729" s="26" t="s">
        <v>2392</v>
      </c>
      <c r="S729" s="26" t="s">
        <v>93</v>
      </c>
      <c r="T729" s="6" t="str">
        <f>HYPERLINK("https://kanzpp.ru/api/getInfo/image/dc79aeae-97b1-11eb-a200-ac1f6b442185")</f>
        <v>https://kanzpp.ru/api/getInfo/image/dc79aeae-97b1-11eb-a200-ac1f6b442185</v>
      </c>
      <c r="U729" s="6"/>
      <c r="V729" s="33" t="s">
        <v>35</v>
      </c>
    </row>
    <row r="730" spans="2:22" ht="21" customHeight="1" outlineLevel="6" x14ac:dyDescent="0.2">
      <c r="B730" s="5">
        <v>591</v>
      </c>
      <c r="C730" s="6" t="s">
        <v>2393</v>
      </c>
      <c r="D730" s="6" t="s">
        <v>2394</v>
      </c>
      <c r="E730" s="7" t="s">
        <v>2395</v>
      </c>
      <c r="F730" s="13"/>
      <c r="G730" s="14"/>
      <c r="H730" s="15">
        <v>120</v>
      </c>
      <c r="I730" s="14"/>
      <c r="J730" s="15">
        <v>147</v>
      </c>
      <c r="K730" s="5">
        <v>2</v>
      </c>
      <c r="L730" s="16">
        <v>132</v>
      </c>
      <c r="M730" s="12"/>
      <c r="N730" s="14">
        <f t="shared" si="37"/>
        <v>0</v>
      </c>
      <c r="O730" s="14">
        <v>0</v>
      </c>
      <c r="P730" s="14">
        <v>0</v>
      </c>
      <c r="Q730" s="25"/>
      <c r="R730" s="26" t="s">
        <v>2396</v>
      </c>
      <c r="S730" s="26" t="s">
        <v>93</v>
      </c>
      <c r="T730" s="6" t="str">
        <f>HYPERLINK("https://kanzpp.ru/api/getInfo/image/9d43d473-97b1-11eb-a200-ac1f6b442185")</f>
        <v>https://kanzpp.ru/api/getInfo/image/9d43d473-97b1-11eb-a200-ac1f6b442185</v>
      </c>
      <c r="U730" s="6"/>
      <c r="V730" s="33" t="s">
        <v>35</v>
      </c>
    </row>
    <row r="731" spans="2:22" ht="21" customHeight="1" outlineLevel="6" x14ac:dyDescent="0.2">
      <c r="B731" s="5">
        <v>592</v>
      </c>
      <c r="C731" s="6" t="s">
        <v>2397</v>
      </c>
      <c r="D731" s="6" t="s">
        <v>2398</v>
      </c>
      <c r="E731" s="7" t="s">
        <v>2399</v>
      </c>
      <c r="F731" s="13"/>
      <c r="G731" s="14"/>
      <c r="H731" s="15">
        <v>120</v>
      </c>
      <c r="I731" s="14"/>
      <c r="J731" s="15">
        <v>46</v>
      </c>
      <c r="K731" s="5">
        <v>2</v>
      </c>
      <c r="L731" s="16">
        <v>132</v>
      </c>
      <c r="M731" s="12"/>
      <c r="N731" s="14">
        <f t="shared" si="37"/>
        <v>0</v>
      </c>
      <c r="O731" s="14">
        <v>0</v>
      </c>
      <c r="P731" s="14">
        <v>0</v>
      </c>
      <c r="Q731" s="25"/>
      <c r="R731" s="26" t="s">
        <v>2400</v>
      </c>
      <c r="S731" s="26" t="s">
        <v>93</v>
      </c>
      <c r="T731" s="6" t="str">
        <f>HYPERLINK("https://kanzpp.ru/api/getInfo/image/5b217b1f-97b1-11eb-a200-ac1f6b442185")</f>
        <v>https://kanzpp.ru/api/getInfo/image/5b217b1f-97b1-11eb-a200-ac1f6b442185</v>
      </c>
      <c r="U731" s="6"/>
      <c r="V731" s="33" t="s">
        <v>35</v>
      </c>
    </row>
    <row r="732" spans="2:22" ht="21" customHeight="1" outlineLevel="6" x14ac:dyDescent="0.2">
      <c r="B732" s="5">
        <v>593</v>
      </c>
      <c r="C732" s="6" t="s">
        <v>2401</v>
      </c>
      <c r="D732" s="6" t="s">
        <v>2402</v>
      </c>
      <c r="E732" s="7" t="s">
        <v>2403</v>
      </c>
      <c r="F732" s="13"/>
      <c r="G732" s="14"/>
      <c r="H732" s="15">
        <v>96</v>
      </c>
      <c r="I732" s="14"/>
      <c r="J732" s="14" t="s">
        <v>144</v>
      </c>
      <c r="K732" s="5">
        <v>1</v>
      </c>
      <c r="L732" s="16">
        <v>132</v>
      </c>
      <c r="M732" s="12"/>
      <c r="N732" s="14">
        <f t="shared" si="37"/>
        <v>0</v>
      </c>
      <c r="O732" s="28">
        <f>0.14*M732</f>
        <v>0</v>
      </c>
      <c r="P732" s="24">
        <f>0.00094*M732</f>
        <v>0</v>
      </c>
      <c r="Q732" s="25"/>
      <c r="R732" s="26" t="s">
        <v>2404</v>
      </c>
      <c r="S732" s="26" t="s">
        <v>93</v>
      </c>
      <c r="T732" s="6" t="str">
        <f>HYPERLINK("https://kanzpp.ru/api/getInfo/image/a0ff7300-f8a9-11ea-a254-ac1f6b442184")</f>
        <v>https://kanzpp.ru/api/getInfo/image/a0ff7300-f8a9-11ea-a254-ac1f6b442184</v>
      </c>
      <c r="U732" s="6"/>
      <c r="V732" s="33" t="s">
        <v>35</v>
      </c>
    </row>
    <row r="733" spans="2:22" ht="21" customHeight="1" outlineLevel="6" x14ac:dyDescent="0.2">
      <c r="B733" s="5">
        <v>594</v>
      </c>
      <c r="C733" s="6" t="s">
        <v>2405</v>
      </c>
      <c r="D733" s="6" t="s">
        <v>2406</v>
      </c>
      <c r="E733" s="7" t="s">
        <v>2407</v>
      </c>
      <c r="F733" s="13"/>
      <c r="G733" s="14"/>
      <c r="H733" s="15">
        <v>128</v>
      </c>
      <c r="I733" s="14"/>
      <c r="J733" s="14" t="s">
        <v>144</v>
      </c>
      <c r="K733" s="5">
        <v>3</v>
      </c>
      <c r="L733" s="16">
        <v>132</v>
      </c>
      <c r="M733" s="12"/>
      <c r="N733" s="14">
        <f t="shared" si="37"/>
        <v>0</v>
      </c>
      <c r="O733" s="28">
        <f>0.17*M733</f>
        <v>0</v>
      </c>
      <c r="P733" s="24">
        <f>0.00124*M733</f>
        <v>0</v>
      </c>
      <c r="Q733" s="25"/>
      <c r="R733" s="26" t="s">
        <v>2408</v>
      </c>
      <c r="S733" s="26" t="s">
        <v>93</v>
      </c>
      <c r="T733" s="6" t="str">
        <f>HYPERLINK("https://kanzpp.ru/api/getInfo/image/4d271a4b-f8ab-11ea-a254-ac1f6b442184")</f>
        <v>https://kanzpp.ru/api/getInfo/image/4d271a4b-f8ab-11ea-a254-ac1f6b442184</v>
      </c>
      <c r="U733" s="6"/>
      <c r="V733" s="33" t="s">
        <v>35</v>
      </c>
    </row>
    <row r="734" spans="2:22" ht="22.95" customHeight="1" outlineLevel="3" x14ac:dyDescent="0.2">
      <c r="B734" s="81" t="s">
        <v>2409</v>
      </c>
      <c r="C734" s="81"/>
      <c r="D734" s="81"/>
      <c r="L734">
        <v>0</v>
      </c>
    </row>
    <row r="735" spans="2:22" ht="22.95" customHeight="1" outlineLevel="4" x14ac:dyDescent="0.2">
      <c r="B735" s="82" t="s">
        <v>2410</v>
      </c>
      <c r="C735" s="82"/>
      <c r="D735" s="82"/>
      <c r="L735">
        <v>0</v>
      </c>
    </row>
    <row r="736" spans="2:22" ht="21" customHeight="1" outlineLevel="5" x14ac:dyDescent="0.2">
      <c r="B736" s="5">
        <v>595</v>
      </c>
      <c r="C736" s="6" t="s">
        <v>2411</v>
      </c>
      <c r="D736" s="6" t="s">
        <v>2412</v>
      </c>
      <c r="E736" s="7" t="s">
        <v>2413</v>
      </c>
      <c r="F736" s="13"/>
      <c r="G736" s="14"/>
      <c r="H736" s="15">
        <v>240</v>
      </c>
      <c r="I736" s="15">
        <v>20</v>
      </c>
      <c r="J736" s="14" t="s">
        <v>144</v>
      </c>
      <c r="K736" s="5">
        <v>5</v>
      </c>
      <c r="L736" s="16">
        <v>126</v>
      </c>
      <c r="M736" s="12"/>
      <c r="N736" s="14">
        <f>L736*M736</f>
        <v>0</v>
      </c>
      <c r="O736" s="28">
        <f>0.06*M736</f>
        <v>0</v>
      </c>
      <c r="P736" s="24">
        <f>0.00013*M736</f>
        <v>0</v>
      </c>
      <c r="Q736" s="25"/>
      <c r="R736" s="26" t="s">
        <v>2414</v>
      </c>
      <c r="S736" s="26" t="s">
        <v>93</v>
      </c>
      <c r="T736" s="6" t="str">
        <f>HYPERLINK("https://kanzpp.ru/api/getInfo/image/ff217341-25af-11eb-a25d-ac1f6b442184")</f>
        <v>https://kanzpp.ru/api/getInfo/image/ff217341-25af-11eb-a25d-ac1f6b442184</v>
      </c>
      <c r="U736" s="6"/>
      <c r="V736" s="33" t="s">
        <v>35</v>
      </c>
    </row>
    <row r="737" spans="2:22" ht="21" customHeight="1" outlineLevel="5" x14ac:dyDescent="0.2">
      <c r="B737" s="5">
        <v>596</v>
      </c>
      <c r="C737" s="6" t="s">
        <v>2415</v>
      </c>
      <c r="D737" s="6" t="s">
        <v>2416</v>
      </c>
      <c r="E737" s="7" t="s">
        <v>2417</v>
      </c>
      <c r="F737" s="13"/>
      <c r="G737" s="14"/>
      <c r="H737" s="15">
        <v>120</v>
      </c>
      <c r="I737" s="15">
        <v>10</v>
      </c>
      <c r="J737" s="14" t="s">
        <v>144</v>
      </c>
      <c r="K737" s="5">
        <v>5</v>
      </c>
      <c r="L737" s="16">
        <v>126</v>
      </c>
      <c r="M737" s="12"/>
      <c r="N737" s="14">
        <f>L737*M737</f>
        <v>0</v>
      </c>
      <c r="O737" s="23">
        <f>0.074*M737</f>
        <v>0</v>
      </c>
      <c r="P737" s="24">
        <f>0.00034*M737</f>
        <v>0</v>
      </c>
      <c r="Q737" s="25"/>
      <c r="R737" s="26" t="s">
        <v>2418</v>
      </c>
      <c r="S737" s="26" t="s">
        <v>93</v>
      </c>
      <c r="T737" s="6" t="str">
        <f>HYPERLINK("https://kanzpp.ru/api/getInfo/image/5303a1c0-25b0-11eb-a25d-ac1f6b442184")</f>
        <v>https://kanzpp.ru/api/getInfo/image/5303a1c0-25b0-11eb-a25d-ac1f6b442184</v>
      </c>
      <c r="U737" s="6"/>
      <c r="V737" s="33" t="s">
        <v>35</v>
      </c>
    </row>
    <row r="738" spans="2:22" ht="21" customHeight="1" outlineLevel="5" x14ac:dyDescent="0.2">
      <c r="B738" s="5">
        <v>597</v>
      </c>
      <c r="C738" s="6" t="s">
        <v>2419</v>
      </c>
      <c r="D738" s="6" t="s">
        <v>2420</v>
      </c>
      <c r="E738" s="7" t="s">
        <v>2417</v>
      </c>
      <c r="F738" s="13"/>
      <c r="G738" s="14"/>
      <c r="H738" s="15">
        <v>60</v>
      </c>
      <c r="I738" s="14"/>
      <c r="J738" s="15">
        <v>594</v>
      </c>
      <c r="K738" s="5">
        <v>5</v>
      </c>
      <c r="L738" s="16">
        <v>126</v>
      </c>
      <c r="M738" s="12"/>
      <c r="N738" s="14">
        <f>L738*M738</f>
        <v>0</v>
      </c>
      <c r="O738" s="28">
        <f>0.07*M738</f>
        <v>0</v>
      </c>
      <c r="P738" s="24">
        <f>0.00025*M738</f>
        <v>0</v>
      </c>
      <c r="Q738" s="25"/>
      <c r="R738" s="26"/>
      <c r="S738" s="26" t="s">
        <v>93</v>
      </c>
      <c r="T738" s="6" t="str">
        <f>HYPERLINK("https://kanzpp.ru/api/getInfo/image/e0493ce0-a3c4-11ee-a258-00155d82e908")</f>
        <v>https://kanzpp.ru/api/getInfo/image/e0493ce0-a3c4-11ee-a258-00155d82e908</v>
      </c>
      <c r="U738" s="6" t="s">
        <v>2418</v>
      </c>
      <c r="V738" s="33" t="s">
        <v>35</v>
      </c>
    </row>
    <row r="739" spans="2:22" ht="21" customHeight="1" outlineLevel="5" x14ac:dyDescent="0.2">
      <c r="B739" s="5">
        <v>598</v>
      </c>
      <c r="C739" s="6" t="s">
        <v>2421</v>
      </c>
      <c r="D739" s="6" t="s">
        <v>2422</v>
      </c>
      <c r="E739" s="7" t="s">
        <v>2423</v>
      </c>
      <c r="F739" s="13"/>
      <c r="G739" s="14"/>
      <c r="H739" s="15">
        <v>120</v>
      </c>
      <c r="I739" s="15">
        <v>10</v>
      </c>
      <c r="J739" s="14" t="s">
        <v>144</v>
      </c>
      <c r="K739" s="5">
        <v>4</v>
      </c>
      <c r="L739" s="16">
        <v>115.53333333333335</v>
      </c>
      <c r="M739" s="12"/>
      <c r="N739" s="14">
        <f>L739*M739</f>
        <v>0</v>
      </c>
      <c r="O739" s="23">
        <f>0.072*M739</f>
        <v>0</v>
      </c>
      <c r="P739" s="24">
        <f>0.00035*M739</f>
        <v>0</v>
      </c>
      <c r="Q739" s="25"/>
      <c r="R739" s="26" t="s">
        <v>2424</v>
      </c>
      <c r="S739" s="26" t="s">
        <v>93</v>
      </c>
      <c r="T739" s="6" t="str">
        <f>HYPERLINK("https://kanzpp.ru/api/getInfo/image/b3015af6-25b0-11eb-a25d-ac1f6b442184")</f>
        <v>https://kanzpp.ru/api/getInfo/image/b3015af6-25b0-11eb-a25d-ac1f6b442184</v>
      </c>
      <c r="U739" s="6"/>
      <c r="V739" s="33" t="s">
        <v>35</v>
      </c>
    </row>
    <row r="740" spans="2:22" ht="21" customHeight="1" outlineLevel="5" x14ac:dyDescent="0.2">
      <c r="B740" s="5">
        <v>599</v>
      </c>
      <c r="C740" s="6" t="s">
        <v>2425</v>
      </c>
      <c r="D740" s="6" t="s">
        <v>2426</v>
      </c>
      <c r="E740" s="7" t="s">
        <v>2423</v>
      </c>
      <c r="F740" s="13"/>
      <c r="G740" s="14"/>
      <c r="H740" s="15">
        <v>60</v>
      </c>
      <c r="I740" s="14"/>
      <c r="J740" s="15">
        <v>650</v>
      </c>
      <c r="K740" s="5">
        <v>4</v>
      </c>
      <c r="L740" s="16">
        <v>132.58666666666667</v>
      </c>
      <c r="M740" s="12"/>
      <c r="N740" s="14">
        <f>L740*M740</f>
        <v>0</v>
      </c>
      <c r="O740" s="23">
        <f>0.073*M740</f>
        <v>0</v>
      </c>
      <c r="P740" s="24">
        <f>0.00053*M740</f>
        <v>0</v>
      </c>
      <c r="Q740" s="25"/>
      <c r="R740" s="26"/>
      <c r="S740" s="26" t="s">
        <v>93</v>
      </c>
      <c r="T740" s="6" t="str">
        <f>HYPERLINK("https://kanzpp.ru/api/getInfo/image/d95a0aa9-a3c5-11ee-a258-00155d82e908")</f>
        <v>https://kanzpp.ru/api/getInfo/image/d95a0aa9-a3c5-11ee-a258-00155d82e908</v>
      </c>
      <c r="U740" s="6" t="s">
        <v>2424</v>
      </c>
      <c r="V740" s="33" t="s">
        <v>35</v>
      </c>
    </row>
    <row r="741" spans="2:22" ht="22.95" customHeight="1" outlineLevel="4" x14ac:dyDescent="0.2">
      <c r="B741" s="82" t="s">
        <v>2427</v>
      </c>
      <c r="C741" s="82"/>
      <c r="D741" s="82"/>
      <c r="L741">
        <v>0</v>
      </c>
    </row>
    <row r="742" spans="2:22" ht="21" customHeight="1" outlineLevel="5" x14ac:dyDescent="0.2">
      <c r="B742" s="5">
        <v>600</v>
      </c>
      <c r="C742" s="6" t="s">
        <v>2428</v>
      </c>
      <c r="D742" s="6" t="s">
        <v>2429</v>
      </c>
      <c r="E742" s="7" t="s">
        <v>2430</v>
      </c>
      <c r="F742" s="13"/>
      <c r="G742" s="14"/>
      <c r="H742" s="15">
        <v>720</v>
      </c>
      <c r="I742" s="15">
        <v>30</v>
      </c>
      <c r="J742" s="14" t="s">
        <v>144</v>
      </c>
      <c r="K742" s="5">
        <v>30</v>
      </c>
      <c r="L742" s="16">
        <v>17.919999999999998</v>
      </c>
      <c r="M742" s="12"/>
      <c r="N742" s="14">
        <f>L742*M742</f>
        <v>0</v>
      </c>
      <c r="O742" s="23">
        <f>0.005*M742</f>
        <v>0</v>
      </c>
      <c r="P742" s="24">
        <f>0.00003*M742</f>
        <v>0</v>
      </c>
      <c r="Q742" s="25"/>
      <c r="R742" s="26" t="s">
        <v>2431</v>
      </c>
      <c r="S742" s="26" t="s">
        <v>93</v>
      </c>
      <c r="T742" s="6" t="str">
        <f>HYPERLINK("https://kanzpp.ru/api/getInfo/image/76fac00a-2f95-11ef-a261-00155d82e908")</f>
        <v>https://kanzpp.ru/api/getInfo/image/76fac00a-2f95-11ef-a261-00155d82e908</v>
      </c>
      <c r="U742" s="6"/>
      <c r="V742" s="33" t="s">
        <v>35</v>
      </c>
    </row>
    <row r="743" spans="2:22" ht="22.95" customHeight="1" outlineLevel="4" x14ac:dyDescent="0.2">
      <c r="B743" s="82" t="s">
        <v>2432</v>
      </c>
      <c r="C743" s="82"/>
      <c r="D743" s="82"/>
      <c r="L743">
        <v>0</v>
      </c>
    </row>
    <row r="744" spans="2:22" ht="21" customHeight="1" outlineLevel="5" x14ac:dyDescent="0.2">
      <c r="B744" s="5">
        <v>601</v>
      </c>
      <c r="C744" s="6" t="s">
        <v>2433</v>
      </c>
      <c r="D744" s="6" t="s">
        <v>2434</v>
      </c>
      <c r="E744" s="7" t="s">
        <v>2435</v>
      </c>
      <c r="F744" s="13"/>
      <c r="G744" s="14"/>
      <c r="H744" s="15">
        <v>192</v>
      </c>
      <c r="I744" s="15">
        <v>24</v>
      </c>
      <c r="J744" s="17">
        <v>1072</v>
      </c>
      <c r="K744" s="5">
        <v>24</v>
      </c>
      <c r="L744" s="16">
        <v>86.426666666666662</v>
      </c>
      <c r="M744" s="12"/>
      <c r="N744" s="14">
        <f t="shared" ref="N744:N755" si="38">L744*M744</f>
        <v>0</v>
      </c>
      <c r="O744" s="23">
        <f>0.038*M744</f>
        <v>0</v>
      </c>
      <c r="P744" s="24">
        <f>0.00003*M744</f>
        <v>0</v>
      </c>
      <c r="Q744" s="25"/>
      <c r="R744" s="26" t="s">
        <v>2436</v>
      </c>
      <c r="S744" s="26" t="s">
        <v>93</v>
      </c>
      <c r="T744" s="6" t="str">
        <f>HYPERLINK("https://kanzpp.ru/api/getInfo/image/1fe6cd3d-06e0-11ea-a236-ac1f6b442184")</f>
        <v>https://kanzpp.ru/api/getInfo/image/1fe6cd3d-06e0-11ea-a236-ac1f6b442184</v>
      </c>
      <c r="U744" s="6"/>
      <c r="V744" s="33" t="s">
        <v>35</v>
      </c>
    </row>
    <row r="745" spans="2:22" ht="21" customHeight="1" outlineLevel="5" x14ac:dyDescent="0.2">
      <c r="B745" s="5">
        <v>602</v>
      </c>
      <c r="C745" s="6" t="s">
        <v>2437</v>
      </c>
      <c r="D745" s="6" t="s">
        <v>2438</v>
      </c>
      <c r="E745" s="7" t="s">
        <v>2439</v>
      </c>
      <c r="F745" s="13"/>
      <c r="G745" s="14"/>
      <c r="H745" s="15">
        <v>384</v>
      </c>
      <c r="I745" s="15">
        <v>12</v>
      </c>
      <c r="J745" s="14" t="s">
        <v>144</v>
      </c>
      <c r="K745" s="5">
        <v>12</v>
      </c>
      <c r="L745" s="16">
        <v>76.52</v>
      </c>
      <c r="M745" s="12"/>
      <c r="N745" s="14">
        <f t="shared" si="38"/>
        <v>0</v>
      </c>
      <c r="O745" s="23">
        <f>0.029*M745</f>
        <v>0</v>
      </c>
      <c r="P745" s="24">
        <f>0.00007*M745</f>
        <v>0</v>
      </c>
      <c r="Q745" s="25"/>
      <c r="R745" s="26" t="s">
        <v>2440</v>
      </c>
      <c r="S745" s="26" t="s">
        <v>93</v>
      </c>
      <c r="T745" s="6" t="str">
        <f>HYPERLINK("https://kanzpp.ru/api/getInfo/image/3b14adab-90aa-11ec-a211-ac1f6b442185")</f>
        <v>https://kanzpp.ru/api/getInfo/image/3b14adab-90aa-11ec-a211-ac1f6b442185</v>
      </c>
      <c r="U745" s="6"/>
      <c r="V745" s="33" t="s">
        <v>35</v>
      </c>
    </row>
    <row r="746" spans="2:22" ht="21" customHeight="1" outlineLevel="5" x14ac:dyDescent="0.2">
      <c r="B746" s="36">
        <v>603</v>
      </c>
      <c r="C746" s="37" t="s">
        <v>2441</v>
      </c>
      <c r="D746" s="37" t="s">
        <v>2442</v>
      </c>
      <c r="E746" s="38" t="s">
        <v>2443</v>
      </c>
      <c r="F746" s="39"/>
      <c r="G746" s="40"/>
      <c r="H746" s="41">
        <v>192</v>
      </c>
      <c r="I746" s="41">
        <v>24</v>
      </c>
      <c r="J746" s="41">
        <v>792</v>
      </c>
      <c r="K746" s="36">
        <v>24</v>
      </c>
      <c r="L746" s="42" t="e">
        <f>(IF(#REF!,71.78*(1-#REF!/100),71.78*(1-O3/100)))/0.75</f>
        <v>#REF!</v>
      </c>
      <c r="M746" s="12"/>
      <c r="N746" s="40" t="e">
        <f t="shared" si="38"/>
        <v>#REF!</v>
      </c>
      <c r="O746" s="43">
        <f>0.025*M746</f>
        <v>0</v>
      </c>
      <c r="P746" s="47">
        <f>0.00002*M746</f>
        <v>0</v>
      </c>
      <c r="Q746" s="44"/>
      <c r="R746" s="45" t="s">
        <v>2444</v>
      </c>
      <c r="S746" s="45" t="s">
        <v>93</v>
      </c>
      <c r="T746" s="37" t="str">
        <f>HYPERLINK("https://kanzpp.ru/api/getInfo/image/e9ef15f8-90b2-11ec-a211-ac1f6b442185")</f>
        <v>https://kanzpp.ru/api/getInfo/image/e9ef15f8-90b2-11ec-a211-ac1f6b442185</v>
      </c>
      <c r="U746" s="37"/>
    </row>
    <row r="747" spans="2:22" ht="21" customHeight="1" outlineLevel="5" x14ac:dyDescent="0.2">
      <c r="B747" s="5">
        <v>604</v>
      </c>
      <c r="C747" s="6" t="s">
        <v>2445</v>
      </c>
      <c r="D747" s="6" t="s">
        <v>2446</v>
      </c>
      <c r="E747" s="7" t="s">
        <v>2447</v>
      </c>
      <c r="F747" s="13"/>
      <c r="G747" s="14"/>
      <c r="H747" s="15">
        <v>240</v>
      </c>
      <c r="I747" s="15">
        <v>20</v>
      </c>
      <c r="J747" s="14" t="s">
        <v>144</v>
      </c>
      <c r="K747" s="5">
        <v>6</v>
      </c>
      <c r="L747" s="16">
        <v>90.186666666666667</v>
      </c>
      <c r="M747" s="12"/>
      <c r="N747" s="14">
        <f t="shared" si="38"/>
        <v>0</v>
      </c>
      <c r="O747" s="23">
        <f>0.063*M747</f>
        <v>0</v>
      </c>
      <c r="P747" s="24">
        <f>0.00014*M747</f>
        <v>0</v>
      </c>
      <c r="Q747" s="25"/>
      <c r="R747" s="26" t="s">
        <v>2448</v>
      </c>
      <c r="S747" s="26" t="s">
        <v>93</v>
      </c>
      <c r="T747" s="6" t="str">
        <f>HYPERLINK("https://kanzpp.ru/api/getInfo/image/e5d94655-f83a-11e6-81a9-5cf3fc4a2490")</f>
        <v>https://kanzpp.ru/api/getInfo/image/e5d94655-f83a-11e6-81a9-5cf3fc4a2490</v>
      </c>
      <c r="U747" s="6"/>
      <c r="V747" s="33" t="s">
        <v>35</v>
      </c>
    </row>
    <row r="748" spans="2:22" ht="21" customHeight="1" outlineLevel="5" x14ac:dyDescent="0.2">
      <c r="B748" s="5">
        <v>605</v>
      </c>
      <c r="C748" s="6" t="s">
        <v>2449</v>
      </c>
      <c r="D748" s="6" t="s">
        <v>2450</v>
      </c>
      <c r="E748" s="7" t="s">
        <v>2451</v>
      </c>
      <c r="F748" s="13"/>
      <c r="G748" s="14"/>
      <c r="H748" s="15">
        <v>144</v>
      </c>
      <c r="I748" s="15">
        <v>12</v>
      </c>
      <c r="J748" s="14" t="s">
        <v>144</v>
      </c>
      <c r="K748" s="5">
        <v>4</v>
      </c>
      <c r="L748" s="16">
        <v>182.61333333333334</v>
      </c>
      <c r="M748" s="12"/>
      <c r="N748" s="14">
        <f t="shared" si="38"/>
        <v>0</v>
      </c>
      <c r="O748" s="23">
        <f>0.065*M748</f>
        <v>0</v>
      </c>
      <c r="P748" s="24">
        <f>0.00004*M748</f>
        <v>0</v>
      </c>
      <c r="Q748" s="25"/>
      <c r="R748" s="26" t="s">
        <v>2452</v>
      </c>
      <c r="S748" s="26" t="s">
        <v>93</v>
      </c>
      <c r="T748" s="6" t="str">
        <f>HYPERLINK("https://kanzpp.ru/api/getInfo/image/549b0bf2-90ae-11ec-a211-ac1f6b442185")</f>
        <v>https://kanzpp.ru/api/getInfo/image/549b0bf2-90ae-11ec-a211-ac1f6b442185</v>
      </c>
      <c r="U748" s="6"/>
      <c r="V748" s="33" t="s">
        <v>35</v>
      </c>
    </row>
    <row r="749" spans="2:22" ht="21" customHeight="1" outlineLevel="5" x14ac:dyDescent="0.2">
      <c r="B749" s="5">
        <v>606</v>
      </c>
      <c r="C749" s="6" t="s">
        <v>2453</v>
      </c>
      <c r="D749" s="6" t="s">
        <v>2454</v>
      </c>
      <c r="E749" s="7" t="s">
        <v>2455</v>
      </c>
      <c r="F749" s="13"/>
      <c r="G749" s="14"/>
      <c r="H749" s="15">
        <v>60</v>
      </c>
      <c r="I749" s="14"/>
      <c r="J749" s="15">
        <v>178</v>
      </c>
      <c r="K749" s="5">
        <v>3</v>
      </c>
      <c r="L749" s="16">
        <v>132</v>
      </c>
      <c r="M749" s="12"/>
      <c r="N749" s="14">
        <f t="shared" si="38"/>
        <v>0</v>
      </c>
      <c r="O749" s="23">
        <f>0.068*M749</f>
        <v>0</v>
      </c>
      <c r="P749" s="24">
        <f>0.00043*M749</f>
        <v>0</v>
      </c>
      <c r="Q749" s="25"/>
      <c r="R749" s="26"/>
      <c r="S749" s="26" t="s">
        <v>93</v>
      </c>
      <c r="T749" s="6" t="str">
        <f>HYPERLINK("https://kanzpp.ru/api/getInfo/image/eee25e40-52dd-11ee-a244-00155d82e902")</f>
        <v>https://kanzpp.ru/api/getInfo/image/eee25e40-52dd-11ee-a244-00155d82e902</v>
      </c>
      <c r="U749" s="6" t="s">
        <v>2456</v>
      </c>
      <c r="V749" s="33" t="s">
        <v>35</v>
      </c>
    </row>
    <row r="750" spans="2:22" ht="21" customHeight="1" outlineLevel="5" x14ac:dyDescent="0.2">
      <c r="B750" s="5">
        <v>607</v>
      </c>
      <c r="C750" s="6" t="s">
        <v>2457</v>
      </c>
      <c r="D750" s="6" t="s">
        <v>2458</v>
      </c>
      <c r="E750" s="7" t="s">
        <v>2455</v>
      </c>
      <c r="F750" s="13"/>
      <c r="G750" s="14"/>
      <c r="H750" s="15">
        <v>144</v>
      </c>
      <c r="I750" s="15">
        <v>12</v>
      </c>
      <c r="J750" s="14" t="s">
        <v>144</v>
      </c>
      <c r="K750" s="5">
        <v>3</v>
      </c>
      <c r="L750" s="16">
        <v>194.78666666666666</v>
      </c>
      <c r="M750" s="12"/>
      <c r="N750" s="14">
        <f t="shared" si="38"/>
        <v>0</v>
      </c>
      <c r="O750" s="23">
        <f>0.068*M750</f>
        <v>0</v>
      </c>
      <c r="P750" s="24">
        <f>0.00043*M750</f>
        <v>0</v>
      </c>
      <c r="Q750" s="25"/>
      <c r="R750" s="26" t="s">
        <v>2456</v>
      </c>
      <c r="S750" s="26" t="s">
        <v>93</v>
      </c>
      <c r="T750" s="6" t="str">
        <f>HYPERLINK("https://kanzpp.ru/api/getInfo/image/543e1e36-90af-11ec-a211-ac1f6b442185")</f>
        <v>https://kanzpp.ru/api/getInfo/image/543e1e36-90af-11ec-a211-ac1f6b442185</v>
      </c>
      <c r="U750" s="6"/>
      <c r="V750" s="33" t="s">
        <v>35</v>
      </c>
    </row>
    <row r="751" spans="2:22" ht="21" customHeight="1" outlineLevel="5" x14ac:dyDescent="0.2">
      <c r="B751" s="5">
        <v>608</v>
      </c>
      <c r="C751" s="6" t="s">
        <v>2459</v>
      </c>
      <c r="D751" s="6" t="s">
        <v>2460</v>
      </c>
      <c r="E751" s="7" t="s">
        <v>2461</v>
      </c>
      <c r="F751" s="13"/>
      <c r="G751" s="14"/>
      <c r="H751" s="15">
        <v>120</v>
      </c>
      <c r="I751" s="15">
        <v>10</v>
      </c>
      <c r="J751" s="14" t="s">
        <v>144</v>
      </c>
      <c r="K751" s="5">
        <v>4</v>
      </c>
      <c r="L751" s="16">
        <v>136.34666666666666</v>
      </c>
      <c r="M751" s="12"/>
      <c r="N751" s="14">
        <f t="shared" si="38"/>
        <v>0</v>
      </c>
      <c r="O751" s="28">
        <f>0.09*M751</f>
        <v>0</v>
      </c>
      <c r="P751" s="24">
        <f>0.00024*M751</f>
        <v>0</v>
      </c>
      <c r="Q751" s="25"/>
      <c r="R751" s="26" t="s">
        <v>2462</v>
      </c>
      <c r="S751" s="26" t="s">
        <v>93</v>
      </c>
      <c r="T751" s="6" t="str">
        <f>HYPERLINK("https://kanzpp.ru/api/getInfo/image/6b2f0ad5-f839-11e6-81a9-5cf3fc4a2490")</f>
        <v>https://kanzpp.ru/api/getInfo/image/6b2f0ad5-f839-11e6-81a9-5cf3fc4a2490</v>
      </c>
      <c r="U751" s="6"/>
      <c r="V751" s="33" t="s">
        <v>35</v>
      </c>
    </row>
    <row r="752" spans="2:22" ht="21" customHeight="1" outlineLevel="5" x14ac:dyDescent="0.2">
      <c r="B752" s="5">
        <v>609</v>
      </c>
      <c r="C752" s="6" t="s">
        <v>2463</v>
      </c>
      <c r="D752" s="6" t="s">
        <v>2464</v>
      </c>
      <c r="E752" s="7" t="s">
        <v>2465</v>
      </c>
      <c r="F752" s="13"/>
      <c r="G752" s="14"/>
      <c r="H752" s="15">
        <v>80</v>
      </c>
      <c r="I752" s="15">
        <v>20</v>
      </c>
      <c r="J752" s="14" t="s">
        <v>144</v>
      </c>
      <c r="K752" s="5">
        <v>2</v>
      </c>
      <c r="L752" s="16">
        <v>290.08</v>
      </c>
      <c r="M752" s="12"/>
      <c r="N752" s="14">
        <f t="shared" si="38"/>
        <v>0</v>
      </c>
      <c r="O752" s="23">
        <f>0.141*M752</f>
        <v>0</v>
      </c>
      <c r="P752" s="24">
        <f>0.00059*M752</f>
        <v>0</v>
      </c>
      <c r="Q752" s="25"/>
      <c r="R752" s="26" t="s">
        <v>2466</v>
      </c>
      <c r="S752" s="26" t="s">
        <v>93</v>
      </c>
      <c r="T752" s="6" t="str">
        <f>HYPERLINK("https://kanzpp.ru/api/getInfo/image/2b4a726f-d593-11e7-b2c3-5cf3fc4a2490")</f>
        <v>https://kanzpp.ru/api/getInfo/image/2b4a726f-d593-11e7-b2c3-5cf3fc4a2490</v>
      </c>
      <c r="U752" s="6" t="s">
        <v>2466</v>
      </c>
      <c r="V752" s="33" t="s">
        <v>35</v>
      </c>
    </row>
    <row r="753" spans="2:22" ht="21" customHeight="1" outlineLevel="5" x14ac:dyDescent="0.2">
      <c r="B753" s="5">
        <v>610</v>
      </c>
      <c r="C753" s="6" t="s">
        <v>2467</v>
      </c>
      <c r="D753" s="6" t="s">
        <v>2468</v>
      </c>
      <c r="E753" s="7" t="s">
        <v>373</v>
      </c>
      <c r="F753" s="13"/>
      <c r="G753" s="14"/>
      <c r="H753" s="15">
        <v>240</v>
      </c>
      <c r="I753" s="15">
        <v>20</v>
      </c>
      <c r="J753" s="14" t="s">
        <v>144</v>
      </c>
      <c r="K753" s="5">
        <v>4</v>
      </c>
      <c r="L753" s="16">
        <v>112.72000000000001</v>
      </c>
      <c r="M753" s="12"/>
      <c r="N753" s="14">
        <f t="shared" si="38"/>
        <v>0</v>
      </c>
      <c r="O753" s="28">
        <f>0.06*M753</f>
        <v>0</v>
      </c>
      <c r="P753" s="24">
        <f>0.00014*M753</f>
        <v>0</v>
      </c>
      <c r="Q753" s="25"/>
      <c r="R753" s="26" t="s">
        <v>374</v>
      </c>
      <c r="S753" s="26" t="s">
        <v>93</v>
      </c>
      <c r="T753" s="6" t="str">
        <f>HYPERLINK("https://kanzpp.ru/api/getInfo/image/44f9797c-06df-11ea-a236-ac1f6b442184")</f>
        <v>https://kanzpp.ru/api/getInfo/image/44f9797c-06df-11ea-a236-ac1f6b442184</v>
      </c>
      <c r="U753" s="6"/>
      <c r="V753" s="33" t="s">
        <v>35</v>
      </c>
    </row>
    <row r="754" spans="2:22" ht="21" customHeight="1" outlineLevel="5" x14ac:dyDescent="0.2">
      <c r="B754" s="5">
        <v>611</v>
      </c>
      <c r="C754" s="6" t="s">
        <v>2469</v>
      </c>
      <c r="D754" s="6" t="s">
        <v>2470</v>
      </c>
      <c r="E754" s="7" t="s">
        <v>2455</v>
      </c>
      <c r="F754" s="13"/>
      <c r="G754" s="14"/>
      <c r="H754" s="15">
        <v>144</v>
      </c>
      <c r="I754" s="15">
        <v>12</v>
      </c>
      <c r="J754" s="15">
        <v>729</v>
      </c>
      <c r="K754" s="5">
        <v>3</v>
      </c>
      <c r="L754" s="16">
        <v>132</v>
      </c>
      <c r="M754" s="12"/>
      <c r="N754" s="14">
        <f t="shared" si="38"/>
        <v>0</v>
      </c>
      <c r="O754" s="23">
        <f>0.068*M754</f>
        <v>0</v>
      </c>
      <c r="P754" s="24">
        <f>0.00043*M754</f>
        <v>0</v>
      </c>
      <c r="Q754" s="25"/>
      <c r="R754" s="26"/>
      <c r="S754" s="26" t="s">
        <v>93</v>
      </c>
      <c r="T754" s="6" t="str">
        <f>HYPERLINK("https://kanzpp.ru/api/getInfo/image/4c8d4b15-eebc-11ef-a274-00155d82e908")</f>
        <v>https://kanzpp.ru/api/getInfo/image/4c8d4b15-eebc-11ef-a274-00155d82e908</v>
      </c>
      <c r="U754" s="6" t="s">
        <v>2456</v>
      </c>
      <c r="V754" s="33" t="s">
        <v>35</v>
      </c>
    </row>
    <row r="755" spans="2:22" ht="21" customHeight="1" outlineLevel="5" x14ac:dyDescent="0.2">
      <c r="B755" s="5">
        <v>612</v>
      </c>
      <c r="C755" s="6" t="s">
        <v>2471</v>
      </c>
      <c r="D755" s="6" t="s">
        <v>2472</v>
      </c>
      <c r="E755" s="7" t="s">
        <v>2473</v>
      </c>
      <c r="F755" s="13"/>
      <c r="G755" s="14"/>
      <c r="H755" s="15">
        <v>80</v>
      </c>
      <c r="I755" s="15">
        <v>10</v>
      </c>
      <c r="J755" s="14" t="s">
        <v>144</v>
      </c>
      <c r="K755" s="5">
        <v>2</v>
      </c>
      <c r="L755" s="16">
        <v>302.61333333333334</v>
      </c>
      <c r="M755" s="12"/>
      <c r="N755" s="14">
        <f t="shared" si="38"/>
        <v>0</v>
      </c>
      <c r="O755" s="23">
        <f>0.138*M755</f>
        <v>0</v>
      </c>
      <c r="P755" s="24">
        <f>0.00059*M755</f>
        <v>0</v>
      </c>
      <c r="Q755" s="25"/>
      <c r="R755" s="26" t="s">
        <v>2474</v>
      </c>
      <c r="S755" s="26" t="s">
        <v>93</v>
      </c>
      <c r="T755" s="6" t="str">
        <f>HYPERLINK("https://kanzpp.ru/api/getInfo/image/6477594f-d593-11e7-b2c3-5cf3fc4a2490")</f>
        <v>https://kanzpp.ru/api/getInfo/image/6477594f-d593-11e7-b2c3-5cf3fc4a2490</v>
      </c>
      <c r="U755" s="6" t="s">
        <v>2474</v>
      </c>
      <c r="V755" s="33" t="s">
        <v>35</v>
      </c>
    </row>
    <row r="756" spans="2:22" ht="22.95" customHeight="1" outlineLevel="3" x14ac:dyDescent="0.2">
      <c r="B756" s="81" t="s">
        <v>2475</v>
      </c>
      <c r="C756" s="81"/>
      <c r="D756" s="81"/>
      <c r="L756">
        <v>0</v>
      </c>
    </row>
    <row r="757" spans="2:22" ht="22.95" customHeight="1" outlineLevel="4" x14ac:dyDescent="0.2">
      <c r="B757" s="82" t="s">
        <v>2476</v>
      </c>
      <c r="C757" s="82"/>
      <c r="D757" s="82"/>
      <c r="L757">
        <v>0</v>
      </c>
    </row>
    <row r="758" spans="2:22" ht="21" customHeight="1" outlineLevel="5" x14ac:dyDescent="0.2">
      <c r="B758" s="36">
        <v>613</v>
      </c>
      <c r="C758" s="37" t="s">
        <v>2477</v>
      </c>
      <c r="D758" s="37" t="s">
        <v>2478</v>
      </c>
      <c r="E758" s="38" t="s">
        <v>2479</v>
      </c>
      <c r="F758" s="39"/>
      <c r="G758" s="40"/>
      <c r="H758" s="41">
        <v>10</v>
      </c>
      <c r="I758" s="40"/>
      <c r="J758" s="41">
        <v>9</v>
      </c>
      <c r="K758" s="36">
        <v>1</v>
      </c>
      <c r="L758" s="42" t="e">
        <f>(IF(#REF!,553.23*(1-#REF!/100),553.23*(1-O3/100)))/0.75</f>
        <v>#REF!</v>
      </c>
      <c r="M758" s="12"/>
      <c r="N758" s="40" t="e">
        <f>L758*M758</f>
        <v>#REF!</v>
      </c>
      <c r="O758" s="43">
        <f>1.146*M758</f>
        <v>0</v>
      </c>
      <c r="P758" s="47">
        <f>0.00132*M758</f>
        <v>0</v>
      </c>
      <c r="Q758" s="44"/>
      <c r="R758" s="45" t="s">
        <v>2480</v>
      </c>
      <c r="S758" s="45" t="s">
        <v>93</v>
      </c>
      <c r="T758" s="37" t="str">
        <f>HYPERLINK("https://kanzpp.ru/api/getInfo/image/d9800600-62ba-11ee-a245-00155d82e902")</f>
        <v>https://kanzpp.ru/api/getInfo/image/d9800600-62ba-11ee-a245-00155d82e902</v>
      </c>
      <c r="U758" s="37"/>
    </row>
    <row r="759" spans="2:22" ht="22.95" customHeight="1" outlineLevel="2" x14ac:dyDescent="0.2">
      <c r="B759" s="80" t="s">
        <v>2481</v>
      </c>
      <c r="C759" s="80"/>
      <c r="D759" s="80"/>
      <c r="L759">
        <v>0</v>
      </c>
    </row>
    <row r="760" spans="2:22" ht="22.95" customHeight="1" outlineLevel="3" x14ac:dyDescent="0.2">
      <c r="B760" s="81" t="s">
        <v>2482</v>
      </c>
      <c r="C760" s="81"/>
      <c r="D760" s="81"/>
      <c r="L760">
        <v>0</v>
      </c>
    </row>
    <row r="761" spans="2:22" ht="22.95" customHeight="1" outlineLevel="4" x14ac:dyDescent="0.2">
      <c r="B761" s="82" t="s">
        <v>2483</v>
      </c>
      <c r="C761" s="82"/>
      <c r="D761" s="82"/>
      <c r="L761">
        <v>0</v>
      </c>
    </row>
    <row r="762" spans="2:22" ht="22.95" customHeight="1" outlineLevel="5" x14ac:dyDescent="0.2">
      <c r="B762" s="83" t="s">
        <v>2484</v>
      </c>
      <c r="C762" s="83"/>
      <c r="D762" s="83"/>
      <c r="L762">
        <v>0</v>
      </c>
    </row>
    <row r="763" spans="2:22" ht="22.95" customHeight="1" outlineLevel="6" x14ac:dyDescent="0.2">
      <c r="B763" s="84" t="s">
        <v>2485</v>
      </c>
      <c r="C763" s="84"/>
      <c r="D763" s="84"/>
      <c r="L763">
        <v>0</v>
      </c>
    </row>
    <row r="764" spans="2:22" ht="21" customHeight="1" outlineLevel="7" x14ac:dyDescent="0.2">
      <c r="B764" s="5">
        <v>614</v>
      </c>
      <c r="C764" s="6" t="s">
        <v>2486</v>
      </c>
      <c r="D764" s="6" t="s">
        <v>2487</v>
      </c>
      <c r="E764" s="7" t="s">
        <v>2488</v>
      </c>
      <c r="F764" s="13"/>
      <c r="G764" s="14"/>
      <c r="H764" s="15">
        <v>480</v>
      </c>
      <c r="I764" s="15">
        <v>24</v>
      </c>
      <c r="J764" s="17">
        <v>2700</v>
      </c>
      <c r="K764" s="5">
        <v>24</v>
      </c>
      <c r="L764" s="16">
        <v>20.72</v>
      </c>
      <c r="M764" s="12"/>
      <c r="N764" s="14">
        <f>L764*M764</f>
        <v>0</v>
      </c>
      <c r="O764" s="28">
        <f>0.04*M764</f>
        <v>0</v>
      </c>
      <c r="P764" s="24">
        <f>0.00012*M764</f>
        <v>0</v>
      </c>
      <c r="Q764" s="25"/>
      <c r="R764" s="26" t="s">
        <v>2489</v>
      </c>
      <c r="S764" s="26" t="s">
        <v>93</v>
      </c>
      <c r="T764" s="6" t="str">
        <f>HYPERLINK("https://kanzpp.ru/api/getInfo/image/4ba6d0d8-f8b5-11ea-a254-ac1f6b442184")</f>
        <v>https://kanzpp.ru/api/getInfo/image/4ba6d0d8-f8b5-11ea-a254-ac1f6b442184</v>
      </c>
      <c r="U764" s="6"/>
      <c r="V764" s="33" t="s">
        <v>35</v>
      </c>
    </row>
    <row r="765" spans="2:22" ht="21" customHeight="1" outlineLevel="7" x14ac:dyDescent="0.2">
      <c r="B765" s="5">
        <v>615</v>
      </c>
      <c r="C765" s="6" t="s">
        <v>2490</v>
      </c>
      <c r="D765" s="6" t="s">
        <v>2491</v>
      </c>
      <c r="E765" s="7" t="s">
        <v>2492</v>
      </c>
      <c r="F765" s="13"/>
      <c r="G765" s="14"/>
      <c r="H765" s="15">
        <v>480</v>
      </c>
      <c r="I765" s="15">
        <v>24</v>
      </c>
      <c r="J765" s="17">
        <v>3753</v>
      </c>
      <c r="K765" s="5">
        <v>24</v>
      </c>
      <c r="L765" s="16">
        <v>20.72</v>
      </c>
      <c r="M765" s="12"/>
      <c r="N765" s="14">
        <f>L765*M765</f>
        <v>0</v>
      </c>
      <c r="O765" s="28">
        <f>0.04*M765</f>
        <v>0</v>
      </c>
      <c r="P765" s="24">
        <f>0.00005*M765</f>
        <v>0</v>
      </c>
      <c r="Q765" s="25"/>
      <c r="R765" s="26" t="s">
        <v>2493</v>
      </c>
      <c r="S765" s="26" t="s">
        <v>93</v>
      </c>
      <c r="T765" s="6" t="str">
        <f>HYPERLINK("https://kanzpp.ru/api/getInfo/image/d49c2be8-d563-11ea-a250-ac1f6b442184")</f>
        <v>https://kanzpp.ru/api/getInfo/image/d49c2be8-d563-11ea-a250-ac1f6b442184</v>
      </c>
      <c r="U765" s="6"/>
      <c r="V765" s="33" t="s">
        <v>35</v>
      </c>
    </row>
    <row r="766" spans="2:22" ht="22.95" customHeight="1" outlineLevel="6" x14ac:dyDescent="0.2">
      <c r="B766" s="84" t="s">
        <v>2494</v>
      </c>
      <c r="C766" s="84"/>
      <c r="D766" s="84"/>
      <c r="L766">
        <v>0</v>
      </c>
    </row>
    <row r="767" spans="2:22" ht="21" customHeight="1" outlineLevel="7" x14ac:dyDescent="0.2">
      <c r="B767" s="5">
        <v>616</v>
      </c>
      <c r="C767" s="6" t="s">
        <v>2495</v>
      </c>
      <c r="D767" s="6" t="s">
        <v>2496</v>
      </c>
      <c r="E767" s="7" t="s">
        <v>2497</v>
      </c>
      <c r="F767" s="13"/>
      <c r="G767" s="14"/>
      <c r="H767" s="15">
        <v>240</v>
      </c>
      <c r="I767" s="15">
        <v>12</v>
      </c>
      <c r="J767" s="14" t="s">
        <v>144</v>
      </c>
      <c r="K767" s="5">
        <v>12</v>
      </c>
      <c r="L767" s="16">
        <v>39.986666666666665</v>
      </c>
      <c r="M767" s="12"/>
      <c r="N767" s="14">
        <f>L767*M767</f>
        <v>0</v>
      </c>
      <c r="O767" s="28">
        <f>0.07*M767</f>
        <v>0</v>
      </c>
      <c r="P767" s="24">
        <f>0.00007*M767</f>
        <v>0</v>
      </c>
      <c r="Q767" s="25"/>
      <c r="R767" s="26" t="s">
        <v>2498</v>
      </c>
      <c r="S767" s="26" t="s">
        <v>93</v>
      </c>
      <c r="T767" s="6" t="str">
        <f>HYPERLINK("https://kanzpp.ru/api/getInfo/image/336bd984-d565-11ea-a250-ac1f6b442184")</f>
        <v>https://kanzpp.ru/api/getInfo/image/336bd984-d565-11ea-a250-ac1f6b442184</v>
      </c>
      <c r="U767" s="6"/>
      <c r="V767" s="33" t="s">
        <v>35</v>
      </c>
    </row>
    <row r="768" spans="2:22" ht="21" customHeight="1" outlineLevel="7" x14ac:dyDescent="0.2">
      <c r="B768" s="5">
        <v>617</v>
      </c>
      <c r="C768" s="6" t="s">
        <v>2499</v>
      </c>
      <c r="D768" s="6" t="s">
        <v>2500</v>
      </c>
      <c r="E768" s="7" t="s">
        <v>2501</v>
      </c>
      <c r="F768" s="13"/>
      <c r="G768" s="14"/>
      <c r="H768" s="15">
        <v>240</v>
      </c>
      <c r="I768" s="15">
        <v>12</v>
      </c>
      <c r="J768" s="14" t="s">
        <v>144</v>
      </c>
      <c r="K768" s="5">
        <v>12</v>
      </c>
      <c r="L768" s="16">
        <v>39.986666666666665</v>
      </c>
      <c r="M768" s="12"/>
      <c r="N768" s="14">
        <f>L768*M768</f>
        <v>0</v>
      </c>
      <c r="O768" s="23">
        <f>0.086*M768</f>
        <v>0</v>
      </c>
      <c r="P768" s="24">
        <f>0.00014*M768</f>
        <v>0</v>
      </c>
      <c r="Q768" s="25"/>
      <c r="R768" s="26" t="s">
        <v>2502</v>
      </c>
      <c r="S768" s="26" t="s">
        <v>93</v>
      </c>
      <c r="T768" s="6" t="str">
        <f>HYPERLINK("https://kanzpp.ru/api/getInfo/image/111fa413-d565-11ea-a250-ac1f6b442184")</f>
        <v>https://kanzpp.ru/api/getInfo/image/111fa413-d565-11ea-a250-ac1f6b442184</v>
      </c>
      <c r="U768" s="6"/>
      <c r="V768" s="33" t="s">
        <v>35</v>
      </c>
    </row>
    <row r="769" spans="2:22" ht="22.95" customHeight="1" outlineLevel="5" x14ac:dyDescent="0.2">
      <c r="B769" s="83" t="s">
        <v>2483</v>
      </c>
      <c r="C769" s="83"/>
      <c r="D769" s="83"/>
      <c r="L769">
        <v>0</v>
      </c>
    </row>
    <row r="770" spans="2:22" ht="22.95" customHeight="1" outlineLevel="6" x14ac:dyDescent="0.2">
      <c r="B770" s="84" t="s">
        <v>2503</v>
      </c>
      <c r="C770" s="84"/>
      <c r="D770" s="84"/>
      <c r="L770">
        <v>0</v>
      </c>
    </row>
    <row r="771" spans="2:22" ht="21" customHeight="1" outlineLevel="7" x14ac:dyDescent="0.2">
      <c r="B771" s="5">
        <v>618</v>
      </c>
      <c r="C771" s="6" t="s">
        <v>2504</v>
      </c>
      <c r="D771" s="6" t="s">
        <v>2505</v>
      </c>
      <c r="E771" s="7" t="s">
        <v>2506</v>
      </c>
      <c r="F771" s="13"/>
      <c r="G771" s="14"/>
      <c r="H771" s="15">
        <v>144</v>
      </c>
      <c r="I771" s="15">
        <v>12</v>
      </c>
      <c r="J771" s="15">
        <v>12</v>
      </c>
      <c r="K771" s="5">
        <v>12</v>
      </c>
      <c r="L771" s="16">
        <v>54.68</v>
      </c>
      <c r="M771" s="12"/>
      <c r="N771" s="14">
        <f>L771*M771</f>
        <v>0</v>
      </c>
      <c r="O771" s="23">
        <f>0.093*M771</f>
        <v>0</v>
      </c>
      <c r="P771" s="24">
        <f>0.00017*M771</f>
        <v>0</v>
      </c>
      <c r="Q771" s="25"/>
      <c r="R771" s="26" t="s">
        <v>2507</v>
      </c>
      <c r="S771" s="26" t="s">
        <v>93</v>
      </c>
      <c r="T771" s="6" t="str">
        <f>HYPERLINK("https://kanzpp.ru/api/getInfo/image/ae90f549-6511-11ef-a265-00155d82e908")</f>
        <v>https://kanzpp.ru/api/getInfo/image/ae90f549-6511-11ef-a265-00155d82e908</v>
      </c>
      <c r="U771" s="6"/>
      <c r="V771" s="33" t="s">
        <v>35</v>
      </c>
    </row>
    <row r="772" spans="2:22" ht="21" customHeight="1" outlineLevel="7" x14ac:dyDescent="0.2">
      <c r="B772" s="5">
        <v>619</v>
      </c>
      <c r="C772" s="6" t="s">
        <v>2508</v>
      </c>
      <c r="D772" s="6" t="s">
        <v>2509</v>
      </c>
      <c r="E772" s="7" t="s">
        <v>2510</v>
      </c>
      <c r="F772" s="13"/>
      <c r="G772" s="14"/>
      <c r="H772" s="15">
        <v>144</v>
      </c>
      <c r="I772" s="15">
        <v>12</v>
      </c>
      <c r="J772" s="15">
        <v>294</v>
      </c>
      <c r="K772" s="5">
        <v>12</v>
      </c>
      <c r="L772" s="16">
        <v>54.68</v>
      </c>
      <c r="M772" s="12"/>
      <c r="N772" s="14">
        <f>L772*M772</f>
        <v>0</v>
      </c>
      <c r="O772" s="23">
        <f>0.097*M772</f>
        <v>0</v>
      </c>
      <c r="P772" s="24">
        <f>0.00014*M772</f>
        <v>0</v>
      </c>
      <c r="Q772" s="25"/>
      <c r="R772" s="26" t="s">
        <v>2511</v>
      </c>
      <c r="S772" s="26" t="s">
        <v>93</v>
      </c>
      <c r="T772" s="6" t="str">
        <f>HYPERLINK("https://kanzpp.ru/api/getInfo/image/20b05302-6515-11ef-a265-00155d82e908")</f>
        <v>https://kanzpp.ru/api/getInfo/image/20b05302-6515-11ef-a265-00155d82e908</v>
      </c>
      <c r="U772" s="6"/>
      <c r="V772" s="33" t="s">
        <v>35</v>
      </c>
    </row>
    <row r="773" spans="2:22" ht="21" customHeight="1" outlineLevel="7" x14ac:dyDescent="0.2">
      <c r="B773" s="36">
        <v>620</v>
      </c>
      <c r="C773" s="37" t="s">
        <v>2512</v>
      </c>
      <c r="D773" s="37" t="s">
        <v>2513</v>
      </c>
      <c r="E773" s="38" t="s">
        <v>2514</v>
      </c>
      <c r="F773" s="39"/>
      <c r="G773" s="40"/>
      <c r="H773" s="41">
        <v>144</v>
      </c>
      <c r="I773" s="41">
        <v>12</v>
      </c>
      <c r="J773" s="41">
        <v>117</v>
      </c>
      <c r="K773" s="36">
        <v>12</v>
      </c>
      <c r="L773" s="42" t="e">
        <f>(IF(#REF!,58.82*(1-#REF!/100),58.82*(1-O3/100)))/0.75</f>
        <v>#REF!</v>
      </c>
      <c r="M773" s="12"/>
      <c r="N773" s="40" t="e">
        <f>L773*M773</f>
        <v>#REF!</v>
      </c>
      <c r="O773" s="43">
        <f>0.107*M773</f>
        <v>0</v>
      </c>
      <c r="P773" s="47">
        <f>0.00025*M773</f>
        <v>0</v>
      </c>
      <c r="Q773" s="44"/>
      <c r="R773" s="45" t="s">
        <v>2515</v>
      </c>
      <c r="S773" s="45" t="s">
        <v>93</v>
      </c>
      <c r="T773" s="37" t="str">
        <f>HYPERLINK("https://kanzpp.ru/api/getInfo/image/76ced2a8-8d24-11ee-a250-00155d82e908")</f>
        <v>https://kanzpp.ru/api/getInfo/image/76ced2a8-8d24-11ee-a250-00155d82e908</v>
      </c>
      <c r="U773" s="37"/>
    </row>
    <row r="774" spans="2:22" ht="22.95" customHeight="1" outlineLevel="6" x14ac:dyDescent="0.2">
      <c r="B774" s="84" t="s">
        <v>2516</v>
      </c>
      <c r="C774" s="84"/>
      <c r="D774" s="84"/>
      <c r="L774">
        <v>0</v>
      </c>
    </row>
    <row r="775" spans="2:22" ht="21" customHeight="1" outlineLevel="7" x14ac:dyDescent="0.2">
      <c r="B775" s="5">
        <v>621</v>
      </c>
      <c r="C775" s="6" t="s">
        <v>2517</v>
      </c>
      <c r="D775" s="6" t="s">
        <v>2518</v>
      </c>
      <c r="E775" s="7" t="s">
        <v>2519</v>
      </c>
      <c r="F775" s="13"/>
      <c r="G775" s="14"/>
      <c r="H775" s="15">
        <v>128</v>
      </c>
      <c r="I775" s="15">
        <v>8</v>
      </c>
      <c r="J775" s="15">
        <v>79</v>
      </c>
      <c r="K775" s="5">
        <v>8</v>
      </c>
      <c r="L775" s="16">
        <v>83.48</v>
      </c>
      <c r="M775" s="12"/>
      <c r="N775" s="14">
        <f>L775*M775</f>
        <v>0</v>
      </c>
      <c r="O775" s="23">
        <f>0.147*M775</f>
        <v>0</v>
      </c>
      <c r="P775" s="24">
        <f>0.00022*M775</f>
        <v>0</v>
      </c>
      <c r="Q775" s="25"/>
      <c r="R775" s="26" t="s">
        <v>2520</v>
      </c>
      <c r="S775" s="26" t="s">
        <v>93</v>
      </c>
      <c r="T775" s="6" t="str">
        <f>HYPERLINK("https://kanzpp.ru/api/getInfo/image/54096648-6516-11ef-a265-00155d82e908")</f>
        <v>https://kanzpp.ru/api/getInfo/image/54096648-6516-11ef-a265-00155d82e908</v>
      </c>
      <c r="U775" s="6"/>
      <c r="V775" s="33" t="s">
        <v>35</v>
      </c>
    </row>
    <row r="776" spans="2:22" ht="22.95" customHeight="1" outlineLevel="6" x14ac:dyDescent="0.2">
      <c r="B776" s="84" t="s">
        <v>2521</v>
      </c>
      <c r="C776" s="84"/>
      <c r="D776" s="84"/>
      <c r="L776">
        <v>0</v>
      </c>
    </row>
    <row r="777" spans="2:22" ht="21" customHeight="1" outlineLevel="7" x14ac:dyDescent="0.2">
      <c r="B777" s="5">
        <v>622</v>
      </c>
      <c r="C777" s="6" t="s">
        <v>2522</v>
      </c>
      <c r="D777" s="6" t="s">
        <v>2523</v>
      </c>
      <c r="E777" s="7" t="s">
        <v>2524</v>
      </c>
      <c r="F777" s="13"/>
      <c r="G777" s="14"/>
      <c r="H777" s="15">
        <v>96</v>
      </c>
      <c r="I777" s="15">
        <v>6</v>
      </c>
      <c r="J777" s="14" t="s">
        <v>144</v>
      </c>
      <c r="K777" s="5">
        <v>6</v>
      </c>
      <c r="L777" s="16">
        <v>109.34666666666668</v>
      </c>
      <c r="M777" s="12"/>
      <c r="N777" s="14">
        <f>L777*M777</f>
        <v>0</v>
      </c>
      <c r="O777" s="23">
        <f>0.189*M777</f>
        <v>0</v>
      </c>
      <c r="P777" s="24">
        <f>0.00033*M777</f>
        <v>0</v>
      </c>
      <c r="Q777" s="25"/>
      <c r="R777" s="26" t="s">
        <v>2525</v>
      </c>
      <c r="S777" s="26" t="s">
        <v>93</v>
      </c>
      <c r="T777" s="6" t="str">
        <f>HYPERLINK("https://kanzpp.ru/api/getInfo/image/c448050c-6516-11ef-a265-00155d82e908")</f>
        <v>https://kanzpp.ru/api/getInfo/image/c448050c-6516-11ef-a265-00155d82e908</v>
      </c>
      <c r="U777" s="6"/>
      <c r="V777" s="33" t="s">
        <v>35</v>
      </c>
    </row>
    <row r="778" spans="2:22" ht="22.95" customHeight="1" outlineLevel="5" x14ac:dyDescent="0.2">
      <c r="B778" s="83" t="s">
        <v>2526</v>
      </c>
      <c r="C778" s="83"/>
      <c r="D778" s="83"/>
      <c r="L778">
        <v>0</v>
      </c>
    </row>
    <row r="779" spans="2:22" ht="21" customHeight="1" outlineLevel="6" x14ac:dyDescent="0.2">
      <c r="B779" s="5">
        <v>623</v>
      </c>
      <c r="C779" s="6" t="s">
        <v>2527</v>
      </c>
      <c r="D779" s="6" t="s">
        <v>2528</v>
      </c>
      <c r="E779" s="7" t="s">
        <v>2529</v>
      </c>
      <c r="F779" s="13"/>
      <c r="G779" s="14"/>
      <c r="H779" s="15">
        <v>160</v>
      </c>
      <c r="I779" s="15">
        <v>8</v>
      </c>
      <c r="J779" s="14" t="s">
        <v>144</v>
      </c>
      <c r="K779" s="5">
        <v>8</v>
      </c>
      <c r="L779" s="16">
        <v>97.466666666666654</v>
      </c>
      <c r="M779" s="12"/>
      <c r="N779" s="14">
        <f>L779*M779</f>
        <v>0</v>
      </c>
      <c r="O779" s="23">
        <f>0.134*M779</f>
        <v>0</v>
      </c>
      <c r="P779" s="24">
        <f>0.00022*M779</f>
        <v>0</v>
      </c>
      <c r="Q779" s="25"/>
      <c r="R779" s="26" t="s">
        <v>2530</v>
      </c>
      <c r="S779" s="26" t="s">
        <v>93</v>
      </c>
      <c r="T779" s="6" t="str">
        <f>HYPERLINK("https://kanzpp.ru/api/getInfo/image/472ff336-c3fe-11ed-a230-00155d82e902")</f>
        <v>https://kanzpp.ru/api/getInfo/image/472ff336-c3fe-11ed-a230-00155d82e902</v>
      </c>
      <c r="U779" s="6"/>
      <c r="V779" s="33" t="s">
        <v>35</v>
      </c>
    </row>
    <row r="780" spans="2:22" ht="21" customHeight="1" outlineLevel="6" x14ac:dyDescent="0.2">
      <c r="B780" s="5">
        <v>624</v>
      </c>
      <c r="C780" s="6" t="s">
        <v>2531</v>
      </c>
      <c r="D780" s="6" t="s">
        <v>2532</v>
      </c>
      <c r="E780" s="7" t="s">
        <v>2533</v>
      </c>
      <c r="F780" s="13"/>
      <c r="G780" s="14"/>
      <c r="H780" s="15">
        <v>144</v>
      </c>
      <c r="I780" s="15">
        <v>12</v>
      </c>
      <c r="J780" s="15">
        <v>236</v>
      </c>
      <c r="K780" s="5">
        <v>12</v>
      </c>
      <c r="L780" s="16">
        <v>71.906666666666666</v>
      </c>
      <c r="M780" s="12"/>
      <c r="N780" s="14">
        <f>L780*M780</f>
        <v>0</v>
      </c>
      <c r="O780" s="23">
        <f>0.091*M780</f>
        <v>0</v>
      </c>
      <c r="P780" s="24">
        <f>0.00017*M780</f>
        <v>0</v>
      </c>
      <c r="Q780" s="25"/>
      <c r="R780" s="26" t="s">
        <v>2534</v>
      </c>
      <c r="S780" s="26" t="s">
        <v>93</v>
      </c>
      <c r="T780" s="6" t="str">
        <f>HYPERLINK("https://kanzpp.ru/api/getInfo/image/b956ac95-6e9b-11ef-a265-00155d82e908")</f>
        <v>https://kanzpp.ru/api/getInfo/image/b956ac95-6e9b-11ef-a265-00155d82e908</v>
      </c>
      <c r="U780" s="6"/>
      <c r="V780" s="33" t="s">
        <v>35</v>
      </c>
    </row>
    <row r="781" spans="2:22" ht="22.95" customHeight="1" outlineLevel="5" x14ac:dyDescent="0.2">
      <c r="B781" s="83" t="s">
        <v>2535</v>
      </c>
      <c r="C781" s="83"/>
      <c r="D781" s="83"/>
      <c r="L781">
        <v>0</v>
      </c>
    </row>
    <row r="782" spans="2:22" ht="21" customHeight="1" outlineLevel="6" x14ac:dyDescent="0.2">
      <c r="B782" s="36">
        <v>625</v>
      </c>
      <c r="C782" s="37" t="s">
        <v>2536</v>
      </c>
      <c r="D782" s="37" t="s">
        <v>2537</v>
      </c>
      <c r="E782" s="38" t="s">
        <v>2538</v>
      </c>
      <c r="F782" s="39"/>
      <c r="G782" s="40"/>
      <c r="H782" s="41">
        <v>144</v>
      </c>
      <c r="I782" s="41">
        <v>12</v>
      </c>
      <c r="J782" s="41">
        <v>823</v>
      </c>
      <c r="K782" s="36">
        <v>12</v>
      </c>
      <c r="L782" s="42" t="e">
        <f>(IF(#REF!,72.66*(1-#REF!/100),72.66*(1-O3/100)))/0.75</f>
        <v>#REF!</v>
      </c>
      <c r="M782" s="12"/>
      <c r="N782" s="40" t="e">
        <f>L782*M782</f>
        <v>#REF!</v>
      </c>
      <c r="O782" s="43">
        <f>0.091*M782</f>
        <v>0</v>
      </c>
      <c r="P782" s="47">
        <f>0.00029*M782</f>
        <v>0</v>
      </c>
      <c r="Q782" s="44"/>
      <c r="R782" s="45" t="s">
        <v>2539</v>
      </c>
      <c r="S782" s="45" t="s">
        <v>93</v>
      </c>
      <c r="T782" s="37" t="str">
        <f>HYPERLINK("https://kanzpp.ru/api/getInfo/image/5a1442fe-b53c-11ee-a259-00155d82e908")</f>
        <v>https://kanzpp.ru/api/getInfo/image/5a1442fe-b53c-11ee-a259-00155d82e908</v>
      </c>
      <c r="U782" s="37"/>
    </row>
    <row r="783" spans="2:22" ht="22.95" customHeight="1" outlineLevel="4" x14ac:dyDescent="0.2">
      <c r="B783" s="82" t="s">
        <v>2540</v>
      </c>
      <c r="C783" s="82"/>
      <c r="D783" s="82"/>
      <c r="L783">
        <v>0</v>
      </c>
    </row>
    <row r="784" spans="2:22" ht="22.95" customHeight="1" outlineLevel="5" x14ac:dyDescent="0.2">
      <c r="B784" s="83" t="s">
        <v>2541</v>
      </c>
      <c r="C784" s="83"/>
      <c r="D784" s="83"/>
      <c r="L784">
        <v>0</v>
      </c>
    </row>
    <row r="785" spans="2:22" ht="22.95" customHeight="1" outlineLevel="6" x14ac:dyDescent="0.2">
      <c r="B785" s="84" t="s">
        <v>2542</v>
      </c>
      <c r="C785" s="84"/>
      <c r="D785" s="84"/>
      <c r="L785">
        <v>0</v>
      </c>
    </row>
    <row r="786" spans="2:22" ht="21" customHeight="1" outlineLevel="7" x14ac:dyDescent="0.2">
      <c r="B786" s="5">
        <v>626</v>
      </c>
      <c r="C786" s="6" t="s">
        <v>2543</v>
      </c>
      <c r="D786" s="6" t="s">
        <v>2544</v>
      </c>
      <c r="E786" s="7" t="s">
        <v>2545</v>
      </c>
      <c r="F786" s="13"/>
      <c r="G786" s="14"/>
      <c r="H786" s="15">
        <v>480</v>
      </c>
      <c r="I786" s="15">
        <v>24</v>
      </c>
      <c r="J786" s="14" t="s">
        <v>144</v>
      </c>
      <c r="K786" s="5">
        <v>24</v>
      </c>
      <c r="L786" s="16">
        <v>21.693333333333332</v>
      </c>
      <c r="M786" s="12"/>
      <c r="N786" s="14">
        <f>L786*M786</f>
        <v>0</v>
      </c>
      <c r="O786" s="23">
        <f>0.028*M786</f>
        <v>0</v>
      </c>
      <c r="P786" s="24">
        <f>0.00009*M786</f>
        <v>0</v>
      </c>
      <c r="Q786" s="25"/>
      <c r="R786" s="26" t="s">
        <v>2546</v>
      </c>
      <c r="S786" s="26" t="s">
        <v>93</v>
      </c>
      <c r="T786" s="6" t="str">
        <f>HYPERLINK("https://kanzpp.ru/api/getInfo/image/f7513642-d565-11ea-a250-ac1f6b442184")</f>
        <v>https://kanzpp.ru/api/getInfo/image/f7513642-d565-11ea-a250-ac1f6b442184</v>
      </c>
      <c r="U786" s="6"/>
      <c r="V786" s="33" t="s">
        <v>35</v>
      </c>
    </row>
    <row r="787" spans="2:22" ht="21" customHeight="1" outlineLevel="7" x14ac:dyDescent="0.2">
      <c r="B787" s="5">
        <v>627</v>
      </c>
      <c r="C787" s="6" t="s">
        <v>2547</v>
      </c>
      <c r="D787" s="6" t="s">
        <v>2548</v>
      </c>
      <c r="E787" s="7" t="s">
        <v>2549</v>
      </c>
      <c r="F787" s="13"/>
      <c r="G787" s="14"/>
      <c r="H787" s="15">
        <v>480</v>
      </c>
      <c r="I787" s="15">
        <v>24</v>
      </c>
      <c r="J787" s="14" t="s">
        <v>144</v>
      </c>
      <c r="K787" s="5">
        <v>24</v>
      </c>
      <c r="L787" s="16">
        <v>21.693333333333332</v>
      </c>
      <c r="M787" s="12"/>
      <c r="N787" s="14">
        <f>L787*M787</f>
        <v>0</v>
      </c>
      <c r="O787" s="23">
        <f>0.029*M787</f>
        <v>0</v>
      </c>
      <c r="P787" s="24">
        <f>0.00006*M787</f>
        <v>0</v>
      </c>
      <c r="Q787" s="25"/>
      <c r="R787" s="26" t="s">
        <v>2550</v>
      </c>
      <c r="S787" s="26" t="s">
        <v>93</v>
      </c>
      <c r="T787" s="6" t="str">
        <f>HYPERLINK("https://kanzpp.ru/api/getInfo/image/4229630a-d566-11ea-a250-ac1f6b442184")</f>
        <v>https://kanzpp.ru/api/getInfo/image/4229630a-d566-11ea-a250-ac1f6b442184</v>
      </c>
      <c r="U787" s="6"/>
      <c r="V787" s="33" t="s">
        <v>35</v>
      </c>
    </row>
    <row r="788" spans="2:22" ht="22.95" customHeight="1" outlineLevel="6" x14ac:dyDescent="0.2">
      <c r="B788" s="84" t="s">
        <v>2551</v>
      </c>
      <c r="C788" s="84"/>
      <c r="D788" s="84"/>
      <c r="L788">
        <v>0</v>
      </c>
    </row>
    <row r="789" spans="2:22" ht="21" customHeight="1" outlineLevel="7" x14ac:dyDescent="0.2">
      <c r="B789" s="5">
        <v>628</v>
      </c>
      <c r="C789" s="6" t="s">
        <v>2552</v>
      </c>
      <c r="D789" s="6" t="s">
        <v>2553</v>
      </c>
      <c r="E789" s="7" t="s">
        <v>2554</v>
      </c>
      <c r="F789" s="13"/>
      <c r="G789" s="14"/>
      <c r="H789" s="15">
        <v>240</v>
      </c>
      <c r="I789" s="15">
        <v>12</v>
      </c>
      <c r="J789" s="15">
        <v>36</v>
      </c>
      <c r="K789" s="5">
        <v>12</v>
      </c>
      <c r="L789" s="16">
        <v>40.573333333333331</v>
      </c>
      <c r="M789" s="12"/>
      <c r="N789" s="14">
        <f>L789*M789</f>
        <v>0</v>
      </c>
      <c r="O789" s="28">
        <f>0.06*M789</f>
        <v>0</v>
      </c>
      <c r="P789" s="24">
        <f>0.00019*M789</f>
        <v>0</v>
      </c>
      <c r="Q789" s="25"/>
      <c r="R789" s="26" t="s">
        <v>2555</v>
      </c>
      <c r="S789" s="26" t="s">
        <v>93</v>
      </c>
      <c r="T789" s="6" t="str">
        <f>HYPERLINK("https://kanzpp.ru/api/getInfo/image/44f7d05e-d567-11ea-a250-ac1f6b442184")</f>
        <v>https://kanzpp.ru/api/getInfo/image/44f7d05e-d567-11ea-a250-ac1f6b442184</v>
      </c>
      <c r="U789" s="6"/>
      <c r="V789" s="33" t="s">
        <v>35</v>
      </c>
    </row>
    <row r="790" spans="2:22" ht="22.95" customHeight="1" outlineLevel="5" x14ac:dyDescent="0.2">
      <c r="B790" s="83" t="s">
        <v>2556</v>
      </c>
      <c r="C790" s="83"/>
      <c r="D790" s="83"/>
      <c r="L790">
        <v>0</v>
      </c>
    </row>
    <row r="791" spans="2:22" ht="22.95" customHeight="1" outlineLevel="6" x14ac:dyDescent="0.2">
      <c r="B791" s="84" t="s">
        <v>2557</v>
      </c>
      <c r="C791" s="84"/>
      <c r="D791" s="84"/>
      <c r="L791">
        <v>0</v>
      </c>
    </row>
    <row r="792" spans="2:22" ht="21" customHeight="1" outlineLevel="7" x14ac:dyDescent="0.2">
      <c r="B792" s="5">
        <v>629</v>
      </c>
      <c r="C792" s="6" t="s">
        <v>2558</v>
      </c>
      <c r="D792" s="6" t="s">
        <v>2559</v>
      </c>
      <c r="E792" s="7" t="s">
        <v>2560</v>
      </c>
      <c r="F792" s="13"/>
      <c r="G792" s="14"/>
      <c r="H792" s="15">
        <v>480</v>
      </c>
      <c r="I792" s="15">
        <v>48</v>
      </c>
      <c r="J792" s="14" t="s">
        <v>144</v>
      </c>
      <c r="K792" s="5">
        <v>48</v>
      </c>
      <c r="L792" s="16">
        <v>27.666666666666668</v>
      </c>
      <c r="M792" s="12"/>
      <c r="N792" s="14">
        <f>L792*M792</f>
        <v>0</v>
      </c>
      <c r="O792" s="23">
        <f>0.035*M792</f>
        <v>0</v>
      </c>
      <c r="P792" s="24">
        <f>0.00008*M792</f>
        <v>0</v>
      </c>
      <c r="Q792" s="25"/>
      <c r="R792" s="26" t="s">
        <v>2561</v>
      </c>
      <c r="S792" s="26" t="s">
        <v>93</v>
      </c>
      <c r="T792" s="6" t="str">
        <f>HYPERLINK("https://kanzpp.ru/api/getInfo/image/216ccce5-5636-11ef-a262-00155d82e908")</f>
        <v>https://kanzpp.ru/api/getInfo/image/216ccce5-5636-11ef-a262-00155d82e908</v>
      </c>
      <c r="U792" s="6"/>
      <c r="V792" s="33" t="s">
        <v>35</v>
      </c>
    </row>
    <row r="793" spans="2:22" ht="22.95" customHeight="1" outlineLevel="6" x14ac:dyDescent="0.2">
      <c r="B793" s="84" t="s">
        <v>2562</v>
      </c>
      <c r="C793" s="84"/>
      <c r="D793" s="84"/>
      <c r="L793">
        <v>0</v>
      </c>
    </row>
    <row r="794" spans="2:22" ht="21" customHeight="1" outlineLevel="7" x14ac:dyDescent="0.2">
      <c r="B794" s="5">
        <v>630</v>
      </c>
      <c r="C794" s="6" t="s">
        <v>2563</v>
      </c>
      <c r="D794" s="6" t="s">
        <v>2564</v>
      </c>
      <c r="E794" s="7" t="s">
        <v>2565</v>
      </c>
      <c r="F794" s="13"/>
      <c r="G794" s="14"/>
      <c r="H794" s="15">
        <v>240</v>
      </c>
      <c r="I794" s="15">
        <v>12</v>
      </c>
      <c r="J794" s="15">
        <v>662</v>
      </c>
      <c r="K794" s="5">
        <v>12</v>
      </c>
      <c r="L794" s="16">
        <v>53.28</v>
      </c>
      <c r="M794" s="12"/>
      <c r="N794" s="14">
        <f>L794*M794</f>
        <v>0</v>
      </c>
      <c r="O794" s="23">
        <f>0.068*M794</f>
        <v>0</v>
      </c>
      <c r="P794" s="24">
        <f>0.00016*M794</f>
        <v>0</v>
      </c>
      <c r="Q794" s="25"/>
      <c r="R794" s="26" t="s">
        <v>2566</v>
      </c>
      <c r="S794" s="26" t="s">
        <v>93</v>
      </c>
      <c r="T794" s="6" t="str">
        <f>HYPERLINK("https://kanzpp.ru/api/getInfo/image/afa1d97d-8d22-11ee-a250-00155d82e908")</f>
        <v>https://kanzpp.ru/api/getInfo/image/afa1d97d-8d22-11ee-a250-00155d82e908</v>
      </c>
      <c r="U794" s="6"/>
      <c r="V794" s="33" t="s">
        <v>35</v>
      </c>
    </row>
    <row r="795" spans="2:22" ht="21" customHeight="1" outlineLevel="7" x14ac:dyDescent="0.2">
      <c r="B795" s="5">
        <v>631</v>
      </c>
      <c r="C795" s="6" t="s">
        <v>2567</v>
      </c>
      <c r="D795" s="6" t="s">
        <v>2568</v>
      </c>
      <c r="E795" s="7" t="s">
        <v>2569</v>
      </c>
      <c r="F795" s="13"/>
      <c r="G795" s="14"/>
      <c r="H795" s="15">
        <v>240</v>
      </c>
      <c r="I795" s="15">
        <v>24</v>
      </c>
      <c r="J795" s="15">
        <v>24</v>
      </c>
      <c r="K795" s="5">
        <v>24</v>
      </c>
      <c r="L795" s="16">
        <v>53.28</v>
      </c>
      <c r="M795" s="12"/>
      <c r="N795" s="14">
        <f>L795*M795</f>
        <v>0</v>
      </c>
      <c r="O795" s="23">
        <f>0.067*M795</f>
        <v>0</v>
      </c>
      <c r="P795" s="24">
        <f>0.00029*M795</f>
        <v>0</v>
      </c>
      <c r="Q795" s="25"/>
      <c r="R795" s="26" t="s">
        <v>2570</v>
      </c>
      <c r="S795" s="26" t="s">
        <v>93</v>
      </c>
      <c r="T795" s="6" t="str">
        <f>HYPERLINK("https://kanzpp.ru/api/getInfo/image/50f7541e-563f-11ef-a262-00155d82e908")</f>
        <v>https://kanzpp.ru/api/getInfo/image/50f7541e-563f-11ef-a262-00155d82e908</v>
      </c>
      <c r="U795" s="6"/>
      <c r="V795" s="33" t="s">
        <v>35</v>
      </c>
    </row>
    <row r="796" spans="2:22" ht="21" customHeight="1" outlineLevel="7" x14ac:dyDescent="0.2">
      <c r="B796" s="5">
        <v>632</v>
      </c>
      <c r="C796" s="6" t="s">
        <v>2571</v>
      </c>
      <c r="D796" s="6" t="s">
        <v>2572</v>
      </c>
      <c r="E796" s="7" t="s">
        <v>2573</v>
      </c>
      <c r="F796" s="13"/>
      <c r="G796" s="14"/>
      <c r="H796" s="15">
        <v>240</v>
      </c>
      <c r="I796" s="15">
        <v>24</v>
      </c>
      <c r="J796" s="14" t="s">
        <v>144</v>
      </c>
      <c r="K796" s="5">
        <v>24</v>
      </c>
      <c r="L796" s="16">
        <v>53.28</v>
      </c>
      <c r="M796" s="12"/>
      <c r="N796" s="14">
        <f>L796*M796</f>
        <v>0</v>
      </c>
      <c r="O796" s="23">
        <f>0.067*M796</f>
        <v>0</v>
      </c>
      <c r="P796" s="24">
        <f>0.00022*M796</f>
        <v>0</v>
      </c>
      <c r="Q796" s="25"/>
      <c r="R796" s="26" t="s">
        <v>2574</v>
      </c>
      <c r="S796" s="26" t="s">
        <v>93</v>
      </c>
      <c r="T796" s="6" t="str">
        <f>HYPERLINK("https://kanzpp.ru/api/getInfo/image/226aec68-563f-11ef-a262-00155d82e908")</f>
        <v>https://kanzpp.ru/api/getInfo/image/226aec68-563f-11ef-a262-00155d82e908</v>
      </c>
      <c r="U796" s="6"/>
      <c r="V796" s="33" t="s">
        <v>35</v>
      </c>
    </row>
    <row r="797" spans="2:22" ht="22.95" customHeight="1" outlineLevel="6" x14ac:dyDescent="0.2">
      <c r="B797" s="84" t="s">
        <v>2575</v>
      </c>
      <c r="C797" s="84"/>
      <c r="D797" s="84"/>
      <c r="L797">
        <v>0</v>
      </c>
    </row>
    <row r="798" spans="2:22" ht="21" customHeight="1" outlineLevel="7" x14ac:dyDescent="0.2">
      <c r="B798" s="5">
        <v>633</v>
      </c>
      <c r="C798" s="6" t="s">
        <v>2576</v>
      </c>
      <c r="D798" s="6" t="s">
        <v>2577</v>
      </c>
      <c r="E798" s="7" t="s">
        <v>2578</v>
      </c>
      <c r="F798" s="13"/>
      <c r="G798" s="14"/>
      <c r="H798" s="15">
        <v>120</v>
      </c>
      <c r="I798" s="15">
        <v>6</v>
      </c>
      <c r="J798" s="15">
        <v>125</v>
      </c>
      <c r="K798" s="5">
        <v>6</v>
      </c>
      <c r="L798" s="16">
        <v>112.50666666666666</v>
      </c>
      <c r="M798" s="12"/>
      <c r="N798" s="14">
        <f>L798*M798</f>
        <v>0</v>
      </c>
      <c r="O798" s="23">
        <f>0.128*M798</f>
        <v>0</v>
      </c>
      <c r="P798" s="24">
        <f>0.00028*M798</f>
        <v>0</v>
      </c>
      <c r="Q798" s="25"/>
      <c r="R798" s="26" t="s">
        <v>2579</v>
      </c>
      <c r="S798" s="26" t="s">
        <v>93</v>
      </c>
      <c r="T798" s="6" t="str">
        <f>HYPERLINK("https://kanzpp.ru/api/getInfo/image/c3769068-8d23-11ee-a250-00155d82e908")</f>
        <v>https://kanzpp.ru/api/getInfo/image/c3769068-8d23-11ee-a250-00155d82e908</v>
      </c>
      <c r="U798" s="6"/>
      <c r="V798" s="33" t="s">
        <v>35</v>
      </c>
    </row>
    <row r="799" spans="2:22" ht="21" customHeight="1" outlineLevel="7" x14ac:dyDescent="0.2">
      <c r="B799" s="5">
        <v>634</v>
      </c>
      <c r="C799" s="6" t="s">
        <v>2580</v>
      </c>
      <c r="D799" s="6" t="s">
        <v>2581</v>
      </c>
      <c r="E799" s="7" t="s">
        <v>2582</v>
      </c>
      <c r="F799" s="13"/>
      <c r="G799" s="14"/>
      <c r="H799" s="15">
        <v>144</v>
      </c>
      <c r="I799" s="15">
        <v>12</v>
      </c>
      <c r="J799" s="17">
        <v>1081</v>
      </c>
      <c r="K799" s="5">
        <v>12</v>
      </c>
      <c r="L799" s="16">
        <v>112.72000000000001</v>
      </c>
      <c r="M799" s="12"/>
      <c r="N799" s="14">
        <f>L799*M799</f>
        <v>0</v>
      </c>
      <c r="O799" s="23">
        <f>0.122*M799</f>
        <v>0</v>
      </c>
      <c r="P799" s="24">
        <f>0.00044*M799</f>
        <v>0</v>
      </c>
      <c r="Q799" s="25"/>
      <c r="R799" s="26" t="s">
        <v>2583</v>
      </c>
      <c r="S799" s="26" t="s">
        <v>93</v>
      </c>
      <c r="T799" s="6" t="str">
        <f>HYPERLINK("https://kanzpp.ru/api/getInfo/image/685a8c76-5a1f-11ef-a262-00155d82e908")</f>
        <v>https://kanzpp.ru/api/getInfo/image/685a8c76-5a1f-11ef-a262-00155d82e908</v>
      </c>
      <c r="U799" s="6"/>
      <c r="V799" s="33" t="s">
        <v>35</v>
      </c>
    </row>
    <row r="800" spans="2:22" ht="21" customHeight="1" outlineLevel="7" x14ac:dyDescent="0.2">
      <c r="B800" s="5">
        <v>635</v>
      </c>
      <c r="C800" s="6" t="s">
        <v>2584</v>
      </c>
      <c r="D800" s="6" t="s">
        <v>2585</v>
      </c>
      <c r="E800" s="7" t="s">
        <v>2586</v>
      </c>
      <c r="F800" s="13"/>
      <c r="G800" s="14"/>
      <c r="H800" s="15">
        <v>144</v>
      </c>
      <c r="I800" s="15">
        <v>12</v>
      </c>
      <c r="J800" s="14" t="s">
        <v>144</v>
      </c>
      <c r="K800" s="5">
        <v>12</v>
      </c>
      <c r="L800" s="16">
        <v>112.72000000000001</v>
      </c>
      <c r="M800" s="12"/>
      <c r="N800" s="14">
        <f>L800*M800</f>
        <v>0</v>
      </c>
      <c r="O800" s="23">
        <f>0.127*M800</f>
        <v>0</v>
      </c>
      <c r="P800" s="24">
        <f>0.00034*M800</f>
        <v>0</v>
      </c>
      <c r="Q800" s="25"/>
      <c r="R800" s="26" t="s">
        <v>2587</v>
      </c>
      <c r="S800" s="26" t="s">
        <v>93</v>
      </c>
      <c r="T800" s="6" t="str">
        <f>HYPERLINK("https://kanzpp.ru/api/getInfo/image/1b28f946-5640-11ef-a262-00155d82e908")</f>
        <v>https://kanzpp.ru/api/getInfo/image/1b28f946-5640-11ef-a262-00155d82e908</v>
      </c>
      <c r="U800" s="6"/>
      <c r="V800" s="33" t="s">
        <v>35</v>
      </c>
    </row>
    <row r="801" spans="2:22" ht="22.95" customHeight="1" outlineLevel="6" x14ac:dyDescent="0.2">
      <c r="B801" s="84" t="s">
        <v>2588</v>
      </c>
      <c r="C801" s="84"/>
      <c r="D801" s="84"/>
      <c r="L801">
        <v>0</v>
      </c>
    </row>
    <row r="802" spans="2:22" ht="21" customHeight="1" outlineLevel="7" x14ac:dyDescent="0.2">
      <c r="B802" s="5">
        <v>636</v>
      </c>
      <c r="C802" s="6" t="s">
        <v>2589</v>
      </c>
      <c r="D802" s="6" t="s">
        <v>2590</v>
      </c>
      <c r="E802" s="7" t="s">
        <v>2591</v>
      </c>
      <c r="F802" s="13"/>
      <c r="G802" s="14"/>
      <c r="H802" s="15">
        <v>120</v>
      </c>
      <c r="I802" s="15">
        <v>6</v>
      </c>
      <c r="J802" s="17">
        <v>2744</v>
      </c>
      <c r="K802" s="5">
        <v>6</v>
      </c>
      <c r="L802" s="16">
        <v>163.93333333333334</v>
      </c>
      <c r="M802" s="12"/>
      <c r="N802" s="14">
        <f>L802*M802</f>
        <v>0</v>
      </c>
      <c r="O802" s="28">
        <f>0.19*M802</f>
        <v>0</v>
      </c>
      <c r="P802" s="24">
        <f>0.00055*M802</f>
        <v>0</v>
      </c>
      <c r="Q802" s="25"/>
      <c r="R802" s="26" t="s">
        <v>2592</v>
      </c>
      <c r="S802" s="26" t="s">
        <v>93</v>
      </c>
      <c r="T802" s="6" t="str">
        <f>HYPERLINK("https://kanzpp.ru/api/getInfo/image/6b1d5639-5640-11ef-a262-00155d82e908")</f>
        <v>https://kanzpp.ru/api/getInfo/image/6b1d5639-5640-11ef-a262-00155d82e908</v>
      </c>
      <c r="U802" s="6"/>
      <c r="V802" s="33" t="s">
        <v>35</v>
      </c>
    </row>
    <row r="803" spans="2:22" ht="22.95" customHeight="1" outlineLevel="5" x14ac:dyDescent="0.2">
      <c r="B803" s="83" t="s">
        <v>2593</v>
      </c>
      <c r="C803" s="83"/>
      <c r="D803" s="83"/>
      <c r="L803">
        <v>0</v>
      </c>
    </row>
    <row r="804" spans="2:22" ht="22.95" customHeight="1" outlineLevel="6" x14ac:dyDescent="0.2">
      <c r="B804" s="84" t="s">
        <v>2594</v>
      </c>
      <c r="C804" s="84"/>
      <c r="D804" s="84"/>
      <c r="L804">
        <v>0</v>
      </c>
    </row>
    <row r="805" spans="2:22" ht="21" customHeight="1" outlineLevel="7" x14ac:dyDescent="0.2">
      <c r="B805" s="5">
        <v>637</v>
      </c>
      <c r="C805" s="6" t="s">
        <v>2595</v>
      </c>
      <c r="D805" s="6" t="s">
        <v>2596</v>
      </c>
      <c r="E805" s="7" t="s">
        <v>2597</v>
      </c>
      <c r="F805" s="13"/>
      <c r="G805" s="14"/>
      <c r="H805" s="15">
        <v>480</v>
      </c>
      <c r="I805" s="15">
        <v>24</v>
      </c>
      <c r="J805" s="14" t="s">
        <v>144</v>
      </c>
      <c r="K805" s="5">
        <v>24</v>
      </c>
      <c r="L805" s="16">
        <v>43.146666666666668</v>
      </c>
      <c r="M805" s="12"/>
      <c r="N805" s="14">
        <f>L805*M805</f>
        <v>0</v>
      </c>
      <c r="O805" s="23">
        <f>0.038*M805</f>
        <v>0</v>
      </c>
      <c r="P805" s="24">
        <f>0.00007*M805</f>
        <v>0</v>
      </c>
      <c r="Q805" s="25"/>
      <c r="R805" s="26" t="s">
        <v>2598</v>
      </c>
      <c r="S805" s="26" t="s">
        <v>93</v>
      </c>
      <c r="T805" s="6" t="str">
        <f>HYPERLINK("https://kanzpp.ru/api/getInfo/image/38e90401-69b2-11ef-a265-00155d82e908")</f>
        <v>https://kanzpp.ru/api/getInfo/image/38e90401-69b2-11ef-a265-00155d82e908</v>
      </c>
      <c r="U805" s="6"/>
      <c r="V805" s="33" t="s">
        <v>35</v>
      </c>
    </row>
    <row r="806" spans="2:22" ht="21" customHeight="1" outlineLevel="7" x14ac:dyDescent="0.2">
      <c r="B806" s="5">
        <v>638</v>
      </c>
      <c r="C806" s="6" t="s">
        <v>2599</v>
      </c>
      <c r="D806" s="6" t="s">
        <v>2600</v>
      </c>
      <c r="E806" s="7" t="s">
        <v>2601</v>
      </c>
      <c r="F806" s="13"/>
      <c r="G806" s="14"/>
      <c r="H806" s="15">
        <v>480</v>
      </c>
      <c r="I806" s="15">
        <v>24</v>
      </c>
      <c r="J806" s="15">
        <v>166</v>
      </c>
      <c r="K806" s="5">
        <v>24</v>
      </c>
      <c r="L806" s="16">
        <v>38.466666666666669</v>
      </c>
      <c r="M806" s="12"/>
      <c r="N806" s="14">
        <f>L806*M806</f>
        <v>0</v>
      </c>
      <c r="O806" s="28">
        <f>0.04*M806</f>
        <v>0</v>
      </c>
      <c r="P806" s="24">
        <f>0.00006*M806</f>
        <v>0</v>
      </c>
      <c r="Q806" s="25"/>
      <c r="R806" s="26" t="s">
        <v>2602</v>
      </c>
      <c r="S806" s="26" t="s">
        <v>93</v>
      </c>
      <c r="T806" s="6" t="str">
        <f>HYPERLINK("https://kanzpp.ru/api/getInfo/image/2134e82d-8d26-11ee-a250-00155d82e908")</f>
        <v>https://kanzpp.ru/api/getInfo/image/2134e82d-8d26-11ee-a250-00155d82e908</v>
      </c>
      <c r="U806" s="6"/>
      <c r="V806" s="33" t="s">
        <v>35</v>
      </c>
    </row>
    <row r="807" spans="2:22" ht="22.95" customHeight="1" outlineLevel="6" x14ac:dyDescent="0.2">
      <c r="B807" s="84" t="s">
        <v>2603</v>
      </c>
      <c r="C807" s="84"/>
      <c r="D807" s="84"/>
      <c r="L807">
        <v>0</v>
      </c>
    </row>
    <row r="808" spans="2:22" ht="21" customHeight="1" outlineLevel="7" x14ac:dyDescent="0.2">
      <c r="B808" s="5">
        <v>639</v>
      </c>
      <c r="C808" s="6" t="s">
        <v>2604</v>
      </c>
      <c r="D808" s="6" t="s">
        <v>2605</v>
      </c>
      <c r="E808" s="7" t="s">
        <v>2606</v>
      </c>
      <c r="F808" s="13"/>
      <c r="G808" s="14"/>
      <c r="H808" s="15">
        <v>240</v>
      </c>
      <c r="I808" s="15">
        <v>12</v>
      </c>
      <c r="J808" s="14" t="s">
        <v>144</v>
      </c>
      <c r="K808" s="5">
        <v>12</v>
      </c>
      <c r="L808" s="16">
        <v>107.85333333333334</v>
      </c>
      <c r="M808" s="12"/>
      <c r="N808" s="14">
        <f>L808*M808</f>
        <v>0</v>
      </c>
      <c r="O808" s="23">
        <f>0.076*M808</f>
        <v>0</v>
      </c>
      <c r="P808" s="24">
        <f>0.00013*M808</f>
        <v>0</v>
      </c>
      <c r="Q808" s="25"/>
      <c r="R808" s="26" t="s">
        <v>2607</v>
      </c>
      <c r="S808" s="26" t="s">
        <v>93</v>
      </c>
      <c r="T808" s="6" t="str">
        <f>HYPERLINK("https://kanzpp.ru/api/getInfo/image/0c7d9ff6-8535-11ef-a265-00155d82e908")</f>
        <v>https://kanzpp.ru/api/getInfo/image/0c7d9ff6-8535-11ef-a265-00155d82e908</v>
      </c>
      <c r="U808" s="6"/>
      <c r="V808" s="33" t="s">
        <v>35</v>
      </c>
    </row>
    <row r="809" spans="2:22" ht="21" customHeight="1" outlineLevel="7" x14ac:dyDescent="0.2">
      <c r="B809" s="5">
        <v>640</v>
      </c>
      <c r="C809" s="6" t="s">
        <v>2608</v>
      </c>
      <c r="D809" s="6" t="s">
        <v>2609</v>
      </c>
      <c r="E809" s="7" t="s">
        <v>2610</v>
      </c>
      <c r="F809" s="13"/>
      <c r="G809" s="14"/>
      <c r="H809" s="15">
        <v>240</v>
      </c>
      <c r="I809" s="15">
        <v>12</v>
      </c>
      <c r="J809" s="14" t="s">
        <v>144</v>
      </c>
      <c r="K809" s="5">
        <v>12</v>
      </c>
      <c r="L809" s="16">
        <v>83.453333333333333</v>
      </c>
      <c r="M809" s="12"/>
      <c r="N809" s="14">
        <f>L809*M809</f>
        <v>0</v>
      </c>
      <c r="O809" s="23">
        <f>0.013*M809</f>
        <v>0</v>
      </c>
      <c r="P809" s="24">
        <f>0.00013*M809</f>
        <v>0</v>
      </c>
      <c r="Q809" s="25"/>
      <c r="R809" s="26" t="s">
        <v>2611</v>
      </c>
      <c r="S809" s="26" t="s">
        <v>93</v>
      </c>
      <c r="T809" s="6" t="str">
        <f>HYPERLINK("https://kanzpp.ru/api/getInfo/image/bbc522a1-69b2-11ef-a265-00155d82e908")</f>
        <v>https://kanzpp.ru/api/getInfo/image/bbc522a1-69b2-11ef-a265-00155d82e908</v>
      </c>
      <c r="U809" s="6"/>
      <c r="V809" s="33" t="s">
        <v>35</v>
      </c>
    </row>
    <row r="810" spans="2:22" ht="21" customHeight="1" outlineLevel="7" x14ac:dyDescent="0.2">
      <c r="B810" s="36">
        <v>641</v>
      </c>
      <c r="C810" s="37" t="s">
        <v>2612</v>
      </c>
      <c r="D810" s="37" t="s">
        <v>2613</v>
      </c>
      <c r="E810" s="38" t="s">
        <v>2614</v>
      </c>
      <c r="F810" s="39"/>
      <c r="G810" s="40"/>
      <c r="H810" s="41">
        <v>240</v>
      </c>
      <c r="I810" s="41">
        <v>12</v>
      </c>
      <c r="J810" s="41">
        <v>176</v>
      </c>
      <c r="K810" s="36">
        <v>12</v>
      </c>
      <c r="L810" s="42" t="e">
        <f>(IF(#REF!,91.73*(1-#REF!/100),91.73*(1-O3/100)))/0.75</f>
        <v>#REF!</v>
      </c>
      <c r="M810" s="12"/>
      <c r="N810" s="40" t="e">
        <f>L810*M810</f>
        <v>#REF!</v>
      </c>
      <c r="O810" s="48">
        <f>0.07*M810</f>
        <v>0</v>
      </c>
      <c r="P810" s="47">
        <f>0.00015*M810</f>
        <v>0</v>
      </c>
      <c r="Q810" s="44"/>
      <c r="R810" s="45" t="s">
        <v>2615</v>
      </c>
      <c r="S810" s="45" t="s">
        <v>93</v>
      </c>
      <c r="T810" s="37" t="str">
        <f>HYPERLINK("https://kanzpp.ru/api/getInfo/image/2358504e-8d27-11ee-a250-00155d82e908")</f>
        <v>https://kanzpp.ru/api/getInfo/image/2358504e-8d27-11ee-a250-00155d82e908</v>
      </c>
      <c r="U810" s="37"/>
    </row>
    <row r="811" spans="2:22" ht="22.95" customHeight="1" outlineLevel="6" x14ac:dyDescent="0.2">
      <c r="B811" s="84" t="s">
        <v>2616</v>
      </c>
      <c r="C811" s="84"/>
      <c r="D811" s="84"/>
      <c r="L811">
        <v>0</v>
      </c>
    </row>
    <row r="812" spans="2:22" ht="21" customHeight="1" outlineLevel="7" x14ac:dyDescent="0.2">
      <c r="B812" s="5">
        <v>642</v>
      </c>
      <c r="C812" s="6" t="s">
        <v>2617</v>
      </c>
      <c r="D812" s="6" t="s">
        <v>2618</v>
      </c>
      <c r="E812" s="7" t="s">
        <v>2619</v>
      </c>
      <c r="F812" s="13"/>
      <c r="G812" s="14"/>
      <c r="H812" s="15">
        <v>120</v>
      </c>
      <c r="I812" s="15">
        <v>12</v>
      </c>
      <c r="J812" s="14" t="s">
        <v>144</v>
      </c>
      <c r="K812" s="5">
        <v>12</v>
      </c>
      <c r="L812" s="16">
        <v>164.94666666666666</v>
      </c>
      <c r="M812" s="12"/>
      <c r="N812" s="14">
        <f>L812*M812</f>
        <v>0</v>
      </c>
      <c r="O812" s="23">
        <f>0.141*M812</f>
        <v>0</v>
      </c>
      <c r="P812" s="24">
        <f>0.00027*M812</f>
        <v>0</v>
      </c>
      <c r="Q812" s="25"/>
      <c r="R812" s="26" t="s">
        <v>2620</v>
      </c>
      <c r="S812" s="26" t="s">
        <v>93</v>
      </c>
      <c r="T812" s="6" t="str">
        <f>HYPERLINK("https://kanzpp.ru/api/getInfo/image/d17cfa1c-b5cc-11ee-a25a-00155d82e908")</f>
        <v>https://kanzpp.ru/api/getInfo/image/d17cfa1c-b5cc-11ee-a25a-00155d82e908</v>
      </c>
      <c r="U812" s="6"/>
      <c r="V812" s="33" t="s">
        <v>35</v>
      </c>
    </row>
    <row r="813" spans="2:22" ht="22.95" customHeight="1" outlineLevel="6" x14ac:dyDescent="0.2">
      <c r="B813" s="84" t="s">
        <v>2621</v>
      </c>
      <c r="C813" s="84"/>
      <c r="D813" s="84"/>
      <c r="L813">
        <v>0</v>
      </c>
    </row>
    <row r="814" spans="2:22" ht="21" customHeight="1" outlineLevel="7" x14ac:dyDescent="0.2">
      <c r="B814" s="36">
        <v>643</v>
      </c>
      <c r="C814" s="37" t="s">
        <v>2622</v>
      </c>
      <c r="D814" s="37" t="s">
        <v>2623</v>
      </c>
      <c r="E814" s="38" t="s">
        <v>2624</v>
      </c>
      <c r="F814" s="39"/>
      <c r="G814" s="40"/>
      <c r="H814" s="41">
        <v>80</v>
      </c>
      <c r="I814" s="41">
        <v>8</v>
      </c>
      <c r="J814" s="41">
        <v>257</v>
      </c>
      <c r="K814" s="36">
        <v>8</v>
      </c>
      <c r="L814" s="42" t="e">
        <f>(IF(#REF!,260.6*(1-#REF!/100),260.6*(1-O3/100)))/0.75</f>
        <v>#REF!</v>
      </c>
      <c r="M814" s="12"/>
      <c r="N814" s="40" t="e">
        <f>L814*M814</f>
        <v>#REF!</v>
      </c>
      <c r="O814" s="48">
        <f>0.21*M814</f>
        <v>0</v>
      </c>
      <c r="P814" s="47">
        <f>0.00047*M814</f>
        <v>0</v>
      </c>
      <c r="Q814" s="44"/>
      <c r="R814" s="45" t="s">
        <v>2625</v>
      </c>
      <c r="S814" s="45" t="s">
        <v>93</v>
      </c>
      <c r="T814" s="37" t="str">
        <f>HYPERLINK("https://kanzpp.ru/api/getInfo/image/74eaef2e-b5cd-11ee-a25a-00155d82e908")</f>
        <v>https://kanzpp.ru/api/getInfo/image/74eaef2e-b5cd-11ee-a25a-00155d82e908</v>
      </c>
      <c r="U814" s="37"/>
    </row>
    <row r="815" spans="2:22" ht="22.95" customHeight="1" outlineLevel="5" x14ac:dyDescent="0.2">
      <c r="B815" s="83" t="s">
        <v>2626</v>
      </c>
      <c r="C815" s="83"/>
      <c r="D815" s="83"/>
      <c r="L815">
        <v>0</v>
      </c>
    </row>
    <row r="816" spans="2:22" ht="22.95" customHeight="1" outlineLevel="6" x14ac:dyDescent="0.2">
      <c r="B816" s="84" t="s">
        <v>2627</v>
      </c>
      <c r="C816" s="84"/>
      <c r="D816" s="84"/>
      <c r="L816">
        <v>0</v>
      </c>
    </row>
    <row r="817" spans="2:22" ht="21" customHeight="1" outlineLevel="7" x14ac:dyDescent="0.2">
      <c r="B817" s="5">
        <v>644</v>
      </c>
      <c r="C817" s="6" t="s">
        <v>2628</v>
      </c>
      <c r="D817" s="6" t="s">
        <v>2629</v>
      </c>
      <c r="E817" s="7" t="s">
        <v>2630</v>
      </c>
      <c r="F817" s="13"/>
      <c r="G817" s="14"/>
      <c r="H817" s="15">
        <v>144</v>
      </c>
      <c r="I817" s="15">
        <v>24</v>
      </c>
      <c r="J817" s="14" t="s">
        <v>144</v>
      </c>
      <c r="K817" s="5">
        <v>24</v>
      </c>
      <c r="L817" s="16">
        <v>84.399999999999991</v>
      </c>
      <c r="M817" s="12"/>
      <c r="N817" s="14">
        <f>L817*M817</f>
        <v>0</v>
      </c>
      <c r="O817" s="28">
        <f>0.07*M817</f>
        <v>0</v>
      </c>
      <c r="P817" s="24">
        <f>0.00012*M817</f>
        <v>0</v>
      </c>
      <c r="Q817" s="25"/>
      <c r="R817" s="26" t="s">
        <v>2631</v>
      </c>
      <c r="S817" s="26" t="s">
        <v>93</v>
      </c>
      <c r="T817" s="6" t="str">
        <f>HYPERLINK("https://kanzpp.ru/api/getInfo/image/316fd1f4-8db1-11ee-a250-00155d82e908")</f>
        <v>https://kanzpp.ru/api/getInfo/image/316fd1f4-8db1-11ee-a250-00155d82e908</v>
      </c>
      <c r="U817" s="6"/>
      <c r="V817" s="33" t="s">
        <v>35</v>
      </c>
    </row>
    <row r="818" spans="2:22" ht="22.95" customHeight="1" outlineLevel="6" x14ac:dyDescent="0.2">
      <c r="B818" s="84" t="s">
        <v>2632</v>
      </c>
      <c r="C818" s="84"/>
      <c r="D818" s="84"/>
      <c r="L818">
        <v>0</v>
      </c>
    </row>
    <row r="819" spans="2:22" ht="21" customHeight="1" outlineLevel="7" x14ac:dyDescent="0.2">
      <c r="B819" s="5">
        <v>645</v>
      </c>
      <c r="C819" s="6" t="s">
        <v>2633</v>
      </c>
      <c r="D819" s="6" t="s">
        <v>2634</v>
      </c>
      <c r="E819" s="7" t="s">
        <v>2635</v>
      </c>
      <c r="F819" s="13"/>
      <c r="G819" s="14"/>
      <c r="H819" s="15">
        <v>144</v>
      </c>
      <c r="I819" s="15">
        <v>12</v>
      </c>
      <c r="J819" s="14" t="s">
        <v>144</v>
      </c>
      <c r="K819" s="5">
        <v>12</v>
      </c>
      <c r="L819" s="16">
        <v>163.12</v>
      </c>
      <c r="M819" s="12"/>
      <c r="N819" s="14">
        <f>L819*M819</f>
        <v>0</v>
      </c>
      <c r="O819" s="28">
        <f>0.14*M819</f>
        <v>0</v>
      </c>
      <c r="P819" s="24">
        <f>0.00023*M819</f>
        <v>0</v>
      </c>
      <c r="Q819" s="25"/>
      <c r="R819" s="26" t="s">
        <v>2636</v>
      </c>
      <c r="S819" s="26" t="s">
        <v>93</v>
      </c>
      <c r="T819" s="6" t="str">
        <f>HYPERLINK("https://kanzpp.ru/api/getInfo/image/be498e93-8db0-11ee-a250-00155d82e908")</f>
        <v>https://kanzpp.ru/api/getInfo/image/be498e93-8db0-11ee-a250-00155d82e908</v>
      </c>
      <c r="U819" s="6"/>
      <c r="V819" s="33" t="s">
        <v>35</v>
      </c>
    </row>
    <row r="820" spans="2:22" ht="22.95" customHeight="1" outlineLevel="6" x14ac:dyDescent="0.2">
      <c r="B820" s="84" t="s">
        <v>2637</v>
      </c>
      <c r="C820" s="84"/>
      <c r="D820" s="84"/>
      <c r="L820">
        <v>0</v>
      </c>
    </row>
    <row r="821" spans="2:22" ht="21" customHeight="1" outlineLevel="7" x14ac:dyDescent="0.2">
      <c r="B821" s="5">
        <v>646</v>
      </c>
      <c r="C821" s="6" t="s">
        <v>2638</v>
      </c>
      <c r="D821" s="6" t="s">
        <v>2639</v>
      </c>
      <c r="E821" s="7" t="s">
        <v>2640</v>
      </c>
      <c r="F821" s="13"/>
      <c r="G821" s="14"/>
      <c r="H821" s="15">
        <v>160</v>
      </c>
      <c r="I821" s="15">
        <v>8</v>
      </c>
      <c r="J821" s="17">
        <v>1064</v>
      </c>
      <c r="K821" s="5">
        <v>8</v>
      </c>
      <c r="L821" s="16">
        <v>113.30666666666667</v>
      </c>
      <c r="M821" s="12"/>
      <c r="N821" s="14">
        <f>L821*M821</f>
        <v>0</v>
      </c>
      <c r="O821" s="28">
        <f>0.12*M821</f>
        <v>0</v>
      </c>
      <c r="P821" s="24">
        <f>0.00021*M821</f>
        <v>0</v>
      </c>
      <c r="Q821" s="25"/>
      <c r="R821" s="26" t="s">
        <v>2641</v>
      </c>
      <c r="S821" s="26" t="s">
        <v>93</v>
      </c>
      <c r="T821" s="6" t="str">
        <f>HYPERLINK("https://kanzpp.ru/api/getInfo/image/ab3a2157-8dad-11ee-a250-00155d82e908")</f>
        <v>https://kanzpp.ru/api/getInfo/image/ab3a2157-8dad-11ee-a250-00155d82e908</v>
      </c>
      <c r="U821" s="6"/>
      <c r="V821" s="33" t="s">
        <v>35</v>
      </c>
    </row>
    <row r="822" spans="2:22" ht="22.95" customHeight="1" outlineLevel="6" x14ac:dyDescent="0.2">
      <c r="B822" s="84" t="s">
        <v>2642</v>
      </c>
      <c r="C822" s="84"/>
      <c r="D822" s="84"/>
      <c r="L822">
        <v>0</v>
      </c>
    </row>
    <row r="823" spans="2:22" ht="21" customHeight="1" outlineLevel="7" x14ac:dyDescent="0.2">
      <c r="B823" s="36">
        <v>647</v>
      </c>
      <c r="C823" s="37" t="s">
        <v>2643</v>
      </c>
      <c r="D823" s="37" t="s">
        <v>2644</v>
      </c>
      <c r="E823" s="38" t="s">
        <v>2645</v>
      </c>
      <c r="F823" s="39"/>
      <c r="G823" s="40"/>
      <c r="H823" s="41">
        <v>120</v>
      </c>
      <c r="I823" s="41">
        <v>6</v>
      </c>
      <c r="J823" s="41">
        <v>110</v>
      </c>
      <c r="K823" s="36">
        <v>6</v>
      </c>
      <c r="L823" s="42" t="e">
        <f>(IF(#REF!,262.62*(1-#REF!/100),262.62*(1-O3/100)))/0.75</f>
        <v>#REF!</v>
      </c>
      <c r="M823" s="12"/>
      <c r="N823" s="40" t="e">
        <f>L823*M823</f>
        <v>#REF!</v>
      </c>
      <c r="O823" s="43">
        <f>0.144*M823</f>
        <v>0</v>
      </c>
      <c r="P823" s="47">
        <f>0.00042*M823</f>
        <v>0</v>
      </c>
      <c r="Q823" s="44"/>
      <c r="R823" s="45" t="s">
        <v>2646</v>
      </c>
      <c r="S823" s="45" t="s">
        <v>93</v>
      </c>
      <c r="T823" s="37" t="str">
        <f>HYPERLINK("https://kanzpp.ru/api/getInfo/image/a9c1da1c-b53d-11ee-a259-00155d82e908")</f>
        <v>https://kanzpp.ru/api/getInfo/image/a9c1da1c-b53d-11ee-a259-00155d82e908</v>
      </c>
      <c r="U823" s="37"/>
    </row>
    <row r="824" spans="2:22" ht="21" customHeight="1" outlineLevel="7" x14ac:dyDescent="0.2">
      <c r="B824" s="5">
        <v>648</v>
      </c>
      <c r="C824" s="6" t="s">
        <v>2647</v>
      </c>
      <c r="D824" s="6" t="s">
        <v>2648</v>
      </c>
      <c r="E824" s="7" t="s">
        <v>2649</v>
      </c>
      <c r="F824" s="13"/>
      <c r="G824" s="14"/>
      <c r="H824" s="15">
        <v>120</v>
      </c>
      <c r="I824" s="15">
        <v>6</v>
      </c>
      <c r="J824" s="15">
        <v>792</v>
      </c>
      <c r="K824" s="5">
        <v>6</v>
      </c>
      <c r="L824" s="16">
        <v>132</v>
      </c>
      <c r="M824" s="12"/>
      <c r="N824" s="14">
        <f>L824*M824</f>
        <v>0</v>
      </c>
      <c r="O824" s="28">
        <f>0.14*M824</f>
        <v>0</v>
      </c>
      <c r="P824" s="24">
        <f>0.00031*M824</f>
        <v>0</v>
      </c>
      <c r="Q824" s="25"/>
      <c r="R824" s="26" t="s">
        <v>2650</v>
      </c>
      <c r="S824" s="26" t="s">
        <v>93</v>
      </c>
      <c r="T824" s="6" t="str">
        <f>HYPERLINK("https://kanzpp.ru/api/getInfo/image/14b5d5d9-8dae-11ee-a250-00155d82e908")</f>
        <v>https://kanzpp.ru/api/getInfo/image/14b5d5d9-8dae-11ee-a250-00155d82e908</v>
      </c>
      <c r="U824" s="6"/>
      <c r="V824" s="33" t="s">
        <v>35</v>
      </c>
    </row>
    <row r="825" spans="2:22" ht="22.95" customHeight="1" outlineLevel="5" x14ac:dyDescent="0.2">
      <c r="B825" s="83" t="s">
        <v>2651</v>
      </c>
      <c r="C825" s="83"/>
      <c r="D825" s="83"/>
      <c r="L825">
        <v>0</v>
      </c>
    </row>
    <row r="826" spans="2:22" ht="21" customHeight="1" outlineLevel="6" x14ac:dyDescent="0.2">
      <c r="B826" s="5">
        <v>649</v>
      </c>
      <c r="C826" s="6" t="s">
        <v>2652</v>
      </c>
      <c r="D826" s="6" t="s">
        <v>2653</v>
      </c>
      <c r="E826" s="7" t="s">
        <v>2654</v>
      </c>
      <c r="F826" s="13"/>
      <c r="G826" s="14"/>
      <c r="H826" s="15">
        <v>240</v>
      </c>
      <c r="I826" s="15">
        <v>12</v>
      </c>
      <c r="J826" s="15">
        <v>662</v>
      </c>
      <c r="K826" s="5">
        <v>12</v>
      </c>
      <c r="L826" s="16">
        <v>91.106666666666669</v>
      </c>
      <c r="M826" s="12"/>
      <c r="N826" s="14">
        <f>L826*M826</f>
        <v>0</v>
      </c>
      <c r="O826" s="23">
        <f>0.072*M826</f>
        <v>0</v>
      </c>
      <c r="P826" s="24">
        <f>0.00025*M826</f>
        <v>0</v>
      </c>
      <c r="Q826" s="25"/>
      <c r="R826" s="26" t="s">
        <v>2655</v>
      </c>
      <c r="S826" s="26" t="s">
        <v>93</v>
      </c>
      <c r="T826" s="6" t="str">
        <f>HYPERLINK("https://kanzpp.ru/api/getInfo/image/ee41da3e-8db2-11ee-a250-00155d82e908")</f>
        <v>https://kanzpp.ru/api/getInfo/image/ee41da3e-8db2-11ee-a250-00155d82e908</v>
      </c>
      <c r="U826" s="6"/>
      <c r="V826" s="33" t="s">
        <v>35</v>
      </c>
    </row>
    <row r="827" spans="2:22" ht="21" customHeight="1" outlineLevel="6" x14ac:dyDescent="0.2">
      <c r="B827" s="5">
        <v>650</v>
      </c>
      <c r="C827" s="6" t="s">
        <v>2656</v>
      </c>
      <c r="D827" s="6" t="s">
        <v>2657</v>
      </c>
      <c r="E827" s="7" t="s">
        <v>2658</v>
      </c>
      <c r="F827" s="13"/>
      <c r="G827" s="14"/>
      <c r="H827" s="15">
        <v>160</v>
      </c>
      <c r="I827" s="15">
        <v>8</v>
      </c>
      <c r="J827" s="14" t="s">
        <v>144</v>
      </c>
      <c r="K827" s="5">
        <v>8</v>
      </c>
      <c r="L827" s="16">
        <v>145.74666666666667</v>
      </c>
      <c r="M827" s="12"/>
      <c r="N827" s="14">
        <f>L827*M827</f>
        <v>0</v>
      </c>
      <c r="O827" s="23">
        <f>0.112*M827</f>
        <v>0</v>
      </c>
      <c r="P827" s="24">
        <f>0.00038*M827</f>
        <v>0</v>
      </c>
      <c r="Q827" s="25"/>
      <c r="R827" s="26" t="s">
        <v>2659</v>
      </c>
      <c r="S827" s="26" t="s">
        <v>93</v>
      </c>
      <c r="T827" s="6" t="str">
        <f>HYPERLINK("https://kanzpp.ru/api/getInfo/image/1a9693ef-8db3-11ee-a250-00155d82e908")</f>
        <v>https://kanzpp.ru/api/getInfo/image/1a9693ef-8db3-11ee-a250-00155d82e908</v>
      </c>
      <c r="U827" s="6"/>
      <c r="V827" s="33" t="s">
        <v>35</v>
      </c>
    </row>
    <row r="828" spans="2:22" ht="21" customHeight="1" outlineLevel="6" x14ac:dyDescent="0.2">
      <c r="B828" s="5">
        <v>651</v>
      </c>
      <c r="C828" s="6" t="s">
        <v>2660</v>
      </c>
      <c r="D828" s="6" t="s">
        <v>2661</v>
      </c>
      <c r="E828" s="7" t="s">
        <v>2662</v>
      </c>
      <c r="F828" s="13"/>
      <c r="G828" s="14"/>
      <c r="H828" s="15">
        <v>160</v>
      </c>
      <c r="I828" s="15">
        <v>8</v>
      </c>
      <c r="J828" s="14" t="s">
        <v>144</v>
      </c>
      <c r="K828" s="5">
        <v>8</v>
      </c>
      <c r="L828" s="16">
        <v>199.78666666666666</v>
      </c>
      <c r="M828" s="12"/>
      <c r="N828" s="14">
        <f>L828*M828</f>
        <v>0</v>
      </c>
      <c r="O828" s="23">
        <f>0.109*M828</f>
        <v>0</v>
      </c>
      <c r="P828" s="24">
        <f>0.00016*M828</f>
        <v>0</v>
      </c>
      <c r="Q828" s="25"/>
      <c r="R828" s="26" t="s">
        <v>2663</v>
      </c>
      <c r="S828" s="26" t="s">
        <v>93</v>
      </c>
      <c r="T828" s="6" t="str">
        <f>HYPERLINK("https://kanzpp.ru/api/getInfo/image/d900fe3e-6e9a-11ef-a265-00155d82e908")</f>
        <v>https://kanzpp.ru/api/getInfo/image/d900fe3e-6e9a-11ef-a265-00155d82e908</v>
      </c>
      <c r="U828" s="6"/>
      <c r="V828" s="33" t="s">
        <v>35</v>
      </c>
    </row>
    <row r="829" spans="2:22" ht="22.95" customHeight="1" outlineLevel="5" x14ac:dyDescent="0.2">
      <c r="B829" s="83" t="s">
        <v>2664</v>
      </c>
      <c r="C829" s="83"/>
      <c r="D829" s="83"/>
      <c r="L829">
        <v>0</v>
      </c>
    </row>
    <row r="830" spans="2:22" ht="21" customHeight="1" outlineLevel="6" x14ac:dyDescent="0.2">
      <c r="B830" s="36">
        <v>652</v>
      </c>
      <c r="C830" s="37" t="s">
        <v>2665</v>
      </c>
      <c r="D830" s="37" t="s">
        <v>2666</v>
      </c>
      <c r="E830" s="38" t="s">
        <v>2667</v>
      </c>
      <c r="F830" s="39"/>
      <c r="G830" s="40"/>
      <c r="H830" s="41">
        <v>40</v>
      </c>
      <c r="I830" s="41">
        <v>4</v>
      </c>
      <c r="J830" s="41">
        <v>27</v>
      </c>
      <c r="K830" s="36">
        <v>4</v>
      </c>
      <c r="L830" s="42" t="e">
        <f>(IF(#REF!,436.01*(1-#REF!/100),436.01*(1-O3/100)))/0.75</f>
        <v>#REF!</v>
      </c>
      <c r="M830" s="12"/>
      <c r="N830" s="40" t="e">
        <f>L830*M830</f>
        <v>#REF!</v>
      </c>
      <c r="O830" s="43">
        <f>0.344*M830</f>
        <v>0</v>
      </c>
      <c r="P830" s="47">
        <f>0.00057*M830</f>
        <v>0</v>
      </c>
      <c r="Q830" s="44"/>
      <c r="R830" s="45" t="s">
        <v>2668</v>
      </c>
      <c r="S830" s="45" t="s">
        <v>93</v>
      </c>
      <c r="T830" s="37" t="str">
        <f>HYPERLINK("https://kanzpp.ru/api/getInfo/image/64fa8719-b53d-11ee-a259-00155d82e908")</f>
        <v>https://kanzpp.ru/api/getInfo/image/64fa8719-b53d-11ee-a259-00155d82e908</v>
      </c>
      <c r="U830" s="37"/>
    </row>
    <row r="831" spans="2:22" ht="21" customHeight="1" outlineLevel="6" x14ac:dyDescent="0.2">
      <c r="B831" s="5">
        <v>653</v>
      </c>
      <c r="C831" s="6" t="s">
        <v>2669</v>
      </c>
      <c r="D831" s="6" t="s">
        <v>2670</v>
      </c>
      <c r="E831" s="7" t="s">
        <v>2671</v>
      </c>
      <c r="F831" s="13"/>
      <c r="G831" s="14"/>
      <c r="H831" s="15">
        <v>240</v>
      </c>
      <c r="I831" s="15">
        <v>12</v>
      </c>
      <c r="J831" s="15">
        <v>871</v>
      </c>
      <c r="K831" s="5">
        <v>12</v>
      </c>
      <c r="L831" s="16">
        <v>111.02666666666666</v>
      </c>
      <c r="M831" s="12"/>
      <c r="N831" s="14">
        <f>L831*M831</f>
        <v>0</v>
      </c>
      <c r="O831" s="23">
        <f>0.083*M831</f>
        <v>0</v>
      </c>
      <c r="P831" s="24">
        <f>0.00027*M831</f>
        <v>0</v>
      </c>
      <c r="Q831" s="25"/>
      <c r="R831" s="26" t="s">
        <v>2672</v>
      </c>
      <c r="S831" s="26" t="s">
        <v>93</v>
      </c>
      <c r="T831" s="6" t="str">
        <f>HYPERLINK("https://kanzpp.ru/api/getInfo/image/7bd4eb52-8535-11ef-a265-00155d82e908")</f>
        <v>https://kanzpp.ru/api/getInfo/image/7bd4eb52-8535-11ef-a265-00155d82e908</v>
      </c>
      <c r="U831" s="6"/>
      <c r="V831" s="33" t="s">
        <v>35</v>
      </c>
    </row>
    <row r="832" spans="2:22" ht="21" customHeight="1" outlineLevel="6" x14ac:dyDescent="0.2">
      <c r="B832" s="5">
        <v>654</v>
      </c>
      <c r="C832" s="6" t="s">
        <v>2673</v>
      </c>
      <c r="D832" s="6" t="s">
        <v>2674</v>
      </c>
      <c r="E832" s="7" t="s">
        <v>2675</v>
      </c>
      <c r="F832" s="13"/>
      <c r="G832" s="14"/>
      <c r="H832" s="15">
        <v>160</v>
      </c>
      <c r="I832" s="15">
        <v>8</v>
      </c>
      <c r="J832" s="14" t="s">
        <v>144</v>
      </c>
      <c r="K832" s="5">
        <v>8</v>
      </c>
      <c r="L832" s="16">
        <v>160.88</v>
      </c>
      <c r="M832" s="12"/>
      <c r="N832" s="14">
        <f>L832*M832</f>
        <v>0</v>
      </c>
      <c r="O832" s="23">
        <f>0.117*M832</f>
        <v>0</v>
      </c>
      <c r="P832" s="24">
        <f>0.00042*M832</f>
        <v>0</v>
      </c>
      <c r="Q832" s="25"/>
      <c r="R832" s="26" t="s">
        <v>2676</v>
      </c>
      <c r="S832" s="26" t="s">
        <v>93</v>
      </c>
      <c r="T832" s="6" t="str">
        <f>HYPERLINK("https://kanzpp.ru/api/getInfo/image/80c93d2f-8536-11ef-a265-00155d82e908")</f>
        <v>https://kanzpp.ru/api/getInfo/image/80c93d2f-8536-11ef-a265-00155d82e908</v>
      </c>
      <c r="U832" s="6"/>
      <c r="V832" s="33" t="s">
        <v>35</v>
      </c>
    </row>
    <row r="833" spans="2:22" ht="22.95" customHeight="1" outlineLevel="5" x14ac:dyDescent="0.2">
      <c r="B833" s="83" t="s">
        <v>2677</v>
      </c>
      <c r="C833" s="83"/>
      <c r="D833" s="83"/>
      <c r="L833">
        <v>0</v>
      </c>
    </row>
    <row r="834" spans="2:22" ht="21" customHeight="1" outlineLevel="6" x14ac:dyDescent="0.2">
      <c r="B834" s="5">
        <v>655</v>
      </c>
      <c r="C834" s="6" t="s">
        <v>2678</v>
      </c>
      <c r="D834" s="6" t="s">
        <v>2679</v>
      </c>
      <c r="E834" s="7" t="s">
        <v>2680</v>
      </c>
      <c r="F834" s="13"/>
      <c r="G834" s="14"/>
      <c r="H834" s="15">
        <v>144</v>
      </c>
      <c r="I834" s="15">
        <v>12</v>
      </c>
      <c r="J834" s="14" t="s">
        <v>144</v>
      </c>
      <c r="K834" s="5">
        <v>12</v>
      </c>
      <c r="L834" s="16">
        <v>175.88</v>
      </c>
      <c r="M834" s="12"/>
      <c r="N834" s="14">
        <f>L834*M834</f>
        <v>0</v>
      </c>
      <c r="O834" s="28">
        <f>0.13*M834</f>
        <v>0</v>
      </c>
      <c r="P834" s="24">
        <f>0.00026*M834</f>
        <v>0</v>
      </c>
      <c r="Q834" s="25"/>
      <c r="R834" s="26" t="s">
        <v>2681</v>
      </c>
      <c r="S834" s="26" t="s">
        <v>93</v>
      </c>
      <c r="T834" s="6" t="str">
        <f>HYPERLINK("https://kanzpp.ru/api/getInfo/image/7c0ab265-8db3-11ee-a250-00155d82e908")</f>
        <v>https://kanzpp.ru/api/getInfo/image/7c0ab265-8db3-11ee-a250-00155d82e908</v>
      </c>
      <c r="U834" s="6"/>
      <c r="V834" s="33" t="s">
        <v>35</v>
      </c>
    </row>
    <row r="835" spans="2:22" ht="22.95" customHeight="1" outlineLevel="5" x14ac:dyDescent="0.2">
      <c r="B835" s="83" t="s">
        <v>2682</v>
      </c>
      <c r="C835" s="83"/>
      <c r="D835" s="83"/>
      <c r="L835">
        <v>0</v>
      </c>
    </row>
    <row r="836" spans="2:22" ht="21" customHeight="1" outlineLevel="6" x14ac:dyDescent="0.2">
      <c r="B836" s="5">
        <v>656</v>
      </c>
      <c r="C836" s="6" t="s">
        <v>2683</v>
      </c>
      <c r="D836" s="6" t="s">
        <v>2684</v>
      </c>
      <c r="E836" s="7" t="s">
        <v>2685</v>
      </c>
      <c r="F836" s="13"/>
      <c r="G836" s="14"/>
      <c r="H836" s="15">
        <v>240</v>
      </c>
      <c r="I836" s="15">
        <v>12</v>
      </c>
      <c r="J836" s="14" t="s">
        <v>144</v>
      </c>
      <c r="K836" s="5">
        <v>12</v>
      </c>
      <c r="L836" s="16">
        <v>74.626666666666665</v>
      </c>
      <c r="M836" s="12"/>
      <c r="N836" s="14">
        <f>L836*M836</f>
        <v>0</v>
      </c>
      <c r="O836" s="28">
        <f>0.07*M836</f>
        <v>0</v>
      </c>
      <c r="P836" s="24">
        <f>0.00015*M836</f>
        <v>0</v>
      </c>
      <c r="Q836" s="25"/>
      <c r="R836" s="26" t="s">
        <v>2686</v>
      </c>
      <c r="S836" s="26" t="s">
        <v>93</v>
      </c>
      <c r="T836" s="6" t="str">
        <f>HYPERLINK("https://kanzpp.ru/api/getInfo/image/d9e685c3-8db3-11ee-a250-00155d82e908")</f>
        <v>https://kanzpp.ru/api/getInfo/image/d9e685c3-8db3-11ee-a250-00155d82e908</v>
      </c>
      <c r="U836" s="6"/>
      <c r="V836" s="33" t="s">
        <v>35</v>
      </c>
    </row>
    <row r="837" spans="2:22" ht="22.95" customHeight="1" outlineLevel="5" x14ac:dyDescent="0.2">
      <c r="B837" s="83" t="s">
        <v>2687</v>
      </c>
      <c r="C837" s="83"/>
      <c r="D837" s="83"/>
      <c r="L837">
        <v>0</v>
      </c>
    </row>
    <row r="838" spans="2:22" ht="21" customHeight="1" outlineLevel="6" x14ac:dyDescent="0.2">
      <c r="B838" s="36">
        <v>657</v>
      </c>
      <c r="C838" s="37" t="s">
        <v>2688</v>
      </c>
      <c r="D838" s="37" t="s">
        <v>2689</v>
      </c>
      <c r="E838" s="38" t="s">
        <v>2690</v>
      </c>
      <c r="F838" s="39"/>
      <c r="G838" s="40"/>
      <c r="H838" s="41">
        <v>240</v>
      </c>
      <c r="I838" s="41">
        <v>12</v>
      </c>
      <c r="J838" s="41">
        <v>368</v>
      </c>
      <c r="K838" s="36">
        <v>12</v>
      </c>
      <c r="L838" s="42" t="e">
        <f>(IF(#REF!,94.69*(1-#REF!/100),94.69*(1-O3/100)))/0.75</f>
        <v>#REF!</v>
      </c>
      <c r="M838" s="12"/>
      <c r="N838" s="40" t="e">
        <f>L838*M838</f>
        <v>#REF!</v>
      </c>
      <c r="O838" s="48">
        <f>0.07*M838</f>
        <v>0</v>
      </c>
      <c r="P838" s="47">
        <f>0.00012*M838</f>
        <v>0</v>
      </c>
      <c r="Q838" s="44"/>
      <c r="R838" s="45" t="s">
        <v>2691</v>
      </c>
      <c r="S838" s="45" t="s">
        <v>93</v>
      </c>
      <c r="T838" s="37" t="str">
        <f>HYPERLINK("https://kanzpp.ru/api/getInfo/image/8d27ce79-c403-11ed-a230-00155d82e902")</f>
        <v>https://kanzpp.ru/api/getInfo/image/8d27ce79-c403-11ed-a230-00155d82e902</v>
      </c>
      <c r="U838" s="37"/>
    </row>
    <row r="839" spans="2:22" ht="21" customHeight="1" outlineLevel="6" x14ac:dyDescent="0.2">
      <c r="B839" s="36">
        <v>658</v>
      </c>
      <c r="C839" s="37" t="s">
        <v>2692</v>
      </c>
      <c r="D839" s="37" t="s">
        <v>2693</v>
      </c>
      <c r="E839" s="38" t="s">
        <v>2694</v>
      </c>
      <c r="F839" s="39"/>
      <c r="G839" s="40"/>
      <c r="H839" s="41">
        <v>160</v>
      </c>
      <c r="I839" s="41">
        <v>8</v>
      </c>
      <c r="J839" s="41">
        <v>29</v>
      </c>
      <c r="K839" s="36">
        <v>8</v>
      </c>
      <c r="L839" s="42" t="e">
        <f>(IF(#REF!,140.56*(1-#REF!/100),140.56*(1-O3/100)))/0.75</f>
        <v>#REF!</v>
      </c>
      <c r="M839" s="12"/>
      <c r="N839" s="40" t="e">
        <f>L839*M839</f>
        <v>#REF!</v>
      </c>
      <c r="O839" s="48">
        <f>0.12*M839</f>
        <v>0</v>
      </c>
      <c r="P839" s="47">
        <f>0.00029*M839</f>
        <v>0</v>
      </c>
      <c r="Q839" s="44"/>
      <c r="R839" s="45" t="s">
        <v>2695</v>
      </c>
      <c r="S839" s="45" t="s">
        <v>93</v>
      </c>
      <c r="T839" s="37" t="str">
        <f>HYPERLINK("https://kanzpp.ru/api/getInfo/image/111fb861-c404-11ed-a230-00155d82e902")</f>
        <v>https://kanzpp.ru/api/getInfo/image/111fb861-c404-11ed-a230-00155d82e902</v>
      </c>
      <c r="U839" s="37"/>
    </row>
    <row r="840" spans="2:22" ht="22.95" customHeight="1" outlineLevel="3" x14ac:dyDescent="0.2">
      <c r="B840" s="81" t="s">
        <v>2696</v>
      </c>
      <c r="C840" s="81"/>
      <c r="D840" s="81"/>
      <c r="L840">
        <v>0</v>
      </c>
    </row>
    <row r="841" spans="2:22" ht="22.95" customHeight="1" outlineLevel="4" x14ac:dyDescent="0.2">
      <c r="B841" s="82" t="s">
        <v>2697</v>
      </c>
      <c r="C841" s="82"/>
      <c r="D841" s="82"/>
      <c r="L841">
        <v>0</v>
      </c>
    </row>
    <row r="842" spans="2:22" ht="21" customHeight="1" outlineLevel="5" x14ac:dyDescent="0.2">
      <c r="B842" s="5">
        <v>659</v>
      </c>
      <c r="C842" s="6" t="s">
        <v>2698</v>
      </c>
      <c r="D842" s="6" t="s">
        <v>2699</v>
      </c>
      <c r="E842" s="7" t="s">
        <v>2700</v>
      </c>
      <c r="F842" s="13"/>
      <c r="G842" s="14"/>
      <c r="H842" s="15">
        <v>480</v>
      </c>
      <c r="I842" s="15">
        <v>12</v>
      </c>
      <c r="J842" s="17">
        <v>1444</v>
      </c>
      <c r="K842" s="5">
        <v>24</v>
      </c>
      <c r="L842" s="16">
        <v>9.32</v>
      </c>
      <c r="M842" s="12"/>
      <c r="N842" s="14">
        <f>L842*M842</f>
        <v>0</v>
      </c>
      <c r="O842" s="23">
        <f>0.039*M842</f>
        <v>0</v>
      </c>
      <c r="P842" s="24">
        <f>0.00026*M842</f>
        <v>0</v>
      </c>
      <c r="Q842" s="25"/>
      <c r="R842" s="26" t="s">
        <v>2701</v>
      </c>
      <c r="S842" s="26" t="s">
        <v>93</v>
      </c>
      <c r="T842" s="6" t="str">
        <f>HYPERLINK("https://kanzpp.ru/api/getInfo/image/b239751a-274f-11ec-a20f-ac1f6b442185")</f>
        <v>https://kanzpp.ru/api/getInfo/image/b239751a-274f-11ec-a20f-ac1f6b442185</v>
      </c>
      <c r="U842" s="6"/>
      <c r="V842" s="33" t="s">
        <v>35</v>
      </c>
    </row>
    <row r="843" spans="2:22" ht="21" customHeight="1" outlineLevel="5" x14ac:dyDescent="0.2">
      <c r="B843" s="5">
        <v>660</v>
      </c>
      <c r="C843" s="6" t="s">
        <v>2702</v>
      </c>
      <c r="D843" s="6" t="s">
        <v>2703</v>
      </c>
      <c r="E843" s="7" t="s">
        <v>2704</v>
      </c>
      <c r="F843" s="13"/>
      <c r="G843" s="14"/>
      <c r="H843" s="15">
        <v>144</v>
      </c>
      <c r="I843" s="15">
        <v>12</v>
      </c>
      <c r="J843" s="15">
        <v>12</v>
      </c>
      <c r="K843" s="5">
        <v>12</v>
      </c>
      <c r="L843" s="16">
        <v>26.653333333333332</v>
      </c>
      <c r="M843" s="12"/>
      <c r="N843" s="14">
        <f>L843*M843</f>
        <v>0</v>
      </c>
      <c r="O843" s="23">
        <f>0.085*M843</f>
        <v>0</v>
      </c>
      <c r="P843" s="31">
        <f>0.0005*M843</f>
        <v>0</v>
      </c>
      <c r="Q843" s="25"/>
      <c r="R843" s="26" t="s">
        <v>2705</v>
      </c>
      <c r="S843" s="26" t="s">
        <v>93</v>
      </c>
      <c r="T843" s="6" t="str">
        <f>HYPERLINK("https://kanzpp.ru/api/getInfo/image/b3eb2ba4-5331-11ef-a262-00155d82e908")</f>
        <v>https://kanzpp.ru/api/getInfo/image/b3eb2ba4-5331-11ef-a262-00155d82e908</v>
      </c>
      <c r="U843" s="6"/>
      <c r="V843" s="33" t="s">
        <v>35</v>
      </c>
    </row>
    <row r="844" spans="2:22" ht="22.95" customHeight="1" outlineLevel="4" x14ac:dyDescent="0.2">
      <c r="B844" s="82" t="s">
        <v>2706</v>
      </c>
      <c r="C844" s="82"/>
      <c r="D844" s="82"/>
      <c r="L844">
        <v>0</v>
      </c>
    </row>
    <row r="845" spans="2:22" ht="22.95" customHeight="1" outlineLevel="5" x14ac:dyDescent="0.2">
      <c r="B845" s="83" t="s">
        <v>2707</v>
      </c>
      <c r="C845" s="83"/>
      <c r="D845" s="83"/>
      <c r="L845">
        <v>0</v>
      </c>
    </row>
    <row r="846" spans="2:22" ht="21" customHeight="1" outlineLevel="6" x14ac:dyDescent="0.2">
      <c r="B846" s="5">
        <v>661</v>
      </c>
      <c r="C846" s="6" t="s">
        <v>2708</v>
      </c>
      <c r="D846" s="6" t="s">
        <v>2709</v>
      </c>
      <c r="E846" s="7" t="s">
        <v>2710</v>
      </c>
      <c r="F846" s="13"/>
      <c r="G846" s="14"/>
      <c r="H846" s="15">
        <v>144</v>
      </c>
      <c r="I846" s="15">
        <v>12</v>
      </c>
      <c r="J846" s="17">
        <v>2030</v>
      </c>
      <c r="K846" s="5">
        <v>12</v>
      </c>
      <c r="L846" s="16">
        <v>39.986666666666665</v>
      </c>
      <c r="M846" s="12"/>
      <c r="N846" s="14">
        <f>L846*M846</f>
        <v>0</v>
      </c>
      <c r="O846" s="23">
        <f>0.094*M846</f>
        <v>0</v>
      </c>
      <c r="P846" s="24">
        <f>0.00038*M846</f>
        <v>0</v>
      </c>
      <c r="Q846" s="25"/>
      <c r="R846" s="26" t="s">
        <v>2711</v>
      </c>
      <c r="S846" s="26" t="s">
        <v>93</v>
      </c>
      <c r="T846" s="6" t="str">
        <f>HYPERLINK("https://kanzpp.ru/api/getInfo/image/f935148d-5333-11ef-a262-00155d82e908")</f>
        <v>https://kanzpp.ru/api/getInfo/image/f935148d-5333-11ef-a262-00155d82e908</v>
      </c>
      <c r="U846" s="6"/>
      <c r="V846" s="33" t="s">
        <v>35</v>
      </c>
    </row>
    <row r="847" spans="2:22" ht="22.95" customHeight="1" outlineLevel="4" x14ac:dyDescent="0.2">
      <c r="B847" s="82" t="s">
        <v>2712</v>
      </c>
      <c r="C847" s="82"/>
      <c r="D847" s="82"/>
      <c r="L847">
        <v>0</v>
      </c>
    </row>
    <row r="848" spans="2:22" ht="22.95" customHeight="1" outlineLevel="5" x14ac:dyDescent="0.2">
      <c r="B848" s="83" t="s">
        <v>2713</v>
      </c>
      <c r="C848" s="83"/>
      <c r="D848" s="83"/>
      <c r="L848">
        <v>0</v>
      </c>
    </row>
    <row r="849" spans="2:22" ht="21" customHeight="1" outlineLevel="6" x14ac:dyDescent="0.2">
      <c r="B849" s="36">
        <v>662</v>
      </c>
      <c r="C849" s="37" t="s">
        <v>2714</v>
      </c>
      <c r="D849" s="37" t="s">
        <v>2715</v>
      </c>
      <c r="E849" s="38" t="s">
        <v>2716</v>
      </c>
      <c r="F849" s="39"/>
      <c r="G849" s="40"/>
      <c r="H849" s="41">
        <v>72</v>
      </c>
      <c r="I849" s="41">
        <v>12</v>
      </c>
      <c r="J849" s="41">
        <v>953</v>
      </c>
      <c r="K849" s="36">
        <v>12</v>
      </c>
      <c r="L849" s="42" t="e">
        <f>(IF(#REF!,263.23*(1-#REF!/100),263.23*(1-O3/100)))/0.75</f>
        <v>#REF!</v>
      </c>
      <c r="M849" s="12"/>
      <c r="N849" s="40" t="e">
        <f>L849*M849</f>
        <v>#REF!</v>
      </c>
      <c r="O849" s="43">
        <f>0.229*M849</f>
        <v>0</v>
      </c>
      <c r="P849" s="47">
        <f>0.00065*M849</f>
        <v>0</v>
      </c>
      <c r="Q849" s="44"/>
      <c r="R849" s="45" t="s">
        <v>2717</v>
      </c>
      <c r="S849" s="45" t="s">
        <v>93</v>
      </c>
      <c r="T849" s="37" t="str">
        <f>HYPERLINK("https://kanzpp.ru/api/getInfo/image/a9411dce-fe15-11ed-a23a-00155d82e902")</f>
        <v>https://kanzpp.ru/api/getInfo/image/a9411dce-fe15-11ed-a23a-00155d82e902</v>
      </c>
      <c r="U849" s="37"/>
    </row>
    <row r="850" spans="2:22" ht="22.95" customHeight="1" outlineLevel="3" x14ac:dyDescent="0.2">
      <c r="B850" s="81" t="s">
        <v>2718</v>
      </c>
      <c r="C850" s="81"/>
      <c r="D850" s="81"/>
      <c r="L850">
        <v>0</v>
      </c>
    </row>
    <row r="851" spans="2:22" ht="22.95" customHeight="1" outlineLevel="4" x14ac:dyDescent="0.2">
      <c r="B851" s="82" t="s">
        <v>2719</v>
      </c>
      <c r="C851" s="82"/>
      <c r="D851" s="82"/>
      <c r="L851">
        <v>0</v>
      </c>
    </row>
    <row r="852" spans="2:22" ht="21" customHeight="1" outlineLevel="5" x14ac:dyDescent="0.2">
      <c r="B852" s="5">
        <v>663</v>
      </c>
      <c r="C852" s="6" t="s">
        <v>2720</v>
      </c>
      <c r="D852" s="6" t="s">
        <v>2721</v>
      </c>
      <c r="E852" s="7" t="s">
        <v>2722</v>
      </c>
      <c r="F852" s="13"/>
      <c r="G852" s="14"/>
      <c r="H852" s="15">
        <v>30</v>
      </c>
      <c r="I852" s="14"/>
      <c r="J852" s="14" t="s">
        <v>144</v>
      </c>
      <c r="K852" s="5">
        <v>25</v>
      </c>
      <c r="L852" s="16">
        <v>24.053333333333331</v>
      </c>
      <c r="M852" s="12"/>
      <c r="N852" s="14">
        <f>L852*M852</f>
        <v>0</v>
      </c>
      <c r="O852" s="28">
        <f>0.03*M852</f>
        <v>0</v>
      </c>
      <c r="P852" s="24">
        <f>0.00003*M852</f>
        <v>0</v>
      </c>
      <c r="Q852" s="25"/>
      <c r="R852" s="26" t="s">
        <v>2723</v>
      </c>
      <c r="S852" s="26" t="s">
        <v>93</v>
      </c>
      <c r="T852" s="6" t="str">
        <f>HYPERLINK("https://kanzpp.ru/api/getInfo/image/fdaf76f9-7444-11ec-a210-ac1f6b442185")</f>
        <v>https://kanzpp.ru/api/getInfo/image/fdaf76f9-7444-11ec-a210-ac1f6b442185</v>
      </c>
      <c r="U852" s="6"/>
      <c r="V852" s="33" t="s">
        <v>35</v>
      </c>
    </row>
    <row r="853" spans="2:22" ht="21" customHeight="1" outlineLevel="5" x14ac:dyDescent="0.2">
      <c r="B853" s="5">
        <v>664</v>
      </c>
      <c r="C853" s="6" t="s">
        <v>2724</v>
      </c>
      <c r="D853" s="6" t="s">
        <v>2725</v>
      </c>
      <c r="E853" s="7" t="s">
        <v>2726</v>
      </c>
      <c r="F853" s="13"/>
      <c r="G853" s="14"/>
      <c r="H853" s="15">
        <v>15</v>
      </c>
      <c r="I853" s="14"/>
      <c r="J853" s="14" t="s">
        <v>144</v>
      </c>
      <c r="K853" s="5">
        <v>14</v>
      </c>
      <c r="L853" s="16">
        <v>37.06666666666667</v>
      </c>
      <c r="M853" s="12"/>
      <c r="N853" s="14">
        <f>L853*M853</f>
        <v>0</v>
      </c>
      <c r="O853" s="23">
        <f>0.055*M853</f>
        <v>0</v>
      </c>
      <c r="P853" s="24">
        <f>0.00014*M853</f>
        <v>0</v>
      </c>
      <c r="Q853" s="25"/>
      <c r="R853" s="26" t="s">
        <v>2727</v>
      </c>
      <c r="S853" s="26" t="s">
        <v>93</v>
      </c>
      <c r="T853" s="6" t="str">
        <f>HYPERLINK("https://kanzpp.ru/api/getInfo/image/c5e3a8b0-7442-11ec-a210-ac1f6b442185")</f>
        <v>https://kanzpp.ru/api/getInfo/image/c5e3a8b0-7442-11ec-a210-ac1f6b442185</v>
      </c>
      <c r="U853" s="6"/>
      <c r="V853" s="33" t="s">
        <v>35</v>
      </c>
    </row>
    <row r="854" spans="2:22" ht="21" customHeight="1" outlineLevel="5" x14ac:dyDescent="0.2">
      <c r="B854" s="5">
        <v>665</v>
      </c>
      <c r="C854" s="6" t="s">
        <v>2728</v>
      </c>
      <c r="D854" s="6" t="s">
        <v>2729</v>
      </c>
      <c r="E854" s="7" t="s">
        <v>2730</v>
      </c>
      <c r="F854" s="13"/>
      <c r="G854" s="14"/>
      <c r="H854" s="15">
        <v>35</v>
      </c>
      <c r="I854" s="14"/>
      <c r="J854" s="14" t="s">
        <v>144</v>
      </c>
      <c r="K854" s="5">
        <v>12</v>
      </c>
      <c r="L854" s="16">
        <v>41.06666666666667</v>
      </c>
      <c r="M854" s="12"/>
      <c r="N854" s="14">
        <f>L854*M854</f>
        <v>0</v>
      </c>
      <c r="O854" s="23">
        <f>0.044*M854</f>
        <v>0</v>
      </c>
      <c r="P854" s="24">
        <f>0.00009*M854</f>
        <v>0</v>
      </c>
      <c r="Q854" s="25"/>
      <c r="R854" s="26" t="s">
        <v>2731</v>
      </c>
      <c r="S854" s="26" t="s">
        <v>93</v>
      </c>
      <c r="T854" s="6" t="str">
        <f>HYPERLINK("https://kanzpp.ru/api/getInfo/image/0b66f31b-3295-11ed-a216-ac1f6b442185")</f>
        <v>https://kanzpp.ru/api/getInfo/image/0b66f31b-3295-11ed-a216-ac1f6b442185</v>
      </c>
      <c r="U854" s="6"/>
      <c r="V854" s="33" t="s">
        <v>35</v>
      </c>
    </row>
    <row r="855" spans="2:22" ht="21" customHeight="1" outlineLevel="5" x14ac:dyDescent="0.2">
      <c r="B855" s="36">
        <v>666</v>
      </c>
      <c r="C855" s="37" t="s">
        <v>2732</v>
      </c>
      <c r="D855" s="37" t="s">
        <v>2733</v>
      </c>
      <c r="E855" s="38" t="s">
        <v>2734</v>
      </c>
      <c r="F855" s="39"/>
      <c r="G855" s="40"/>
      <c r="H855" s="41">
        <v>21</v>
      </c>
      <c r="I855" s="40"/>
      <c r="J855" s="41">
        <v>8</v>
      </c>
      <c r="K855" s="36">
        <v>5</v>
      </c>
      <c r="L855" s="42" t="e">
        <f>(IF(#REF!,135.28*(1-#REF!/100),135.28*(1-O3/100)))/0.75</f>
        <v>#REF!</v>
      </c>
      <c r="M855" s="12"/>
      <c r="N855" s="40" t="e">
        <f>L855*M855</f>
        <v>#REF!</v>
      </c>
      <c r="O855" s="43">
        <f>0.147*M855</f>
        <v>0</v>
      </c>
      <c r="P855" s="47">
        <f>0.00035*M855</f>
        <v>0</v>
      </c>
      <c r="Q855" s="44"/>
      <c r="R855" s="45" t="s">
        <v>2735</v>
      </c>
      <c r="S855" s="45" t="s">
        <v>93</v>
      </c>
      <c r="T855" s="37" t="str">
        <f>HYPERLINK("https://kanzpp.ru/api/getInfo/image/5d7f775e-448f-11f1-a294-00155d82e908")</f>
        <v>https://kanzpp.ru/api/getInfo/image/5d7f775e-448f-11f1-a294-00155d82e908</v>
      </c>
      <c r="U855" s="37"/>
    </row>
    <row r="856" spans="2:22" ht="22.95" customHeight="1" outlineLevel="4" x14ac:dyDescent="0.2">
      <c r="B856" s="82" t="s">
        <v>2736</v>
      </c>
      <c r="C856" s="82"/>
      <c r="D856" s="82"/>
      <c r="L856">
        <v>0</v>
      </c>
    </row>
    <row r="857" spans="2:22" ht="21" customHeight="1" outlineLevel="5" x14ac:dyDescent="0.2">
      <c r="B857" s="36">
        <v>667</v>
      </c>
      <c r="C857" s="37" t="s">
        <v>2737</v>
      </c>
      <c r="D857" s="37" t="s">
        <v>2738</v>
      </c>
      <c r="E857" s="38" t="s">
        <v>2739</v>
      </c>
      <c r="F857" s="39"/>
      <c r="G857" s="40"/>
      <c r="H857" s="41">
        <v>32</v>
      </c>
      <c r="I857" s="40"/>
      <c r="J857" s="41">
        <v>1</v>
      </c>
      <c r="K857" s="36">
        <v>1</v>
      </c>
      <c r="L857" s="42" t="e">
        <f>(IF(#REF!,56.69*(1-#REF!/100),56.69*(1-O3/100)))/0.75</f>
        <v>#REF!</v>
      </c>
      <c r="M857" s="12"/>
      <c r="N857" s="40" t="e">
        <f>L857*M857</f>
        <v>#REF!</v>
      </c>
      <c r="O857" s="43">
        <f>0.114*M857</f>
        <v>0</v>
      </c>
      <c r="P857" s="47">
        <f>0.00022*M857</f>
        <v>0</v>
      </c>
      <c r="Q857" s="44"/>
      <c r="R857" s="45" t="s">
        <v>2740</v>
      </c>
      <c r="S857" s="45" t="s">
        <v>93</v>
      </c>
      <c r="T857" s="37" t="str">
        <f>HYPERLINK("https://kanzpp.ru/api/getInfo/image/302f8e79-7444-11ec-a210-ac1f6b442185")</f>
        <v>https://kanzpp.ru/api/getInfo/image/302f8e79-7444-11ec-a210-ac1f6b442185</v>
      </c>
      <c r="U857" s="37"/>
    </row>
    <row r="858" spans="2:22" ht="21" customHeight="1" outlineLevel="5" x14ac:dyDescent="0.2">
      <c r="B858" s="36">
        <v>668</v>
      </c>
      <c r="C858" s="37" t="s">
        <v>2741</v>
      </c>
      <c r="D858" s="37" t="s">
        <v>2742</v>
      </c>
      <c r="E858" s="38" t="s">
        <v>2743</v>
      </c>
      <c r="F858" s="39"/>
      <c r="G858" s="40"/>
      <c r="H858" s="41">
        <v>32</v>
      </c>
      <c r="I858" s="40"/>
      <c r="J858" s="41">
        <v>10</v>
      </c>
      <c r="K858" s="36">
        <v>6</v>
      </c>
      <c r="L858" s="42" t="e">
        <f>(IF(#REF!,99.69*(1-#REF!/100),99.69*(1-O3/100)))/0.75</f>
        <v>#REF!</v>
      </c>
      <c r="M858" s="12"/>
      <c r="N858" s="40" t="e">
        <f>L858*M858</f>
        <v>#REF!</v>
      </c>
      <c r="O858" s="43">
        <f>0.209*M858</f>
        <v>0</v>
      </c>
      <c r="P858" s="47">
        <f>0.00038*M858</f>
        <v>0</v>
      </c>
      <c r="Q858" s="44"/>
      <c r="R858" s="45" t="s">
        <v>2744</v>
      </c>
      <c r="S858" s="45" t="s">
        <v>93</v>
      </c>
      <c r="T858" s="37" t="str">
        <f>HYPERLINK("https://kanzpp.ru/api/getInfo/image/6388acdd-7441-11ec-a210-ac1f6b442185")</f>
        <v>https://kanzpp.ru/api/getInfo/image/6388acdd-7441-11ec-a210-ac1f6b442185</v>
      </c>
      <c r="U858" s="37"/>
    </row>
    <row r="859" spans="2:22" ht="21" customHeight="1" outlineLevel="5" x14ac:dyDescent="0.2">
      <c r="B859" s="36">
        <v>669</v>
      </c>
      <c r="C859" s="37" t="s">
        <v>2745</v>
      </c>
      <c r="D859" s="37" t="s">
        <v>2746</v>
      </c>
      <c r="E859" s="38" t="s">
        <v>2747</v>
      </c>
      <c r="F859" s="39"/>
      <c r="G859" s="40"/>
      <c r="H859" s="41">
        <v>16</v>
      </c>
      <c r="I859" s="40"/>
      <c r="J859" s="41">
        <v>8</v>
      </c>
      <c r="K859" s="36">
        <v>1</v>
      </c>
      <c r="L859" s="42" t="e">
        <f>(IF(#REF!,116.38*(1-#REF!/100),116.38*(1-O3/100)))/0.75</f>
        <v>#REF!</v>
      </c>
      <c r="M859" s="12"/>
      <c r="N859" s="40" t="e">
        <f>L859*M859</f>
        <v>#REF!</v>
      </c>
      <c r="O859" s="43">
        <f>0.237*M859</f>
        <v>0</v>
      </c>
      <c r="P859" s="47">
        <f>0.00059*M859</f>
        <v>0</v>
      </c>
      <c r="Q859" s="44"/>
      <c r="R859" s="45" t="s">
        <v>2748</v>
      </c>
      <c r="S859" s="45" t="s">
        <v>93</v>
      </c>
      <c r="T859" s="37" t="str">
        <f>HYPERLINK("https://kanzpp.ru/api/getInfo/image/8ca45673-4491-11f1-a294-00155d82e908")</f>
        <v>https://kanzpp.ru/api/getInfo/image/8ca45673-4491-11f1-a294-00155d82e908</v>
      </c>
      <c r="U859" s="37"/>
    </row>
    <row r="860" spans="2:22" ht="22.95" customHeight="1" outlineLevel="4" x14ac:dyDescent="0.2">
      <c r="B860" s="82" t="s">
        <v>2749</v>
      </c>
      <c r="C860" s="82"/>
      <c r="D860" s="82"/>
      <c r="L860">
        <v>0</v>
      </c>
    </row>
    <row r="861" spans="2:22" ht="22.95" customHeight="1" outlineLevel="5" x14ac:dyDescent="0.2">
      <c r="B861" s="83" t="s">
        <v>2750</v>
      </c>
      <c r="C861" s="83"/>
      <c r="D861" s="83"/>
      <c r="L861">
        <v>0</v>
      </c>
    </row>
    <row r="862" spans="2:22" ht="22.95" customHeight="1" outlineLevel="6" x14ac:dyDescent="0.2">
      <c r="B862" s="84" t="s">
        <v>2751</v>
      </c>
      <c r="C862" s="84"/>
      <c r="D862" s="84"/>
      <c r="L862">
        <v>0</v>
      </c>
    </row>
    <row r="863" spans="2:22" ht="21" customHeight="1" outlineLevel="7" x14ac:dyDescent="0.2">
      <c r="B863" s="5">
        <v>670</v>
      </c>
      <c r="C863" s="6" t="s">
        <v>2752</v>
      </c>
      <c r="D863" s="6" t="s">
        <v>209</v>
      </c>
      <c r="E863" s="7" t="s">
        <v>210</v>
      </c>
      <c r="F863" s="13"/>
      <c r="G863" s="14"/>
      <c r="H863" s="15">
        <v>9</v>
      </c>
      <c r="I863" s="14"/>
      <c r="J863" s="15">
        <v>862</v>
      </c>
      <c r="K863" s="5">
        <v>2</v>
      </c>
      <c r="L863" s="16">
        <v>354.65333333333336</v>
      </c>
      <c r="M863" s="12"/>
      <c r="N863" s="14">
        <f>L863*M863</f>
        <v>0</v>
      </c>
      <c r="O863" s="23">
        <f>0.702*M863</f>
        <v>0</v>
      </c>
      <c r="P863" s="24">
        <f>0.00122*M863</f>
        <v>0</v>
      </c>
      <c r="Q863" s="25"/>
      <c r="R863" s="26" t="s">
        <v>211</v>
      </c>
      <c r="S863" s="26" t="s">
        <v>93</v>
      </c>
      <c r="T863" s="6" t="str">
        <f>HYPERLINK("https://kanzpp.ru/api/getInfo/image/242e3b54-1683-11ef-a25d-00155d82e908")</f>
        <v>https://kanzpp.ru/api/getInfo/image/242e3b54-1683-11ef-a25d-00155d82e908</v>
      </c>
      <c r="U863" s="6"/>
      <c r="V863" s="33" t="s">
        <v>35</v>
      </c>
    </row>
    <row r="864" spans="2:22" ht="22.95" customHeight="1" outlineLevel="5" x14ac:dyDescent="0.2">
      <c r="B864" s="83" t="s">
        <v>2753</v>
      </c>
      <c r="C864" s="83"/>
      <c r="D864" s="83"/>
      <c r="L864">
        <v>0</v>
      </c>
    </row>
    <row r="865" spans="2:22" ht="21" customHeight="1" outlineLevel="6" x14ac:dyDescent="0.2">
      <c r="B865" s="5">
        <v>671</v>
      </c>
      <c r="C865" s="6" t="s">
        <v>2754</v>
      </c>
      <c r="D865" s="6" t="s">
        <v>2755</v>
      </c>
      <c r="E865" s="7" t="s">
        <v>2756</v>
      </c>
      <c r="F865" s="13"/>
      <c r="G865" s="14"/>
      <c r="H865" s="15">
        <v>48</v>
      </c>
      <c r="I865" s="14"/>
      <c r="J865" s="15">
        <v>4</v>
      </c>
      <c r="K865" s="5">
        <v>3</v>
      </c>
      <c r="L865" s="16">
        <v>110.93333333333334</v>
      </c>
      <c r="M865" s="12"/>
      <c r="N865" s="14">
        <f>L865*M865</f>
        <v>0</v>
      </c>
      <c r="O865" s="23">
        <f>0.419*M865</f>
        <v>0</v>
      </c>
      <c r="P865" s="24">
        <f>0.00083*M865</f>
        <v>0</v>
      </c>
      <c r="Q865" s="25"/>
      <c r="R865" s="26" t="s">
        <v>2757</v>
      </c>
      <c r="S865" s="26" t="s">
        <v>93</v>
      </c>
      <c r="T865" s="6" t="str">
        <f>HYPERLINK("https://kanzpp.ru/api/getInfo/image/73382e0e-f321-11ee-a25b-00155d82e908")</f>
        <v>https://kanzpp.ru/api/getInfo/image/73382e0e-f321-11ee-a25b-00155d82e908</v>
      </c>
      <c r="U865" s="6"/>
      <c r="V865" s="33" t="s">
        <v>35</v>
      </c>
    </row>
    <row r="866" spans="2:22" ht="21" customHeight="1" outlineLevel="6" x14ac:dyDescent="0.2">
      <c r="B866" s="5">
        <v>672</v>
      </c>
      <c r="C866" s="6" t="s">
        <v>2758</v>
      </c>
      <c r="D866" s="6" t="s">
        <v>2759</v>
      </c>
      <c r="E866" s="7" t="s">
        <v>2760</v>
      </c>
      <c r="F866" s="13"/>
      <c r="G866" s="14"/>
      <c r="H866" s="15">
        <v>18</v>
      </c>
      <c r="I866" s="14"/>
      <c r="J866" s="15">
        <v>43</v>
      </c>
      <c r="K866" s="5">
        <v>1</v>
      </c>
      <c r="L866" s="16">
        <v>318.93333333333334</v>
      </c>
      <c r="M866" s="12"/>
      <c r="N866" s="14">
        <f>L866*M866</f>
        <v>0</v>
      </c>
      <c r="O866" s="28">
        <f>0.88*M866</f>
        <v>0</v>
      </c>
      <c r="P866" s="24">
        <f>0.00211*M866</f>
        <v>0</v>
      </c>
      <c r="Q866" s="25"/>
      <c r="R866" s="26" t="s">
        <v>2761</v>
      </c>
      <c r="S866" s="26" t="s">
        <v>93</v>
      </c>
      <c r="T866" s="6" t="str">
        <f>HYPERLINK("https://kanzpp.ru/api/getInfo/image/65bf8ad6-f320-11ee-a25b-00155d82e908")</f>
        <v>https://kanzpp.ru/api/getInfo/image/65bf8ad6-f320-11ee-a25b-00155d82e908</v>
      </c>
      <c r="U866" s="6"/>
      <c r="V866" s="33" t="s">
        <v>35</v>
      </c>
    </row>
    <row r="867" spans="2:22" ht="21" customHeight="1" outlineLevel="6" x14ac:dyDescent="0.2">
      <c r="B867" s="5">
        <v>673</v>
      </c>
      <c r="C867" s="6" t="s">
        <v>2762</v>
      </c>
      <c r="D867" s="6" t="s">
        <v>2763</v>
      </c>
      <c r="E867" s="7" t="s">
        <v>2764</v>
      </c>
      <c r="F867" s="13"/>
      <c r="G867" s="14"/>
      <c r="H867" s="15">
        <v>8</v>
      </c>
      <c r="I867" s="14"/>
      <c r="J867" s="14" t="s">
        <v>144</v>
      </c>
      <c r="K867" s="5">
        <v>1</v>
      </c>
      <c r="L867" s="16">
        <v>532</v>
      </c>
      <c r="M867" s="12"/>
      <c r="N867" s="14">
        <f>L867*M867</f>
        <v>0</v>
      </c>
      <c r="O867" s="23">
        <f>1.412*M867</f>
        <v>0</v>
      </c>
      <c r="P867" s="24">
        <f>0.00426*M867</f>
        <v>0</v>
      </c>
      <c r="Q867" s="25"/>
      <c r="R867" s="26" t="s">
        <v>2765</v>
      </c>
      <c r="S867" s="26" t="s">
        <v>93</v>
      </c>
      <c r="T867" s="6" t="str">
        <f>HYPERLINK("https://kanzpp.ru/api/getInfo/image/af446ce0-f320-11ee-a25b-00155d82e908")</f>
        <v>https://kanzpp.ru/api/getInfo/image/af446ce0-f320-11ee-a25b-00155d82e908</v>
      </c>
      <c r="U867" s="6"/>
      <c r="V867" s="33" t="s">
        <v>35</v>
      </c>
    </row>
    <row r="868" spans="2:22" ht="22.95" customHeight="1" outlineLevel="3" x14ac:dyDescent="0.2">
      <c r="B868" s="81" t="s">
        <v>2766</v>
      </c>
      <c r="C868" s="81"/>
      <c r="D868" s="81"/>
      <c r="L868">
        <v>0</v>
      </c>
    </row>
    <row r="869" spans="2:22" ht="22.95" customHeight="1" outlineLevel="4" x14ac:dyDescent="0.2">
      <c r="B869" s="82" t="s">
        <v>2767</v>
      </c>
      <c r="C869" s="82"/>
      <c r="D869" s="82"/>
      <c r="L869">
        <v>0</v>
      </c>
    </row>
    <row r="870" spans="2:22" ht="22.95" customHeight="1" outlineLevel="5" x14ac:dyDescent="0.2">
      <c r="B870" s="83" t="s">
        <v>2768</v>
      </c>
      <c r="C870" s="83"/>
      <c r="D870" s="83"/>
      <c r="L870">
        <v>0</v>
      </c>
    </row>
    <row r="871" spans="2:22" ht="21" customHeight="1" outlineLevel="6" x14ac:dyDescent="0.2">
      <c r="B871" s="5">
        <v>674</v>
      </c>
      <c r="C871" s="6" t="s">
        <v>2769</v>
      </c>
      <c r="D871" s="6" t="s">
        <v>2770</v>
      </c>
      <c r="E871" s="7" t="s">
        <v>2771</v>
      </c>
      <c r="F871" s="13"/>
      <c r="G871" s="14"/>
      <c r="H871" s="15">
        <v>144</v>
      </c>
      <c r="I871" s="15">
        <v>24</v>
      </c>
      <c r="J871" s="15">
        <v>62</v>
      </c>
      <c r="K871" s="5">
        <v>24</v>
      </c>
      <c r="L871" s="16">
        <v>28.599999999999998</v>
      </c>
      <c r="M871" s="12"/>
      <c r="N871" s="14">
        <f>L871*M871</f>
        <v>0</v>
      </c>
      <c r="O871" s="28">
        <f>0.07*M871</f>
        <v>0</v>
      </c>
      <c r="P871" s="24">
        <f>0.00008*M871</f>
        <v>0</v>
      </c>
      <c r="Q871" s="25"/>
      <c r="R871" s="26" t="s">
        <v>2772</v>
      </c>
      <c r="S871" s="26" t="s">
        <v>93</v>
      </c>
      <c r="T871" s="6" t="str">
        <f>HYPERLINK("https://kanzpp.ru/api/getInfo/image/0f7466dc-89fc-11ee-a24a-00155d82e902")</f>
        <v>https://kanzpp.ru/api/getInfo/image/0f7466dc-89fc-11ee-a24a-00155d82e902</v>
      </c>
      <c r="U871" s="6"/>
      <c r="V871" s="33" t="s">
        <v>35</v>
      </c>
    </row>
    <row r="872" spans="2:22" ht="22.95" customHeight="1" outlineLevel="5" x14ac:dyDescent="0.2">
      <c r="B872" s="83" t="s">
        <v>2773</v>
      </c>
      <c r="C872" s="83"/>
      <c r="D872" s="83"/>
      <c r="L872">
        <v>0</v>
      </c>
    </row>
    <row r="873" spans="2:22" ht="21" customHeight="1" outlineLevel="6" x14ac:dyDescent="0.2">
      <c r="B873" s="5">
        <v>675</v>
      </c>
      <c r="C873" s="6" t="s">
        <v>2774</v>
      </c>
      <c r="D873" s="6" t="s">
        <v>2775</v>
      </c>
      <c r="E873" s="7" t="s">
        <v>2776</v>
      </c>
      <c r="F873" s="13"/>
      <c r="G873" s="14"/>
      <c r="H873" s="15">
        <v>96</v>
      </c>
      <c r="I873" s="15">
        <v>24</v>
      </c>
      <c r="J873" s="15">
        <v>758</v>
      </c>
      <c r="K873" s="5">
        <v>24</v>
      </c>
      <c r="L873" s="16">
        <v>53.32</v>
      </c>
      <c r="M873" s="12"/>
      <c r="N873" s="14">
        <f>L873*M873</f>
        <v>0</v>
      </c>
      <c r="O873" s="28">
        <f>0.14*M873</f>
        <v>0</v>
      </c>
      <c r="P873" s="24">
        <f>0.00016*M873</f>
        <v>0</v>
      </c>
      <c r="Q873" s="25"/>
      <c r="R873" s="26" t="s">
        <v>2777</v>
      </c>
      <c r="S873" s="26" t="s">
        <v>93</v>
      </c>
      <c r="T873" s="6" t="str">
        <f>HYPERLINK("https://kanzpp.ru/api/getInfo/image/a9d03d0e-89fc-11ee-a24a-00155d82e902")</f>
        <v>https://kanzpp.ru/api/getInfo/image/a9d03d0e-89fc-11ee-a24a-00155d82e902</v>
      </c>
      <c r="U873" s="6"/>
      <c r="V873" s="33" t="s">
        <v>35</v>
      </c>
    </row>
    <row r="874" spans="2:22" ht="22.95" customHeight="1" outlineLevel="4" x14ac:dyDescent="0.2">
      <c r="B874" s="82" t="s">
        <v>2778</v>
      </c>
      <c r="C874" s="82"/>
      <c r="D874" s="82"/>
      <c r="L874">
        <v>0</v>
      </c>
    </row>
    <row r="875" spans="2:22" ht="22.95" customHeight="1" outlineLevel="5" x14ac:dyDescent="0.2">
      <c r="B875" s="83" t="s">
        <v>2779</v>
      </c>
      <c r="C875" s="83"/>
      <c r="D875" s="83"/>
      <c r="L875">
        <v>0</v>
      </c>
    </row>
    <row r="876" spans="2:22" ht="21" customHeight="1" outlineLevel="6" x14ac:dyDescent="0.2">
      <c r="B876" s="36">
        <v>676</v>
      </c>
      <c r="C876" s="37" t="s">
        <v>2780</v>
      </c>
      <c r="D876" s="37" t="s">
        <v>2781</v>
      </c>
      <c r="E876" s="38" t="s">
        <v>2782</v>
      </c>
      <c r="F876" s="39"/>
      <c r="G876" s="40"/>
      <c r="H876" s="41">
        <v>200</v>
      </c>
      <c r="I876" s="41">
        <v>20</v>
      </c>
      <c r="J876" s="41">
        <v>207</v>
      </c>
      <c r="K876" s="36">
        <v>6</v>
      </c>
      <c r="L876" s="42" t="e">
        <f>(IF(#REF!,93.99*(1-#REF!/100),93.99*(1-O3/100)))/0.75</f>
        <v>#REF!</v>
      </c>
      <c r="M876" s="12"/>
      <c r="N876" s="40" t="e">
        <f>L876*M876</f>
        <v>#REF!</v>
      </c>
      <c r="O876" s="48">
        <f>0.12*M876</f>
        <v>0</v>
      </c>
      <c r="P876" s="47">
        <f>0.00012*M876</f>
        <v>0</v>
      </c>
      <c r="Q876" s="44"/>
      <c r="R876" s="45" t="s">
        <v>2783</v>
      </c>
      <c r="S876" s="45" t="s">
        <v>93</v>
      </c>
      <c r="T876" s="37" t="str">
        <f>HYPERLINK("https://kanzpp.ru/api/getInfo/image/4465fb75-8a01-11ee-a24a-00155d82e902")</f>
        <v>https://kanzpp.ru/api/getInfo/image/4465fb75-8a01-11ee-a24a-00155d82e902</v>
      </c>
      <c r="U876" s="37"/>
    </row>
    <row r="877" spans="2:22" ht="22.95" customHeight="1" outlineLevel="3" x14ac:dyDescent="0.2">
      <c r="B877" s="81" t="s">
        <v>2784</v>
      </c>
      <c r="C877" s="81"/>
      <c r="D877" s="81"/>
      <c r="L877">
        <v>0</v>
      </c>
    </row>
    <row r="878" spans="2:22" ht="22.95" customHeight="1" outlineLevel="4" x14ac:dyDescent="0.2">
      <c r="B878" s="82" t="s">
        <v>2785</v>
      </c>
      <c r="C878" s="82"/>
      <c r="D878" s="82"/>
      <c r="L878">
        <v>0</v>
      </c>
    </row>
    <row r="879" spans="2:22" ht="21" customHeight="1" outlineLevel="5" x14ac:dyDescent="0.2">
      <c r="B879" s="5">
        <v>677</v>
      </c>
      <c r="C879" s="6" t="s">
        <v>2786</v>
      </c>
      <c r="D879" s="6" t="s">
        <v>2787</v>
      </c>
      <c r="E879" s="7" t="s">
        <v>2788</v>
      </c>
      <c r="F879" s="13"/>
      <c r="G879" s="14"/>
      <c r="H879" s="15">
        <v>600</v>
      </c>
      <c r="I879" s="15">
        <v>12</v>
      </c>
      <c r="J879" s="14" t="s">
        <v>144</v>
      </c>
      <c r="K879" s="5">
        <v>12</v>
      </c>
      <c r="L879" s="16">
        <v>26.653333333333332</v>
      </c>
      <c r="M879" s="12"/>
      <c r="N879" s="14">
        <f>L879*M879</f>
        <v>0</v>
      </c>
      <c r="O879" s="23">
        <f>0.011*M879</f>
        <v>0</v>
      </c>
      <c r="P879" s="24">
        <f>0.00006*M879</f>
        <v>0</v>
      </c>
      <c r="Q879" s="25"/>
      <c r="R879" s="26" t="s">
        <v>2789</v>
      </c>
      <c r="S879" s="26" t="s">
        <v>93</v>
      </c>
      <c r="T879" s="6" t="str">
        <f>HYPERLINK("https://kanzpp.ru/api/getInfo/image/bef17cc0-0b35-11e9-a21b-ac1f6b442184")</f>
        <v>https://kanzpp.ru/api/getInfo/image/bef17cc0-0b35-11e9-a21b-ac1f6b442184</v>
      </c>
      <c r="U879" s="6"/>
      <c r="V879" s="33" t="s">
        <v>35</v>
      </c>
    </row>
    <row r="880" spans="2:22" ht="22.95" customHeight="1" outlineLevel="4" x14ac:dyDescent="0.2">
      <c r="B880" s="82" t="s">
        <v>2790</v>
      </c>
      <c r="C880" s="82"/>
      <c r="D880" s="82"/>
      <c r="L880">
        <v>0</v>
      </c>
    </row>
    <row r="881" spans="2:22" ht="21" customHeight="1" outlineLevel="5" x14ac:dyDescent="0.2">
      <c r="B881" s="5">
        <v>678</v>
      </c>
      <c r="C881" s="6" t="s">
        <v>2791</v>
      </c>
      <c r="D881" s="6" t="s">
        <v>2792</v>
      </c>
      <c r="E881" s="7" t="s">
        <v>2793</v>
      </c>
      <c r="F881" s="13"/>
      <c r="G881" s="14"/>
      <c r="H881" s="15">
        <v>600</v>
      </c>
      <c r="I881" s="15">
        <v>12</v>
      </c>
      <c r="J881" s="15">
        <v>12</v>
      </c>
      <c r="K881" s="5">
        <v>12</v>
      </c>
      <c r="L881" s="16">
        <v>34.906666666666666</v>
      </c>
      <c r="M881" s="12"/>
      <c r="N881" s="14">
        <f>L881*M881</f>
        <v>0</v>
      </c>
      <c r="O881" s="23">
        <f>0.013*M881</f>
        <v>0</v>
      </c>
      <c r="P881" s="24">
        <f>0.00008*M881</f>
        <v>0</v>
      </c>
      <c r="Q881" s="25"/>
      <c r="R881" s="26" t="s">
        <v>2794</v>
      </c>
      <c r="S881" s="26" t="s">
        <v>93</v>
      </c>
      <c r="T881" s="6" t="str">
        <f>HYPERLINK("https://kanzpp.ru/api/getInfo/image/7db2280b-9f9f-11e7-b8ef-5cf3fc4a2490")</f>
        <v>https://kanzpp.ru/api/getInfo/image/7db2280b-9f9f-11e7-b8ef-5cf3fc4a2490</v>
      </c>
      <c r="U881" s="6"/>
      <c r="V881" s="33" t="s">
        <v>35</v>
      </c>
    </row>
    <row r="882" spans="2:22" ht="21" customHeight="1" outlineLevel="5" x14ac:dyDescent="0.2">
      <c r="B882" s="5">
        <v>679</v>
      </c>
      <c r="C882" s="6" t="s">
        <v>2795</v>
      </c>
      <c r="D882" s="6" t="s">
        <v>2796</v>
      </c>
      <c r="E882" s="7" t="s">
        <v>2797</v>
      </c>
      <c r="F882" s="13"/>
      <c r="G882" s="14"/>
      <c r="H882" s="15">
        <v>600</v>
      </c>
      <c r="I882" s="15">
        <v>12</v>
      </c>
      <c r="J882" s="14" t="s">
        <v>144</v>
      </c>
      <c r="K882" s="5">
        <v>12</v>
      </c>
      <c r="L882" s="16">
        <v>65.293333333333337</v>
      </c>
      <c r="M882" s="12"/>
      <c r="N882" s="14">
        <f>L882*M882</f>
        <v>0</v>
      </c>
      <c r="O882" s="23">
        <f>0.015*M882</f>
        <v>0</v>
      </c>
      <c r="P882" s="24">
        <f>0.00006*M882</f>
        <v>0</v>
      </c>
      <c r="Q882" s="25"/>
      <c r="R882" s="26" t="s">
        <v>2798</v>
      </c>
      <c r="S882" s="26" t="s">
        <v>93</v>
      </c>
      <c r="T882" s="6" t="str">
        <f>HYPERLINK("https://kanzpp.ru/api/getInfo/image/c5250b8f-9f9f-11e7-b8ef-5cf3fc4a2490")</f>
        <v>https://kanzpp.ru/api/getInfo/image/c5250b8f-9f9f-11e7-b8ef-5cf3fc4a2490</v>
      </c>
      <c r="U882" s="6"/>
      <c r="V882" s="33" t="s">
        <v>35</v>
      </c>
    </row>
    <row r="883" spans="2:22" ht="21" customHeight="1" outlineLevel="5" x14ac:dyDescent="0.2">
      <c r="B883" s="5">
        <v>680</v>
      </c>
      <c r="C883" s="6" t="s">
        <v>2799</v>
      </c>
      <c r="D883" s="6" t="s">
        <v>2800</v>
      </c>
      <c r="E883" s="7" t="s">
        <v>2801</v>
      </c>
      <c r="F883" s="13"/>
      <c r="G883" s="14"/>
      <c r="H883" s="15">
        <v>600</v>
      </c>
      <c r="I883" s="15">
        <v>12</v>
      </c>
      <c r="J883" s="14" t="s">
        <v>144</v>
      </c>
      <c r="K883" s="5">
        <v>12</v>
      </c>
      <c r="L883" s="16">
        <v>92.90666666666668</v>
      </c>
      <c r="M883" s="12"/>
      <c r="N883" s="14">
        <f>L883*M883</f>
        <v>0</v>
      </c>
      <c r="O883" s="23">
        <f>0.013*M883</f>
        <v>0</v>
      </c>
      <c r="P883" s="24">
        <f>0.00047*M883</f>
        <v>0</v>
      </c>
      <c r="Q883" s="25"/>
      <c r="R883" s="26" t="s">
        <v>2802</v>
      </c>
      <c r="S883" s="26" t="s">
        <v>93</v>
      </c>
      <c r="T883" s="6" t="str">
        <f>HYPERLINK("https://kanzpp.ru/api/getInfo/image/1a053637-9fa0-11e7-b8ef-5cf3fc4a2490")</f>
        <v>https://kanzpp.ru/api/getInfo/image/1a053637-9fa0-11e7-b8ef-5cf3fc4a2490</v>
      </c>
      <c r="U883" s="6"/>
      <c r="V883" s="33" t="s">
        <v>35</v>
      </c>
    </row>
    <row r="884" spans="2:22" ht="22.95" customHeight="1" outlineLevel="4" x14ac:dyDescent="0.2">
      <c r="B884" s="82" t="s">
        <v>2803</v>
      </c>
      <c r="C884" s="82"/>
      <c r="D884" s="82"/>
      <c r="L884">
        <v>0</v>
      </c>
    </row>
    <row r="885" spans="2:22" ht="21" customHeight="1" outlineLevel="5" x14ac:dyDescent="0.2">
      <c r="B885" s="5">
        <v>681</v>
      </c>
      <c r="C885" s="6" t="s">
        <v>2804</v>
      </c>
      <c r="D885" s="6" t="s">
        <v>2805</v>
      </c>
      <c r="E885" s="7" t="s">
        <v>2806</v>
      </c>
      <c r="F885" s="13"/>
      <c r="G885" s="14"/>
      <c r="H885" s="15">
        <v>150</v>
      </c>
      <c r="I885" s="15">
        <v>25</v>
      </c>
      <c r="J885" s="14" t="s">
        <v>144</v>
      </c>
      <c r="K885" s="5">
        <v>25</v>
      </c>
      <c r="L885" s="16">
        <v>21.32</v>
      </c>
      <c r="M885" s="12"/>
      <c r="N885" s="14">
        <f>L885*M885</f>
        <v>0</v>
      </c>
      <c r="O885" s="23">
        <f>0.036*M885</f>
        <v>0</v>
      </c>
      <c r="P885" s="24">
        <f>0.01223*M885</f>
        <v>0</v>
      </c>
      <c r="Q885" s="25"/>
      <c r="R885" s="26" t="s">
        <v>2807</v>
      </c>
      <c r="S885" s="26" t="s">
        <v>93</v>
      </c>
      <c r="T885" s="6" t="str">
        <f>HYPERLINK("https://kanzpp.ru/api/getInfo/image/75d71a6f-461e-11ec-a20f-ac1f6b442185")</f>
        <v>https://kanzpp.ru/api/getInfo/image/75d71a6f-461e-11ec-a20f-ac1f6b442185</v>
      </c>
      <c r="U885" s="6"/>
      <c r="V885" s="33" t="s">
        <v>35</v>
      </c>
    </row>
    <row r="886" spans="2:22" ht="21" customHeight="1" outlineLevel="5" x14ac:dyDescent="0.2">
      <c r="B886" s="5">
        <v>682</v>
      </c>
      <c r="C886" s="6" t="s">
        <v>2808</v>
      </c>
      <c r="D886" s="6" t="s">
        <v>2809</v>
      </c>
      <c r="E886" s="7" t="s">
        <v>2810</v>
      </c>
      <c r="F886" s="13"/>
      <c r="G886" s="14"/>
      <c r="H886" s="15">
        <v>100</v>
      </c>
      <c r="I886" s="15">
        <v>10</v>
      </c>
      <c r="J886" s="14" t="s">
        <v>144</v>
      </c>
      <c r="K886" s="5">
        <v>10</v>
      </c>
      <c r="L886" s="16">
        <v>345.33333333333331</v>
      </c>
      <c r="M886" s="12"/>
      <c r="N886" s="14">
        <f>L886*M886</f>
        <v>0</v>
      </c>
      <c r="O886" s="23">
        <f>0.092*M886</f>
        <v>0</v>
      </c>
      <c r="P886" s="24">
        <f>0.00014*M886</f>
        <v>0</v>
      </c>
      <c r="Q886" s="25"/>
      <c r="R886" s="26" t="s">
        <v>2811</v>
      </c>
      <c r="S886" s="26" t="s">
        <v>93</v>
      </c>
      <c r="T886" s="6" t="str">
        <f>HYPERLINK("https://kanzpp.ru/api/getInfo/image/2db3a28c-461d-11ec-a20f-ac1f6b442185")</f>
        <v>https://kanzpp.ru/api/getInfo/image/2db3a28c-461d-11ec-a20f-ac1f6b442185</v>
      </c>
      <c r="U886" s="6"/>
      <c r="V886" s="33" t="s">
        <v>35</v>
      </c>
    </row>
    <row r="887" spans="2:22" ht="22.95" customHeight="1" outlineLevel="4" x14ac:dyDescent="0.2">
      <c r="B887" s="82" t="s">
        <v>2812</v>
      </c>
      <c r="C887" s="82"/>
      <c r="D887" s="82"/>
      <c r="L887">
        <v>0</v>
      </c>
    </row>
    <row r="888" spans="2:22" ht="21" customHeight="1" outlineLevel="5" x14ac:dyDescent="0.2">
      <c r="B888" s="5">
        <v>683</v>
      </c>
      <c r="C888" s="6" t="s">
        <v>2813</v>
      </c>
      <c r="D888" s="6" t="s">
        <v>2814</v>
      </c>
      <c r="E888" s="7" t="s">
        <v>2815</v>
      </c>
      <c r="F888" s="13"/>
      <c r="G888" s="14"/>
      <c r="H888" s="15">
        <v>600</v>
      </c>
      <c r="I888" s="15">
        <v>12</v>
      </c>
      <c r="J888" s="14" t="s">
        <v>144</v>
      </c>
      <c r="K888" s="5">
        <v>12</v>
      </c>
      <c r="L888" s="16">
        <v>66.893333333333331</v>
      </c>
      <c r="M888" s="12"/>
      <c r="N888" s="14">
        <f>L888*M888</f>
        <v>0</v>
      </c>
      <c r="O888" s="28">
        <f>0.02*M888</f>
        <v>0</v>
      </c>
      <c r="P888" s="24">
        <f>0.00008*M888</f>
        <v>0</v>
      </c>
      <c r="Q888" s="25"/>
      <c r="R888" s="26" t="s">
        <v>2816</v>
      </c>
      <c r="S888" s="26" t="s">
        <v>93</v>
      </c>
      <c r="T888" s="6" t="str">
        <f>HYPERLINK("https://kanzpp.ru/api/getInfo/image/1e9399db-42ee-11ec-a20f-ac1f6b442185")</f>
        <v>https://kanzpp.ru/api/getInfo/image/1e9399db-42ee-11ec-a20f-ac1f6b442185</v>
      </c>
      <c r="U888" s="6"/>
      <c r="V888" s="33" t="s">
        <v>35</v>
      </c>
    </row>
    <row r="889" spans="2:22" ht="22.95" customHeight="1" outlineLevel="3" x14ac:dyDescent="0.2">
      <c r="B889" s="81" t="s">
        <v>2817</v>
      </c>
      <c r="C889" s="81"/>
      <c r="D889" s="81"/>
      <c r="L889">
        <v>0</v>
      </c>
    </row>
    <row r="890" spans="2:22" ht="21" customHeight="1" outlineLevel="4" x14ac:dyDescent="0.2">
      <c r="B890" s="5">
        <v>684</v>
      </c>
      <c r="C890" s="6" t="s">
        <v>2818</v>
      </c>
      <c r="D890" s="6" t="s">
        <v>2819</v>
      </c>
      <c r="E890" s="7" t="s">
        <v>2820</v>
      </c>
      <c r="F890" s="13"/>
      <c r="G890" s="14"/>
      <c r="H890" s="15">
        <v>96</v>
      </c>
      <c r="I890" s="15">
        <v>24</v>
      </c>
      <c r="J890" s="14" t="s">
        <v>144</v>
      </c>
      <c r="K890" s="5">
        <v>7</v>
      </c>
      <c r="L890" s="16">
        <v>39.986666666666665</v>
      </c>
      <c r="M890" s="12"/>
      <c r="N890" s="14">
        <f t="shared" ref="N890:N896" si="39">L890*M890</f>
        <v>0</v>
      </c>
      <c r="O890" s="28">
        <f>0.98*M890</f>
        <v>0</v>
      </c>
      <c r="P890" s="24">
        <f>0.00031*M890</f>
        <v>0</v>
      </c>
      <c r="Q890" s="25"/>
      <c r="R890" s="26" t="s">
        <v>2821</v>
      </c>
      <c r="S890" s="26" t="s">
        <v>93</v>
      </c>
      <c r="T890" s="6" t="str">
        <f>HYPERLINK("https://kanzpp.ru/api/getInfo/image/6464094a-6cca-11ee-a247-00155d82e902")</f>
        <v>https://kanzpp.ru/api/getInfo/image/6464094a-6cca-11ee-a247-00155d82e902</v>
      </c>
      <c r="U890" s="6"/>
      <c r="V890" s="33" t="s">
        <v>35</v>
      </c>
    </row>
    <row r="891" spans="2:22" ht="21" customHeight="1" outlineLevel="4" x14ac:dyDescent="0.2">
      <c r="B891" s="5">
        <v>685</v>
      </c>
      <c r="C891" s="6" t="s">
        <v>2822</v>
      </c>
      <c r="D891" s="6" t="s">
        <v>2823</v>
      </c>
      <c r="E891" s="7" t="s">
        <v>2824</v>
      </c>
      <c r="F891" s="13"/>
      <c r="G891" s="14"/>
      <c r="H891" s="15">
        <v>96</v>
      </c>
      <c r="I891" s="15">
        <v>24</v>
      </c>
      <c r="J891" s="15">
        <v>859</v>
      </c>
      <c r="K891" s="5">
        <v>7</v>
      </c>
      <c r="L891" s="16">
        <v>39.986666666666665</v>
      </c>
      <c r="M891" s="12"/>
      <c r="N891" s="14">
        <f t="shared" si="39"/>
        <v>0</v>
      </c>
      <c r="O891" s="28">
        <f>0.98*M891</f>
        <v>0</v>
      </c>
      <c r="P891" s="24">
        <f>0.00029*M891</f>
        <v>0</v>
      </c>
      <c r="Q891" s="25"/>
      <c r="R891" s="26" t="s">
        <v>2825</v>
      </c>
      <c r="S891" s="26" t="s">
        <v>93</v>
      </c>
      <c r="T891" s="6" t="str">
        <f>HYPERLINK("https://kanzpp.ru/api/getInfo/image/930c6503-6cca-11ee-a247-00155d82e902")</f>
        <v>https://kanzpp.ru/api/getInfo/image/930c6503-6cca-11ee-a247-00155d82e902</v>
      </c>
      <c r="U891" s="6"/>
      <c r="V891" s="33" t="s">
        <v>35</v>
      </c>
    </row>
    <row r="892" spans="2:22" ht="21" customHeight="1" outlineLevel="4" x14ac:dyDescent="0.2">
      <c r="B892" s="5">
        <v>686</v>
      </c>
      <c r="C892" s="6" t="s">
        <v>2826</v>
      </c>
      <c r="D892" s="6" t="s">
        <v>2827</v>
      </c>
      <c r="E892" s="7" t="s">
        <v>2828</v>
      </c>
      <c r="F892" s="13"/>
      <c r="G892" s="14"/>
      <c r="H892" s="15">
        <v>40</v>
      </c>
      <c r="I892" s="15">
        <v>2</v>
      </c>
      <c r="J892" s="17">
        <v>1708</v>
      </c>
      <c r="K892" s="5">
        <v>2</v>
      </c>
      <c r="L892" s="16">
        <v>265.33333333333331</v>
      </c>
      <c r="M892" s="12"/>
      <c r="N892" s="14">
        <f t="shared" si="39"/>
        <v>0</v>
      </c>
      <c r="O892" s="23">
        <f>1.017*M892</f>
        <v>0</v>
      </c>
      <c r="P892" s="24">
        <f>0.00371*M892</f>
        <v>0</v>
      </c>
      <c r="Q892" s="25"/>
      <c r="R892" s="26" t="s">
        <v>2829</v>
      </c>
      <c r="S892" s="26" t="s">
        <v>93</v>
      </c>
      <c r="T892" s="6" t="str">
        <f>HYPERLINK("https://kanzpp.ru/api/getInfo/image/4eea44f0-45f6-11eb-a25e-ac1f6b442184")</f>
        <v>https://kanzpp.ru/api/getInfo/image/4eea44f0-45f6-11eb-a25e-ac1f6b442184</v>
      </c>
      <c r="U892" s="6"/>
      <c r="V892" s="33" t="s">
        <v>35</v>
      </c>
    </row>
    <row r="893" spans="2:22" ht="21" customHeight="1" outlineLevel="4" x14ac:dyDescent="0.2">
      <c r="B893" s="5">
        <v>687</v>
      </c>
      <c r="C893" s="6" t="s">
        <v>2830</v>
      </c>
      <c r="D893" s="6" t="s">
        <v>2831</v>
      </c>
      <c r="E893" s="7" t="s">
        <v>2832</v>
      </c>
      <c r="F893" s="13"/>
      <c r="G893" s="14"/>
      <c r="H893" s="15">
        <v>36</v>
      </c>
      <c r="I893" s="15">
        <v>18</v>
      </c>
      <c r="J893" s="17">
        <v>1553</v>
      </c>
      <c r="K893" s="5">
        <v>2</v>
      </c>
      <c r="L893" s="16">
        <v>199.98666666666668</v>
      </c>
      <c r="M893" s="12"/>
      <c r="N893" s="14">
        <f t="shared" si="39"/>
        <v>0</v>
      </c>
      <c r="O893" s="28">
        <f>0.52*M893</f>
        <v>0</v>
      </c>
      <c r="P893" s="24">
        <f>0.00173*M893</f>
        <v>0</v>
      </c>
      <c r="Q893" s="25"/>
      <c r="R893" s="26" t="s">
        <v>2833</v>
      </c>
      <c r="S893" s="26" t="s">
        <v>93</v>
      </c>
      <c r="T893" s="6" t="str">
        <f>HYPERLINK("https://kanzpp.ru/api/getInfo/image/012d288e-45f7-11eb-a25e-ac1f6b442184")</f>
        <v>https://kanzpp.ru/api/getInfo/image/012d288e-45f7-11eb-a25e-ac1f6b442184</v>
      </c>
      <c r="U893" s="6"/>
      <c r="V893" s="33" t="s">
        <v>35</v>
      </c>
    </row>
    <row r="894" spans="2:22" ht="21" customHeight="1" outlineLevel="4" x14ac:dyDescent="0.2">
      <c r="B894" s="5">
        <v>688</v>
      </c>
      <c r="C894" s="6" t="s">
        <v>2834</v>
      </c>
      <c r="D894" s="6" t="s">
        <v>2835</v>
      </c>
      <c r="E894" s="7" t="s">
        <v>2836</v>
      </c>
      <c r="F894" s="13"/>
      <c r="G894" s="14"/>
      <c r="H894" s="15">
        <v>20</v>
      </c>
      <c r="I894" s="14"/>
      <c r="J894" s="17">
        <v>1098</v>
      </c>
      <c r="K894" s="5">
        <v>1</v>
      </c>
      <c r="L894" s="16">
        <v>465.33333333333331</v>
      </c>
      <c r="M894" s="12"/>
      <c r="N894" s="14">
        <f t="shared" si="39"/>
        <v>0</v>
      </c>
      <c r="O894" s="28">
        <f>0.95*M894</f>
        <v>0</v>
      </c>
      <c r="P894" s="24">
        <f>0.00248*M894</f>
        <v>0</v>
      </c>
      <c r="Q894" s="25"/>
      <c r="R894" s="26" t="s">
        <v>2837</v>
      </c>
      <c r="S894" s="26" t="s">
        <v>93</v>
      </c>
      <c r="T894" s="6" t="str">
        <f>HYPERLINK("https://kanzpp.ru/api/getInfo/image/f129bbd3-45f7-11eb-a25e-ac1f6b442184")</f>
        <v>https://kanzpp.ru/api/getInfo/image/f129bbd3-45f7-11eb-a25e-ac1f6b442184</v>
      </c>
      <c r="U894" s="6"/>
      <c r="V894" s="33" t="s">
        <v>35</v>
      </c>
    </row>
    <row r="895" spans="2:22" ht="21" customHeight="1" outlineLevel="4" x14ac:dyDescent="0.2">
      <c r="B895" s="5">
        <v>689</v>
      </c>
      <c r="C895" s="6" t="s">
        <v>2838</v>
      </c>
      <c r="D895" s="6" t="s">
        <v>2839</v>
      </c>
      <c r="E895" s="7" t="s">
        <v>2840</v>
      </c>
      <c r="F895" s="13"/>
      <c r="G895" s="14"/>
      <c r="H895" s="15">
        <v>16</v>
      </c>
      <c r="I895" s="14"/>
      <c r="J895" s="15">
        <v>897</v>
      </c>
      <c r="K895" s="5">
        <v>1</v>
      </c>
      <c r="L895" s="16">
        <v>532</v>
      </c>
      <c r="M895" s="12"/>
      <c r="N895" s="14">
        <f t="shared" si="39"/>
        <v>0</v>
      </c>
      <c r="O895" s="23">
        <f>1.403*M895</f>
        <v>0</v>
      </c>
      <c r="P895" s="24">
        <f>0.00466*M895</f>
        <v>0</v>
      </c>
      <c r="Q895" s="25"/>
      <c r="R895" s="26" t="s">
        <v>2841</v>
      </c>
      <c r="S895" s="26" t="s">
        <v>93</v>
      </c>
      <c r="T895" s="6" t="str">
        <f>HYPERLINK("https://kanzpp.ru/api/getInfo/image/112056fc-8909-11ee-a249-00155d82e902")</f>
        <v>https://kanzpp.ru/api/getInfo/image/112056fc-8909-11ee-a249-00155d82e902</v>
      </c>
      <c r="U895" s="6"/>
      <c r="V895" s="33" t="s">
        <v>35</v>
      </c>
    </row>
    <row r="896" spans="2:22" ht="21" customHeight="1" outlineLevel="4" x14ac:dyDescent="0.2">
      <c r="B896" s="5">
        <v>690</v>
      </c>
      <c r="C896" s="6" t="s">
        <v>2842</v>
      </c>
      <c r="D896" s="6" t="s">
        <v>2843</v>
      </c>
      <c r="E896" s="7" t="s">
        <v>2844</v>
      </c>
      <c r="F896" s="13"/>
      <c r="G896" s="14"/>
      <c r="H896" s="15">
        <v>12</v>
      </c>
      <c r="I896" s="14"/>
      <c r="J896" s="17">
        <v>1402</v>
      </c>
      <c r="K896" s="5">
        <v>1</v>
      </c>
      <c r="L896" s="16">
        <v>665.33333333333337</v>
      </c>
      <c r="M896" s="12"/>
      <c r="N896" s="14">
        <f t="shared" si="39"/>
        <v>0</v>
      </c>
      <c r="O896" s="23">
        <f>1.678*M896</f>
        <v>0</v>
      </c>
      <c r="P896" s="24">
        <f>0.00547*M896</f>
        <v>0</v>
      </c>
      <c r="Q896" s="25"/>
      <c r="R896" s="26" t="s">
        <v>2845</v>
      </c>
      <c r="S896" s="26" t="s">
        <v>93</v>
      </c>
      <c r="T896" s="6" t="str">
        <f>HYPERLINK("https://kanzpp.ru/api/getInfo/image/c0f15486-6cbe-11ee-a247-00155d82e902")</f>
        <v>https://kanzpp.ru/api/getInfo/image/c0f15486-6cbe-11ee-a247-00155d82e902</v>
      </c>
      <c r="U896" s="6"/>
      <c r="V896" s="33" t="s">
        <v>35</v>
      </c>
    </row>
    <row r="897" spans="2:22" ht="22.95" customHeight="1" outlineLevel="3" x14ac:dyDescent="0.2">
      <c r="B897" s="81" t="s">
        <v>2846</v>
      </c>
      <c r="C897" s="81"/>
      <c r="D897" s="81"/>
      <c r="L897">
        <v>0</v>
      </c>
    </row>
    <row r="898" spans="2:22" ht="21" customHeight="1" outlineLevel="4" x14ac:dyDescent="0.2">
      <c r="B898" s="5">
        <v>691</v>
      </c>
      <c r="C898" s="6" t="s">
        <v>2847</v>
      </c>
      <c r="D898" s="6" t="s">
        <v>2848</v>
      </c>
      <c r="E898" s="7" t="s">
        <v>2849</v>
      </c>
      <c r="F898" s="13"/>
      <c r="G898" s="14"/>
      <c r="H898" s="15">
        <v>72</v>
      </c>
      <c r="I898" s="15">
        <v>12</v>
      </c>
      <c r="J898" s="15">
        <v>264</v>
      </c>
      <c r="K898" s="5">
        <v>1</v>
      </c>
      <c r="L898" s="16">
        <v>133.32</v>
      </c>
      <c r="M898" s="12"/>
      <c r="N898" s="14">
        <f>L898*M898</f>
        <v>0</v>
      </c>
      <c r="O898" s="28">
        <f>0.24*M898</f>
        <v>0</v>
      </c>
      <c r="P898" s="31">
        <f>0.0005*M898</f>
        <v>0</v>
      </c>
      <c r="Q898" s="25"/>
      <c r="R898" s="26" t="s">
        <v>2850</v>
      </c>
      <c r="S898" s="26" t="s">
        <v>93</v>
      </c>
      <c r="T898" s="6" t="str">
        <f>HYPERLINK("https://kanzpp.ru/api/getInfo/image/27fc4e85-8f73-11ee-a250-00155d82e908")</f>
        <v>https://kanzpp.ru/api/getInfo/image/27fc4e85-8f73-11ee-a250-00155d82e908</v>
      </c>
      <c r="U898" s="6"/>
      <c r="V898" s="33" t="s">
        <v>35</v>
      </c>
    </row>
    <row r="899" spans="2:22" ht="22.95" customHeight="1" outlineLevel="3" x14ac:dyDescent="0.2">
      <c r="B899" s="81" t="s">
        <v>2851</v>
      </c>
      <c r="C899" s="81"/>
      <c r="D899" s="81"/>
      <c r="L899">
        <v>0</v>
      </c>
    </row>
    <row r="900" spans="2:22" ht="21" customHeight="1" outlineLevel="4" x14ac:dyDescent="0.2">
      <c r="B900" s="5">
        <v>692</v>
      </c>
      <c r="C900" s="6" t="s">
        <v>2852</v>
      </c>
      <c r="D900" s="6" t="s">
        <v>2853</v>
      </c>
      <c r="E900" s="7" t="s">
        <v>2854</v>
      </c>
      <c r="F900" s="13"/>
      <c r="G900" s="14"/>
      <c r="H900" s="15">
        <v>20</v>
      </c>
      <c r="I900" s="14"/>
      <c r="J900" s="17">
        <v>1587</v>
      </c>
      <c r="K900" s="5">
        <v>2</v>
      </c>
      <c r="L900" s="16">
        <v>237</v>
      </c>
      <c r="M900" s="12"/>
      <c r="N900" s="14">
        <f t="shared" ref="N900:N906" si="40">L900*M900</f>
        <v>0</v>
      </c>
      <c r="O900" s="28">
        <f>0.47*M900</f>
        <v>0</v>
      </c>
      <c r="P900" s="31">
        <f>0.0008*M900</f>
        <v>0</v>
      </c>
      <c r="Q900" s="25"/>
      <c r="R900" s="26" t="s">
        <v>2855</v>
      </c>
      <c r="S900" s="26" t="s">
        <v>93</v>
      </c>
      <c r="T900" s="6" t="str">
        <f>HYPERLINK("https://kanzpp.ru/api/getInfo/image/bb95f920-183d-11ef-a25d-00155d82e908")</f>
        <v>https://kanzpp.ru/api/getInfo/image/bb95f920-183d-11ef-a25d-00155d82e908</v>
      </c>
      <c r="U900" s="6"/>
      <c r="V900" s="33" t="s">
        <v>35</v>
      </c>
    </row>
    <row r="901" spans="2:22" ht="21" customHeight="1" outlineLevel="4" x14ac:dyDescent="0.2">
      <c r="B901" s="5">
        <v>693</v>
      </c>
      <c r="C901" s="6" t="s">
        <v>2856</v>
      </c>
      <c r="D901" s="6" t="s">
        <v>2857</v>
      </c>
      <c r="E901" s="7" t="s">
        <v>2858</v>
      </c>
      <c r="F901" s="13"/>
      <c r="G901" s="14"/>
      <c r="H901" s="15">
        <v>20</v>
      </c>
      <c r="I901" s="14"/>
      <c r="J901" s="14" t="s">
        <v>144</v>
      </c>
      <c r="K901" s="5">
        <v>1</v>
      </c>
      <c r="L901" s="16">
        <v>313.70666666666665</v>
      </c>
      <c r="M901" s="12"/>
      <c r="N901" s="14">
        <f t="shared" si="40"/>
        <v>0</v>
      </c>
      <c r="O901" s="28">
        <f>0.71*M901</f>
        <v>0</v>
      </c>
      <c r="P901" s="31">
        <f>0.0126*M901</f>
        <v>0</v>
      </c>
      <c r="Q901" s="25"/>
      <c r="R901" s="26" t="s">
        <v>2859</v>
      </c>
      <c r="S901" s="26" t="s">
        <v>93</v>
      </c>
      <c r="T901" s="6" t="str">
        <f>HYPERLINK("https://kanzpp.ru/api/getInfo/image/dbb2b2b2-183d-11ef-a25d-00155d82e908")</f>
        <v>https://kanzpp.ru/api/getInfo/image/dbb2b2b2-183d-11ef-a25d-00155d82e908</v>
      </c>
      <c r="U901" s="6"/>
      <c r="V901" s="33" t="s">
        <v>35</v>
      </c>
    </row>
    <row r="902" spans="2:22" ht="21" customHeight="1" outlineLevel="4" x14ac:dyDescent="0.2">
      <c r="B902" s="5">
        <v>694</v>
      </c>
      <c r="C902" s="6" t="s">
        <v>2860</v>
      </c>
      <c r="D902" s="6" t="s">
        <v>2861</v>
      </c>
      <c r="E902" s="7" t="s">
        <v>2862</v>
      </c>
      <c r="F902" s="13"/>
      <c r="G902" s="14"/>
      <c r="H902" s="15">
        <v>10</v>
      </c>
      <c r="I902" s="14"/>
      <c r="J902" s="15">
        <v>215</v>
      </c>
      <c r="K902" s="5">
        <v>1</v>
      </c>
      <c r="L902" s="16">
        <v>939.4</v>
      </c>
      <c r="M902" s="12"/>
      <c r="N902" s="14">
        <f t="shared" si="40"/>
        <v>0</v>
      </c>
      <c r="O902" s="28">
        <f>2.02*M902</f>
        <v>0</v>
      </c>
      <c r="P902" s="24">
        <f>0.00508*M902</f>
        <v>0</v>
      </c>
      <c r="Q902" s="25"/>
      <c r="R902" s="26" t="s">
        <v>2863</v>
      </c>
      <c r="S902" s="26" t="s">
        <v>93</v>
      </c>
      <c r="T902" s="6" t="str">
        <f>HYPERLINK("https://kanzpp.ru/api/getInfo/image/17f93f4f-183e-11ef-a25d-00155d82e908")</f>
        <v>https://kanzpp.ru/api/getInfo/image/17f93f4f-183e-11ef-a25d-00155d82e908</v>
      </c>
      <c r="U902" s="6"/>
      <c r="V902" s="33" t="s">
        <v>35</v>
      </c>
    </row>
    <row r="903" spans="2:22" ht="21" customHeight="1" outlineLevel="4" x14ac:dyDescent="0.2">
      <c r="B903" s="5">
        <v>695</v>
      </c>
      <c r="C903" s="6" t="s">
        <v>2864</v>
      </c>
      <c r="D903" s="6" t="s">
        <v>2865</v>
      </c>
      <c r="E903" s="7" t="s">
        <v>2866</v>
      </c>
      <c r="F903" s="13"/>
      <c r="G903" s="14"/>
      <c r="H903" s="15">
        <v>20</v>
      </c>
      <c r="I903" s="14"/>
      <c r="J903" s="15">
        <v>42</v>
      </c>
      <c r="K903" s="5">
        <v>2</v>
      </c>
      <c r="L903" s="16">
        <v>263.25333333333333</v>
      </c>
      <c r="M903" s="12"/>
      <c r="N903" s="14">
        <f t="shared" si="40"/>
        <v>0</v>
      </c>
      <c r="O903" s="28">
        <f>0.41*M903</f>
        <v>0</v>
      </c>
      <c r="P903" s="24">
        <f>0.00326*M903</f>
        <v>0</v>
      </c>
      <c r="Q903" s="25"/>
      <c r="R903" s="26" t="s">
        <v>2867</v>
      </c>
      <c r="S903" s="26" t="s">
        <v>93</v>
      </c>
      <c r="T903" s="6" t="str">
        <f>HYPERLINK("https://kanzpp.ru/api/getInfo/image/d76d76ff-183c-11ef-a25d-00155d82e908")</f>
        <v>https://kanzpp.ru/api/getInfo/image/d76d76ff-183c-11ef-a25d-00155d82e908</v>
      </c>
      <c r="U903" s="6"/>
      <c r="V903" s="33" t="s">
        <v>35</v>
      </c>
    </row>
    <row r="904" spans="2:22" ht="21" customHeight="1" outlineLevel="4" x14ac:dyDescent="0.2">
      <c r="B904" s="5">
        <v>696</v>
      </c>
      <c r="C904" s="6" t="s">
        <v>2868</v>
      </c>
      <c r="D904" s="6" t="s">
        <v>2869</v>
      </c>
      <c r="E904" s="7" t="s">
        <v>2870</v>
      </c>
      <c r="F904" s="13"/>
      <c r="G904" s="14"/>
      <c r="H904" s="15">
        <v>10</v>
      </c>
      <c r="I904" s="14"/>
      <c r="J904" s="15">
        <v>182</v>
      </c>
      <c r="K904" s="5">
        <v>1</v>
      </c>
      <c r="L904" s="16">
        <v>478.69333333333333</v>
      </c>
      <c r="M904" s="12"/>
      <c r="N904" s="14">
        <f t="shared" si="40"/>
        <v>0</v>
      </c>
      <c r="O904" s="28">
        <f>0.91*M904</f>
        <v>0</v>
      </c>
      <c r="P904" s="24">
        <f>0.00523*M904</f>
        <v>0</v>
      </c>
      <c r="Q904" s="25"/>
      <c r="R904" s="26" t="s">
        <v>2871</v>
      </c>
      <c r="S904" s="26" t="s">
        <v>93</v>
      </c>
      <c r="T904" s="6" t="str">
        <f>HYPERLINK("https://kanzpp.ru/api/getInfo/image/9b557c67-183d-11ef-a25d-00155d82e908")</f>
        <v>https://kanzpp.ru/api/getInfo/image/9b557c67-183d-11ef-a25d-00155d82e908</v>
      </c>
      <c r="U904" s="6"/>
      <c r="V904" s="33" t="s">
        <v>35</v>
      </c>
    </row>
    <row r="905" spans="2:22" ht="21" customHeight="1" outlineLevel="4" x14ac:dyDescent="0.2">
      <c r="B905" s="5">
        <v>697</v>
      </c>
      <c r="C905" s="6" t="s">
        <v>2872</v>
      </c>
      <c r="D905" s="6" t="s">
        <v>2873</v>
      </c>
      <c r="E905" s="7" t="s">
        <v>2874</v>
      </c>
      <c r="F905" s="13"/>
      <c r="G905" s="14"/>
      <c r="H905" s="15">
        <v>20</v>
      </c>
      <c r="I905" s="14"/>
      <c r="J905" s="15">
        <v>90</v>
      </c>
      <c r="K905" s="5">
        <v>1</v>
      </c>
      <c r="L905" s="16">
        <v>393.32</v>
      </c>
      <c r="M905" s="12"/>
      <c r="N905" s="14">
        <f t="shared" si="40"/>
        <v>0</v>
      </c>
      <c r="O905" s="28">
        <f>0.69*M905</f>
        <v>0</v>
      </c>
      <c r="P905" s="24">
        <f>0.00722*M905</f>
        <v>0</v>
      </c>
      <c r="Q905" s="25"/>
      <c r="R905" s="26" t="s">
        <v>2875</v>
      </c>
      <c r="S905" s="26" t="s">
        <v>93</v>
      </c>
      <c r="T905" s="6" t="str">
        <f>HYPERLINK("https://kanzpp.ru/api/getInfo/image/3975eb4f-183d-11ef-a25d-00155d82e908")</f>
        <v>https://kanzpp.ru/api/getInfo/image/3975eb4f-183d-11ef-a25d-00155d82e908</v>
      </c>
      <c r="U905" s="6"/>
      <c r="V905" s="33" t="s">
        <v>35</v>
      </c>
    </row>
    <row r="906" spans="2:22" ht="21" customHeight="1" outlineLevel="4" x14ac:dyDescent="0.2">
      <c r="B906" s="5">
        <v>698</v>
      </c>
      <c r="C906" s="6" t="s">
        <v>2876</v>
      </c>
      <c r="D906" s="6" t="s">
        <v>2877</v>
      </c>
      <c r="E906" s="7" t="s">
        <v>2878</v>
      </c>
      <c r="F906" s="13"/>
      <c r="G906" s="14"/>
      <c r="H906" s="15">
        <v>10</v>
      </c>
      <c r="I906" s="14"/>
      <c r="J906" s="17">
        <v>1023</v>
      </c>
      <c r="K906" s="5">
        <v>1</v>
      </c>
      <c r="L906" s="16">
        <v>533.17333333333329</v>
      </c>
      <c r="M906" s="12"/>
      <c r="N906" s="14">
        <f t="shared" si="40"/>
        <v>0</v>
      </c>
      <c r="O906" s="28">
        <f>0.87*M906</f>
        <v>0</v>
      </c>
      <c r="P906" s="24">
        <f>0.01159*M906</f>
        <v>0</v>
      </c>
      <c r="Q906" s="25"/>
      <c r="R906" s="26" t="s">
        <v>2879</v>
      </c>
      <c r="S906" s="26" t="s">
        <v>93</v>
      </c>
      <c r="T906" s="6" t="str">
        <f>HYPERLINK("https://kanzpp.ru/api/getInfo/image/796efe78-183d-11ef-a25d-00155d82e908")</f>
        <v>https://kanzpp.ru/api/getInfo/image/796efe78-183d-11ef-a25d-00155d82e908</v>
      </c>
      <c r="U906" s="6"/>
      <c r="V906" s="33" t="s">
        <v>35</v>
      </c>
    </row>
    <row r="907" spans="2:22" ht="22.95" customHeight="1" outlineLevel="2" x14ac:dyDescent="0.2">
      <c r="B907" s="80" t="s">
        <v>2880</v>
      </c>
      <c r="C907" s="80"/>
      <c r="D907" s="80"/>
      <c r="L907">
        <v>0</v>
      </c>
    </row>
    <row r="908" spans="2:22" ht="22.95" customHeight="1" outlineLevel="3" x14ac:dyDescent="0.2">
      <c r="B908" s="81" t="s">
        <v>2881</v>
      </c>
      <c r="C908" s="81"/>
      <c r="D908" s="81"/>
      <c r="L908">
        <v>0</v>
      </c>
    </row>
    <row r="909" spans="2:22" ht="22.95" customHeight="1" outlineLevel="4" x14ac:dyDescent="0.2">
      <c r="B909" s="82" t="s">
        <v>2882</v>
      </c>
      <c r="C909" s="82"/>
      <c r="D909" s="82"/>
      <c r="L909">
        <v>0</v>
      </c>
    </row>
    <row r="910" spans="2:22" ht="21" customHeight="1" outlineLevel="5" x14ac:dyDescent="0.2">
      <c r="B910" s="5">
        <v>699</v>
      </c>
      <c r="C910" s="6" t="s">
        <v>2883</v>
      </c>
      <c r="D910" s="6" t="s">
        <v>2884</v>
      </c>
      <c r="E910" s="7" t="s">
        <v>2885</v>
      </c>
      <c r="F910" s="13"/>
      <c r="G910" s="14"/>
      <c r="H910" s="15">
        <v>480</v>
      </c>
      <c r="I910" s="15">
        <v>12</v>
      </c>
      <c r="J910" s="15">
        <v>12</v>
      </c>
      <c r="K910" s="5">
        <v>12</v>
      </c>
      <c r="L910" s="16">
        <v>32</v>
      </c>
      <c r="M910" s="12"/>
      <c r="N910" s="14">
        <f>L910*M910</f>
        <v>0</v>
      </c>
      <c r="O910" s="23">
        <f>0.025*M910</f>
        <v>0</v>
      </c>
      <c r="P910" s="31">
        <f>0.0001*M910</f>
        <v>0</v>
      </c>
      <c r="Q910" s="25"/>
      <c r="R910" s="26" t="s">
        <v>2886</v>
      </c>
      <c r="S910" s="26" t="s">
        <v>93</v>
      </c>
      <c r="T910" s="6" t="str">
        <f>HYPERLINK("https://kanzpp.ru/api/getInfo/image/4cd1131a-32b7-11ee-a23f-00155d82e902")</f>
        <v>https://kanzpp.ru/api/getInfo/image/4cd1131a-32b7-11ee-a23f-00155d82e902</v>
      </c>
      <c r="U910" s="6"/>
      <c r="V910" s="33" t="s">
        <v>35</v>
      </c>
    </row>
    <row r="911" spans="2:22" ht="21" customHeight="1" outlineLevel="5" x14ac:dyDescent="0.2">
      <c r="B911" s="5">
        <v>700</v>
      </c>
      <c r="C911" s="6" t="s">
        <v>2887</v>
      </c>
      <c r="D911" s="6" t="s">
        <v>2888</v>
      </c>
      <c r="E911" s="7" t="s">
        <v>2889</v>
      </c>
      <c r="F911" s="13"/>
      <c r="G911" s="14"/>
      <c r="H911" s="15">
        <v>480</v>
      </c>
      <c r="I911" s="15">
        <v>12</v>
      </c>
      <c r="J911" s="15">
        <v>914</v>
      </c>
      <c r="K911" s="5">
        <v>12</v>
      </c>
      <c r="L911" s="16">
        <v>27.560000000000002</v>
      </c>
      <c r="M911" s="12"/>
      <c r="N911" s="14">
        <f>L911*M911</f>
        <v>0</v>
      </c>
      <c r="O911" s="23">
        <f>0.031*M911</f>
        <v>0</v>
      </c>
      <c r="P911" s="24">
        <f>0.00007*M911</f>
        <v>0</v>
      </c>
      <c r="Q911" s="25"/>
      <c r="R911" s="26" t="s">
        <v>2890</v>
      </c>
      <c r="S911" s="26" t="s">
        <v>93</v>
      </c>
      <c r="T911" s="6" t="str">
        <f>HYPERLINK("https://kanzpp.ru/api/getInfo/image/9641a6ea-32b8-11ee-a23f-00155d82e902")</f>
        <v>https://kanzpp.ru/api/getInfo/image/9641a6ea-32b8-11ee-a23f-00155d82e902</v>
      </c>
      <c r="U911" s="6"/>
      <c r="V911" s="33" t="s">
        <v>35</v>
      </c>
    </row>
    <row r="912" spans="2:22" ht="22.95" customHeight="1" outlineLevel="4" x14ac:dyDescent="0.2">
      <c r="B912" s="82" t="s">
        <v>2891</v>
      </c>
      <c r="C912" s="82"/>
      <c r="D912" s="82"/>
      <c r="L912">
        <v>0</v>
      </c>
    </row>
    <row r="913" spans="2:22" ht="21" customHeight="1" outlineLevel="5" x14ac:dyDescent="0.2">
      <c r="B913" s="5">
        <v>701</v>
      </c>
      <c r="C913" s="6" t="s">
        <v>2892</v>
      </c>
      <c r="D913" s="6" t="s">
        <v>2893</v>
      </c>
      <c r="E913" s="7" t="s">
        <v>2894</v>
      </c>
      <c r="F913" s="13"/>
      <c r="G913" s="14"/>
      <c r="H913" s="15">
        <v>480</v>
      </c>
      <c r="I913" s="15">
        <v>12</v>
      </c>
      <c r="J913" s="15">
        <v>72</v>
      </c>
      <c r="K913" s="5">
        <v>12</v>
      </c>
      <c r="L913" s="16">
        <v>32</v>
      </c>
      <c r="M913" s="12"/>
      <c r="N913" s="14">
        <f>L913*M913</f>
        <v>0</v>
      </c>
      <c r="O913" s="23">
        <f>0.021*M913</f>
        <v>0</v>
      </c>
      <c r="P913" s="24">
        <f>0.00011*M913</f>
        <v>0</v>
      </c>
      <c r="Q913" s="25"/>
      <c r="R913" s="26" t="s">
        <v>2895</v>
      </c>
      <c r="S913" s="26" t="s">
        <v>93</v>
      </c>
      <c r="T913" s="6" t="str">
        <f>HYPERLINK("https://kanzpp.ru/api/getInfo/image/2a2c748f-329c-11ee-a23e-00155d82e902")</f>
        <v>https://kanzpp.ru/api/getInfo/image/2a2c748f-329c-11ee-a23e-00155d82e902</v>
      </c>
      <c r="U913" s="6"/>
      <c r="V913" s="33" t="s">
        <v>35</v>
      </c>
    </row>
    <row r="914" spans="2:22" ht="21" customHeight="1" outlineLevel="5" x14ac:dyDescent="0.2">
      <c r="B914" s="5">
        <v>702</v>
      </c>
      <c r="C914" s="6" t="s">
        <v>2896</v>
      </c>
      <c r="D914" s="6" t="s">
        <v>2897</v>
      </c>
      <c r="E914" s="7" t="s">
        <v>2898</v>
      </c>
      <c r="F914" s="13"/>
      <c r="G914" s="14"/>
      <c r="H914" s="15">
        <v>480</v>
      </c>
      <c r="I914" s="15">
        <v>12</v>
      </c>
      <c r="J914" s="15">
        <v>335</v>
      </c>
      <c r="K914" s="5">
        <v>12</v>
      </c>
      <c r="L914" s="16">
        <v>32</v>
      </c>
      <c r="M914" s="12"/>
      <c r="N914" s="14">
        <f>L914*M914</f>
        <v>0</v>
      </c>
      <c r="O914" s="23">
        <f>0.023*M914</f>
        <v>0</v>
      </c>
      <c r="P914" s="24">
        <f>0.00012*M914</f>
        <v>0</v>
      </c>
      <c r="Q914" s="25"/>
      <c r="R914" s="26" t="s">
        <v>2899</v>
      </c>
      <c r="S914" s="26" t="s">
        <v>93</v>
      </c>
      <c r="T914" s="6" t="str">
        <f>HYPERLINK("https://kanzpp.ru/api/getInfo/image/b8338446-329c-11ee-a23e-00155d82e902")</f>
        <v>https://kanzpp.ru/api/getInfo/image/b8338446-329c-11ee-a23e-00155d82e902</v>
      </c>
      <c r="U914" s="6"/>
      <c r="V914" s="33" t="s">
        <v>35</v>
      </c>
    </row>
    <row r="915" spans="2:22" ht="21" customHeight="1" outlineLevel="5" x14ac:dyDescent="0.2">
      <c r="B915" s="5">
        <v>703</v>
      </c>
      <c r="C915" s="6" t="s">
        <v>2900</v>
      </c>
      <c r="D915" s="6" t="s">
        <v>2901</v>
      </c>
      <c r="E915" s="7" t="s">
        <v>2902</v>
      </c>
      <c r="F915" s="13"/>
      <c r="G915" s="14"/>
      <c r="H915" s="15">
        <v>480</v>
      </c>
      <c r="I915" s="15">
        <v>12</v>
      </c>
      <c r="J915" s="14" t="s">
        <v>144</v>
      </c>
      <c r="K915" s="5">
        <v>12</v>
      </c>
      <c r="L915" s="16">
        <v>32</v>
      </c>
      <c r="M915" s="12"/>
      <c r="N915" s="14">
        <f>L915*M915</f>
        <v>0</v>
      </c>
      <c r="O915" s="27">
        <f>0.3*M915</f>
        <v>0</v>
      </c>
      <c r="P915" s="24">
        <f>0.00194*M915</f>
        <v>0</v>
      </c>
      <c r="Q915" s="25"/>
      <c r="R915" s="26" t="s">
        <v>2903</v>
      </c>
      <c r="S915" s="26" t="s">
        <v>93</v>
      </c>
      <c r="T915" s="6" t="str">
        <f>HYPERLINK("https://kanzpp.ru/api/getInfo/image/5c9fab89-329c-11ee-a23e-00155d82e902")</f>
        <v>https://kanzpp.ru/api/getInfo/image/5c9fab89-329c-11ee-a23e-00155d82e902</v>
      </c>
      <c r="U915" s="6"/>
      <c r="V915" s="33" t="s">
        <v>35</v>
      </c>
    </row>
    <row r="916" spans="2:22" ht="21" customHeight="1" outlineLevel="5" x14ac:dyDescent="0.2">
      <c r="B916" s="5">
        <v>704</v>
      </c>
      <c r="C916" s="6" t="s">
        <v>2904</v>
      </c>
      <c r="D916" s="6" t="s">
        <v>2905</v>
      </c>
      <c r="E916" s="7" t="s">
        <v>2906</v>
      </c>
      <c r="F916" s="13"/>
      <c r="G916" s="14"/>
      <c r="H916" s="15">
        <v>480</v>
      </c>
      <c r="I916" s="15">
        <v>12</v>
      </c>
      <c r="J916" s="17">
        <v>4522</v>
      </c>
      <c r="K916" s="5">
        <v>12</v>
      </c>
      <c r="L916" s="16">
        <v>32</v>
      </c>
      <c r="M916" s="12"/>
      <c r="N916" s="14">
        <f>L916*M916</f>
        <v>0</v>
      </c>
      <c r="O916" s="23">
        <f>0.025*M916</f>
        <v>0</v>
      </c>
      <c r="P916" s="24">
        <f>0.00012*M916</f>
        <v>0</v>
      </c>
      <c r="Q916" s="25"/>
      <c r="R916" s="26" t="s">
        <v>2907</v>
      </c>
      <c r="S916" s="26" t="s">
        <v>93</v>
      </c>
      <c r="T916" s="6" t="str">
        <f>HYPERLINK("https://kanzpp.ru/api/getInfo/image/ab1372b0-24da-11eb-a25d-ac1f6b442184")</f>
        <v>https://kanzpp.ru/api/getInfo/image/ab1372b0-24da-11eb-a25d-ac1f6b442184</v>
      </c>
      <c r="U916" s="6"/>
      <c r="V916" s="33" t="s">
        <v>35</v>
      </c>
    </row>
    <row r="917" spans="2:22" ht="21" customHeight="1" outlineLevel="5" x14ac:dyDescent="0.2">
      <c r="B917" s="5">
        <v>705</v>
      </c>
      <c r="C917" s="6" t="s">
        <v>2908</v>
      </c>
      <c r="D917" s="6" t="s">
        <v>2909</v>
      </c>
      <c r="E917" s="7" t="s">
        <v>2910</v>
      </c>
      <c r="F917" s="13"/>
      <c r="G917" s="14"/>
      <c r="H917" s="15">
        <v>360</v>
      </c>
      <c r="I917" s="15">
        <v>24</v>
      </c>
      <c r="J917" s="15">
        <v>24</v>
      </c>
      <c r="K917" s="5">
        <v>24</v>
      </c>
      <c r="L917" s="16">
        <v>26.959999999999997</v>
      </c>
      <c r="M917" s="12"/>
      <c r="N917" s="14">
        <f>L917*M917</f>
        <v>0</v>
      </c>
      <c r="O917" s="23">
        <f>0.022*M917</f>
        <v>0</v>
      </c>
      <c r="P917" s="24">
        <f>0.00003*M917</f>
        <v>0</v>
      </c>
      <c r="Q917" s="25"/>
      <c r="R917" s="26" t="s">
        <v>2911</v>
      </c>
      <c r="S917" s="26" t="s">
        <v>93</v>
      </c>
      <c r="T917" s="6" t="str">
        <f>HYPERLINK("https://kanzpp.ru/api/getInfo/image/2ed5f89a-31c4-11ee-a23e-00155d82e902")</f>
        <v>https://kanzpp.ru/api/getInfo/image/2ed5f89a-31c4-11ee-a23e-00155d82e902</v>
      </c>
      <c r="U917" s="6"/>
      <c r="V917" s="33" t="s">
        <v>35</v>
      </c>
    </row>
    <row r="918" spans="2:22" ht="22.95" customHeight="1" outlineLevel="3" x14ac:dyDescent="0.2">
      <c r="B918" s="81" t="s">
        <v>2912</v>
      </c>
      <c r="C918" s="81"/>
      <c r="D918" s="81"/>
      <c r="L918">
        <v>0</v>
      </c>
    </row>
    <row r="919" spans="2:22" ht="21" customHeight="1" outlineLevel="4" x14ac:dyDescent="0.2">
      <c r="B919" s="5">
        <v>706</v>
      </c>
      <c r="C919" s="6" t="s">
        <v>2913</v>
      </c>
      <c r="D919" s="6" t="s">
        <v>2914</v>
      </c>
      <c r="E919" s="7" t="s">
        <v>2915</v>
      </c>
      <c r="F919" s="13"/>
      <c r="G919" s="14"/>
      <c r="H919" s="15">
        <v>30</v>
      </c>
      <c r="I919" s="14"/>
      <c r="J919" s="15">
        <v>20</v>
      </c>
      <c r="K919" s="5">
        <v>1</v>
      </c>
      <c r="L919" s="16">
        <v>630</v>
      </c>
      <c r="M919" s="12"/>
      <c r="N919" s="14">
        <f>L919*M919</f>
        <v>0</v>
      </c>
      <c r="O919" s="28">
        <f>0.58*M919</f>
        <v>0</v>
      </c>
      <c r="P919" s="24">
        <f>0.00677*M919</f>
        <v>0</v>
      </c>
      <c r="Q919" s="25"/>
      <c r="R919" s="26" t="s">
        <v>2916</v>
      </c>
      <c r="S919" s="26" t="s">
        <v>93</v>
      </c>
      <c r="T919" s="6" t="str">
        <f>HYPERLINK("https://kanzpp.ru/api/getInfo/image/874a3fb3-86fb-11ef-a265-00155d82e908")</f>
        <v>https://kanzpp.ru/api/getInfo/image/874a3fb3-86fb-11ef-a265-00155d82e908</v>
      </c>
      <c r="U919" s="6"/>
      <c r="V919" s="33" t="s">
        <v>35</v>
      </c>
    </row>
    <row r="920" spans="2:22" ht="21" customHeight="1" outlineLevel="4" x14ac:dyDescent="0.2">
      <c r="B920" s="5">
        <v>707</v>
      </c>
      <c r="C920" s="6" t="s">
        <v>2917</v>
      </c>
      <c r="D920" s="6" t="s">
        <v>2918</v>
      </c>
      <c r="E920" s="7" t="s">
        <v>2919</v>
      </c>
      <c r="F920" s="13"/>
      <c r="G920" s="14"/>
      <c r="H920" s="15">
        <v>36</v>
      </c>
      <c r="I920" s="14"/>
      <c r="J920" s="15">
        <v>610</v>
      </c>
      <c r="K920" s="5">
        <v>1</v>
      </c>
      <c r="L920" s="16">
        <v>429.33333333333331</v>
      </c>
      <c r="M920" s="12"/>
      <c r="N920" s="14">
        <f>L920*M920</f>
        <v>0</v>
      </c>
      <c r="O920" s="28">
        <f>0.32*M920</f>
        <v>0</v>
      </c>
      <c r="P920" s="31">
        <f>0.0027*M920</f>
        <v>0</v>
      </c>
      <c r="Q920" s="25"/>
      <c r="R920" s="26" t="s">
        <v>2920</v>
      </c>
      <c r="S920" s="26" t="s">
        <v>93</v>
      </c>
      <c r="T920" s="6" t="str">
        <f>HYPERLINK("https://kanzpp.ru/api/getInfo/image/a243bcf8-86fa-11ef-a265-00155d82e908")</f>
        <v>https://kanzpp.ru/api/getInfo/image/a243bcf8-86fa-11ef-a265-00155d82e908</v>
      </c>
      <c r="U920" s="6"/>
      <c r="V920" s="33" t="s">
        <v>35</v>
      </c>
    </row>
    <row r="921" spans="2:22" ht="21" customHeight="1" outlineLevel="4" x14ac:dyDescent="0.2">
      <c r="B921" s="5">
        <v>708</v>
      </c>
      <c r="C921" s="6" t="s">
        <v>2921</v>
      </c>
      <c r="D921" s="6" t="s">
        <v>2922</v>
      </c>
      <c r="E921" s="7" t="s">
        <v>2923</v>
      </c>
      <c r="F921" s="13"/>
      <c r="G921" s="14"/>
      <c r="H921" s="15">
        <v>30</v>
      </c>
      <c r="I921" s="14"/>
      <c r="J921" s="15">
        <v>170</v>
      </c>
      <c r="K921" s="5">
        <v>1</v>
      </c>
      <c r="L921" s="16">
        <v>466.66666666666669</v>
      </c>
      <c r="M921" s="12"/>
      <c r="N921" s="14">
        <f>L921*M921</f>
        <v>0</v>
      </c>
      <c r="O921" s="23">
        <f>0.427*M921</f>
        <v>0</v>
      </c>
      <c r="P921" s="24">
        <f>0.00363*M921</f>
        <v>0</v>
      </c>
      <c r="Q921" s="25"/>
      <c r="R921" s="26" t="s">
        <v>2924</v>
      </c>
      <c r="S921" s="26" t="s">
        <v>93</v>
      </c>
      <c r="T921" s="6" t="str">
        <f>HYPERLINK("https://kanzpp.ru/api/getInfo/image/7c2240fd-86f7-11ef-a265-00155d82e908")</f>
        <v>https://kanzpp.ru/api/getInfo/image/7c2240fd-86f7-11ef-a265-00155d82e908</v>
      </c>
      <c r="U921" s="6"/>
      <c r="V921" s="33" t="s">
        <v>35</v>
      </c>
    </row>
    <row r="922" spans="2:22" ht="22.95" customHeight="1" outlineLevel="2" x14ac:dyDescent="0.2">
      <c r="B922" s="80" t="s">
        <v>2925</v>
      </c>
      <c r="C922" s="80"/>
      <c r="D922" s="80"/>
      <c r="L922">
        <v>0</v>
      </c>
    </row>
    <row r="923" spans="2:22" ht="22.95" customHeight="1" outlineLevel="3" x14ac:dyDescent="0.2">
      <c r="B923" s="81" t="s">
        <v>2926</v>
      </c>
      <c r="C923" s="81"/>
      <c r="D923" s="81"/>
      <c r="L923">
        <v>0</v>
      </c>
    </row>
    <row r="924" spans="2:22" ht="22.95" customHeight="1" outlineLevel="4" x14ac:dyDescent="0.2">
      <c r="B924" s="82" t="s">
        <v>2927</v>
      </c>
      <c r="C924" s="82"/>
      <c r="D924" s="82"/>
      <c r="L924">
        <v>0</v>
      </c>
    </row>
    <row r="925" spans="2:22" ht="21" customHeight="1" outlineLevel="5" x14ac:dyDescent="0.2">
      <c r="B925" s="36">
        <v>709</v>
      </c>
      <c r="C925" s="37" t="s">
        <v>2928</v>
      </c>
      <c r="D925" s="37" t="s">
        <v>2929</v>
      </c>
      <c r="E925" s="38" t="s">
        <v>2930</v>
      </c>
      <c r="F925" s="39"/>
      <c r="G925" s="40"/>
      <c r="H925" s="40"/>
      <c r="I925" s="41">
        <v>10</v>
      </c>
      <c r="J925" s="40" t="s">
        <v>144</v>
      </c>
      <c r="K925" s="36">
        <v>10</v>
      </c>
      <c r="L925" s="42">
        <f>(54.67*(1-O3/100))/0.75</f>
        <v>72.893333333333331</v>
      </c>
      <c r="M925" s="12"/>
      <c r="N925" s="40">
        <f t="shared" ref="N925:N934" si="41">L925*M925</f>
        <v>0</v>
      </c>
      <c r="O925" s="43">
        <f>0.088*M925</f>
        <v>0</v>
      </c>
      <c r="P925" s="47">
        <f>0.00011*M925</f>
        <v>0</v>
      </c>
      <c r="Q925" s="44"/>
      <c r="R925" s="45" t="s">
        <v>2931</v>
      </c>
      <c r="S925" s="45" t="s">
        <v>29</v>
      </c>
      <c r="T925" s="37" t="str">
        <f>HYPERLINK("https://kanzpp.ru/api/getInfo/image/43a3767f-51a3-11e7-977d-5cf3fc4a2490")</f>
        <v>https://kanzpp.ru/api/getInfo/image/43a3767f-51a3-11e7-977d-5cf3fc4a2490</v>
      </c>
      <c r="U925" s="37"/>
    </row>
    <row r="926" spans="2:22" ht="21" customHeight="1" outlineLevel="5" x14ac:dyDescent="0.2">
      <c r="B926" s="36">
        <v>710</v>
      </c>
      <c r="C926" s="37" t="s">
        <v>2932</v>
      </c>
      <c r="D926" s="37" t="s">
        <v>2933</v>
      </c>
      <c r="E926" s="38" t="s">
        <v>2934</v>
      </c>
      <c r="F926" s="39"/>
      <c r="G926" s="40"/>
      <c r="H926" s="40"/>
      <c r="I926" s="41">
        <v>10</v>
      </c>
      <c r="J926" s="41">
        <v>688</v>
      </c>
      <c r="K926" s="36">
        <v>20</v>
      </c>
      <c r="L926" s="42">
        <f>(29.91*(1-O3/100))/0.75</f>
        <v>39.880000000000003</v>
      </c>
      <c r="M926" s="12"/>
      <c r="N926" s="40">
        <f t="shared" si="41"/>
        <v>0</v>
      </c>
      <c r="O926" s="43">
        <f>0.084*M926</f>
        <v>0</v>
      </c>
      <c r="P926" s="47">
        <f>0.00006*M926</f>
        <v>0</v>
      </c>
      <c r="Q926" s="44"/>
      <c r="R926" s="45" t="s">
        <v>2935</v>
      </c>
      <c r="S926" s="45" t="s">
        <v>29</v>
      </c>
      <c r="T926" s="37" t="str">
        <f>HYPERLINK("https://kanzpp.ru/api/getInfo/image/235ef9a3-8c81-11ef-a265-00155d82e908")</f>
        <v>https://kanzpp.ru/api/getInfo/image/235ef9a3-8c81-11ef-a265-00155d82e908</v>
      </c>
      <c r="U926" s="37"/>
    </row>
    <row r="927" spans="2:22" ht="21" customHeight="1" outlineLevel="5" x14ac:dyDescent="0.2">
      <c r="B927" s="5">
        <v>711</v>
      </c>
      <c r="C927" s="6" t="s">
        <v>2936</v>
      </c>
      <c r="D927" s="6" t="s">
        <v>2937</v>
      </c>
      <c r="E927" s="7" t="s">
        <v>378</v>
      </c>
      <c r="F927" s="13"/>
      <c r="G927" s="14"/>
      <c r="H927" s="14"/>
      <c r="I927" s="15">
        <v>10</v>
      </c>
      <c r="J927" s="14" t="s">
        <v>144</v>
      </c>
      <c r="K927" s="5">
        <v>10</v>
      </c>
      <c r="L927" s="16">
        <v>61.199999999999996</v>
      </c>
      <c r="M927" s="12"/>
      <c r="N927" s="14">
        <f t="shared" si="41"/>
        <v>0</v>
      </c>
      <c r="O927" s="23">
        <f>0.103*M927</f>
        <v>0</v>
      </c>
      <c r="P927" s="31">
        <f>0.0004*M927</f>
        <v>0</v>
      </c>
      <c r="Q927" s="25"/>
      <c r="R927" s="26" t="s">
        <v>2938</v>
      </c>
      <c r="S927" s="26" t="s">
        <v>29</v>
      </c>
      <c r="T927" s="6" t="str">
        <f>HYPERLINK("https://kanzpp.ru/api/getInfo/image/5f778790-720f-11e7-977d-5cf3fc4a2490")</f>
        <v>https://kanzpp.ru/api/getInfo/image/5f778790-720f-11e7-977d-5cf3fc4a2490</v>
      </c>
      <c r="U927" s="6"/>
      <c r="V927" s="33" t="s">
        <v>35</v>
      </c>
    </row>
    <row r="928" spans="2:22" ht="21" customHeight="1" outlineLevel="5" x14ac:dyDescent="0.2">
      <c r="B928" s="36">
        <v>712</v>
      </c>
      <c r="C928" s="37" t="s">
        <v>2939</v>
      </c>
      <c r="D928" s="37" t="s">
        <v>2940</v>
      </c>
      <c r="E928" s="38" t="s">
        <v>2941</v>
      </c>
      <c r="F928" s="39"/>
      <c r="G928" s="40"/>
      <c r="H928" s="41">
        <v>40</v>
      </c>
      <c r="I928" s="40"/>
      <c r="J928" s="40" t="s">
        <v>144</v>
      </c>
      <c r="K928" s="36">
        <v>10</v>
      </c>
      <c r="L928" s="42">
        <f>(57.33*(1-O3/100))/0.75</f>
        <v>76.44</v>
      </c>
      <c r="M928" s="12"/>
      <c r="N928" s="40">
        <f t="shared" si="41"/>
        <v>0</v>
      </c>
      <c r="O928" s="43">
        <f>0.107*M928</f>
        <v>0</v>
      </c>
      <c r="P928" s="47">
        <f>0.00011*M928</f>
        <v>0</v>
      </c>
      <c r="Q928" s="44"/>
      <c r="R928" s="45" t="s">
        <v>2942</v>
      </c>
      <c r="S928" s="45" t="s">
        <v>29</v>
      </c>
      <c r="T928" s="37" t="str">
        <f>HYPERLINK("https://kanzpp.ru/api/getInfo/image/2be3fc02-51a3-11e7-977d-5cf3fc4a2490")</f>
        <v>https://kanzpp.ru/api/getInfo/image/2be3fc02-51a3-11e7-977d-5cf3fc4a2490</v>
      </c>
      <c r="U928" s="37"/>
    </row>
    <row r="929" spans="2:22" ht="21" customHeight="1" outlineLevel="5" x14ac:dyDescent="0.2">
      <c r="B929" s="36">
        <v>713</v>
      </c>
      <c r="C929" s="37" t="s">
        <v>2943</v>
      </c>
      <c r="D929" s="37" t="s">
        <v>2944</v>
      </c>
      <c r="E929" s="38" t="s">
        <v>2945</v>
      </c>
      <c r="F929" s="39"/>
      <c r="G929" s="40"/>
      <c r="H929" s="41">
        <v>40</v>
      </c>
      <c r="I929" s="40"/>
      <c r="J929" s="40" t="s">
        <v>144</v>
      </c>
      <c r="K929" s="36">
        <v>10</v>
      </c>
      <c r="L929" s="42">
        <f>(66.53*(1-O3/100))/0.75</f>
        <v>88.706666666666663</v>
      </c>
      <c r="M929" s="12"/>
      <c r="N929" s="40">
        <f t="shared" si="41"/>
        <v>0</v>
      </c>
      <c r="O929" s="43">
        <f>0.088*M929</f>
        <v>0</v>
      </c>
      <c r="P929" s="47">
        <f>0.00013*M929</f>
        <v>0</v>
      </c>
      <c r="Q929" s="44"/>
      <c r="R929" s="45" t="s">
        <v>2946</v>
      </c>
      <c r="S929" s="45" t="s">
        <v>29</v>
      </c>
      <c r="T929" s="37" t="str">
        <f>HYPERLINK("https://kanzpp.ru/api/getInfo/image/06699b69-dae4-11ea-a250-ac1f6b442184")</f>
        <v>https://kanzpp.ru/api/getInfo/image/06699b69-dae4-11ea-a250-ac1f6b442184</v>
      </c>
      <c r="U929" s="37"/>
    </row>
    <row r="930" spans="2:22" ht="21" customHeight="1" outlineLevel="5" x14ac:dyDescent="0.2">
      <c r="B930" s="36">
        <v>714</v>
      </c>
      <c r="C930" s="37" t="s">
        <v>2947</v>
      </c>
      <c r="D930" s="37" t="s">
        <v>2948</v>
      </c>
      <c r="E930" s="38" t="s">
        <v>2949</v>
      </c>
      <c r="F930" s="39"/>
      <c r="G930" s="40"/>
      <c r="H930" s="41">
        <v>40</v>
      </c>
      <c r="I930" s="40"/>
      <c r="J930" s="40" t="s">
        <v>144</v>
      </c>
      <c r="K930" s="36">
        <v>10</v>
      </c>
      <c r="L930" s="42">
        <f>(69.47*(1-O3/100))/0.75</f>
        <v>92.626666666666665</v>
      </c>
      <c r="M930" s="12"/>
      <c r="N930" s="40">
        <f t="shared" si="41"/>
        <v>0</v>
      </c>
      <c r="O930" s="43">
        <f>0.125*M930</f>
        <v>0</v>
      </c>
      <c r="P930" s="47">
        <f>0.00022*M930</f>
        <v>0</v>
      </c>
      <c r="Q930" s="44"/>
      <c r="R930" s="45" t="s">
        <v>2950</v>
      </c>
      <c r="S930" s="45" t="s">
        <v>29</v>
      </c>
      <c r="T930" s="37" t="str">
        <f>HYPERLINK("https://kanzpp.ru/api/getInfo/image/d0009fb9-51a1-11e7-977d-5cf3fc4a2490")</f>
        <v>https://kanzpp.ru/api/getInfo/image/d0009fb9-51a1-11e7-977d-5cf3fc4a2490</v>
      </c>
      <c r="U930" s="37"/>
    </row>
    <row r="931" spans="2:22" ht="21" customHeight="1" outlineLevel="5" x14ac:dyDescent="0.2">
      <c r="B931" s="36">
        <v>715</v>
      </c>
      <c r="C931" s="37" t="s">
        <v>2951</v>
      </c>
      <c r="D931" s="37" t="s">
        <v>2952</v>
      </c>
      <c r="E931" s="38" t="s">
        <v>2953</v>
      </c>
      <c r="F931" s="39"/>
      <c r="G931" s="40"/>
      <c r="H931" s="41">
        <v>40</v>
      </c>
      <c r="I931" s="40"/>
      <c r="J931" s="41">
        <v>962</v>
      </c>
      <c r="K931" s="36">
        <v>10</v>
      </c>
      <c r="L931" s="42">
        <f>(69.47*(1-O3/100))/0.75</f>
        <v>92.626666666666665</v>
      </c>
      <c r="M931" s="12"/>
      <c r="N931" s="40">
        <f t="shared" si="41"/>
        <v>0</v>
      </c>
      <c r="O931" s="43">
        <f>0.125*M931</f>
        <v>0</v>
      </c>
      <c r="P931" s="47">
        <f>0.00022*M931</f>
        <v>0</v>
      </c>
      <c r="Q931" s="44"/>
      <c r="R931" s="45" t="s">
        <v>2954</v>
      </c>
      <c r="S931" s="45" t="s">
        <v>29</v>
      </c>
      <c r="T931" s="37" t="str">
        <f>HYPERLINK("https://kanzpp.ru/api/getInfo/image/3313b3be-a3dd-11ea-a248-ac1f6b442184")</f>
        <v>https://kanzpp.ru/api/getInfo/image/3313b3be-a3dd-11ea-a248-ac1f6b442184</v>
      </c>
      <c r="U931" s="37"/>
    </row>
    <row r="932" spans="2:22" ht="21" customHeight="1" outlineLevel="5" x14ac:dyDescent="0.2">
      <c r="B932" s="36">
        <v>716</v>
      </c>
      <c r="C932" s="37" t="s">
        <v>2955</v>
      </c>
      <c r="D932" s="37" t="s">
        <v>2956</v>
      </c>
      <c r="E932" s="38" t="s">
        <v>2957</v>
      </c>
      <c r="F932" s="39"/>
      <c r="G932" s="40"/>
      <c r="H932" s="41">
        <v>40</v>
      </c>
      <c r="I932" s="40"/>
      <c r="J932" s="41">
        <v>40</v>
      </c>
      <c r="K932" s="36">
        <v>10</v>
      </c>
      <c r="L932" s="42">
        <f>(69.47*(1-O3/100))/0.75</f>
        <v>92.626666666666665</v>
      </c>
      <c r="M932" s="12"/>
      <c r="N932" s="40">
        <f t="shared" si="41"/>
        <v>0</v>
      </c>
      <c r="O932" s="48">
        <f>0.11*M932</f>
        <v>0</v>
      </c>
      <c r="P932" s="47">
        <f>0.00028*M932</f>
        <v>0</v>
      </c>
      <c r="Q932" s="44"/>
      <c r="R932" s="45" t="s">
        <v>2958</v>
      </c>
      <c r="S932" s="45" t="s">
        <v>29</v>
      </c>
      <c r="T932" s="37" t="str">
        <f>HYPERLINK("https://kanzpp.ru/api/getInfo/image/d95c6518-aa1b-11ea-a248-ac1f6b442184")</f>
        <v>https://kanzpp.ru/api/getInfo/image/d95c6518-aa1b-11ea-a248-ac1f6b442184</v>
      </c>
      <c r="U932" s="37"/>
    </row>
    <row r="933" spans="2:22" ht="21" customHeight="1" outlineLevel="5" x14ac:dyDescent="0.2">
      <c r="B933" s="36">
        <v>717</v>
      </c>
      <c r="C933" s="37" t="s">
        <v>2959</v>
      </c>
      <c r="D933" s="37" t="s">
        <v>2960</v>
      </c>
      <c r="E933" s="38" t="s">
        <v>2961</v>
      </c>
      <c r="F933" s="39"/>
      <c r="G933" s="40"/>
      <c r="H933" s="41">
        <v>40</v>
      </c>
      <c r="I933" s="40"/>
      <c r="J933" s="41">
        <v>38</v>
      </c>
      <c r="K933" s="36">
        <v>10</v>
      </c>
      <c r="L933" s="42">
        <f>(66.53*(1-O3/100))/0.75</f>
        <v>88.706666666666663</v>
      </c>
      <c r="M933" s="12"/>
      <c r="N933" s="40">
        <f t="shared" si="41"/>
        <v>0</v>
      </c>
      <c r="O933" s="43">
        <f>0.117*M933</f>
        <v>0</v>
      </c>
      <c r="P933" s="47">
        <f>0.00022*M933</f>
        <v>0</v>
      </c>
      <c r="Q933" s="44"/>
      <c r="R933" s="45" t="s">
        <v>2962</v>
      </c>
      <c r="S933" s="45" t="s">
        <v>29</v>
      </c>
      <c r="T933" s="37" t="str">
        <f>HYPERLINK("https://kanzpp.ru/api/getInfo/image/1413d7f3-51a3-11e7-977d-5cf3fc4a2490")</f>
        <v>https://kanzpp.ru/api/getInfo/image/1413d7f3-51a3-11e7-977d-5cf3fc4a2490</v>
      </c>
      <c r="U933" s="37"/>
    </row>
    <row r="934" spans="2:22" ht="21" customHeight="1" outlineLevel="5" x14ac:dyDescent="0.2">
      <c r="B934" s="36">
        <v>718</v>
      </c>
      <c r="C934" s="37" t="s">
        <v>2963</v>
      </c>
      <c r="D934" s="37" t="s">
        <v>2964</v>
      </c>
      <c r="E934" s="38" t="s">
        <v>2965</v>
      </c>
      <c r="F934" s="39"/>
      <c r="G934" s="40"/>
      <c r="H934" s="41">
        <v>40</v>
      </c>
      <c r="I934" s="40"/>
      <c r="J934" s="40" t="s">
        <v>144</v>
      </c>
      <c r="K934" s="36">
        <v>10</v>
      </c>
      <c r="L934" s="42">
        <f>(66.53*(1-O3/100))/0.75</f>
        <v>88.706666666666663</v>
      </c>
      <c r="M934" s="12"/>
      <c r="N934" s="40">
        <f t="shared" si="41"/>
        <v>0</v>
      </c>
      <c r="O934" s="43">
        <f>0.089*M934</f>
        <v>0</v>
      </c>
      <c r="P934" s="47">
        <f>0.00012*M934</f>
        <v>0</v>
      </c>
      <c r="Q934" s="44"/>
      <c r="R934" s="45" t="s">
        <v>2966</v>
      </c>
      <c r="S934" s="45" t="s">
        <v>29</v>
      </c>
      <c r="T934" s="37" t="str">
        <f>HYPERLINK("https://kanzpp.ru/api/getInfo/image/56bbfbc4-d648-11ea-a250-ac1f6b442184")</f>
        <v>https://kanzpp.ru/api/getInfo/image/56bbfbc4-d648-11ea-a250-ac1f6b442184</v>
      </c>
      <c r="U934" s="37"/>
    </row>
    <row r="935" spans="2:22" ht="22.95" customHeight="1" outlineLevel="4" x14ac:dyDescent="0.2">
      <c r="B935" s="82" t="s">
        <v>2967</v>
      </c>
      <c r="C935" s="82"/>
      <c r="D935" s="82"/>
      <c r="L935">
        <v>0</v>
      </c>
    </row>
    <row r="936" spans="2:22" ht="21" customHeight="1" outlineLevel="5" x14ac:dyDescent="0.2">
      <c r="B936" s="5">
        <v>719</v>
      </c>
      <c r="C936" s="6" t="s">
        <v>2968</v>
      </c>
      <c r="D936" s="6" t="s">
        <v>2969</v>
      </c>
      <c r="E936" s="7" t="s">
        <v>2970</v>
      </c>
      <c r="F936" s="13"/>
      <c r="G936" s="14"/>
      <c r="H936" s="15">
        <v>10</v>
      </c>
      <c r="I936" s="15">
        <v>10</v>
      </c>
      <c r="J936" s="15">
        <v>815</v>
      </c>
      <c r="K936" s="5">
        <v>20</v>
      </c>
      <c r="L936" s="16">
        <v>28.906666666666666</v>
      </c>
      <c r="M936" s="12"/>
      <c r="N936" s="14">
        <f t="shared" ref="N936:N942" si="42">L936*M936</f>
        <v>0</v>
      </c>
      <c r="O936" s="23">
        <f>0.044*M936</f>
        <v>0</v>
      </c>
      <c r="P936" s="24">
        <f>0.00006*M936</f>
        <v>0</v>
      </c>
      <c r="Q936" s="25"/>
      <c r="R936" s="26" t="s">
        <v>2971</v>
      </c>
      <c r="S936" s="26" t="s">
        <v>29</v>
      </c>
      <c r="T936" s="6" t="str">
        <f>HYPERLINK("https://kanzpp.ru/api/getInfo/image/a252d304-51a3-11e7-977d-5cf3fc4a2490")</f>
        <v>https://kanzpp.ru/api/getInfo/image/a252d304-51a3-11e7-977d-5cf3fc4a2490</v>
      </c>
      <c r="U936" s="6"/>
      <c r="V936" s="33" t="s">
        <v>35</v>
      </c>
    </row>
    <row r="937" spans="2:22" ht="21" customHeight="1" outlineLevel="5" x14ac:dyDescent="0.2">
      <c r="B937" s="36">
        <v>720</v>
      </c>
      <c r="C937" s="37" t="s">
        <v>2972</v>
      </c>
      <c r="D937" s="37" t="s">
        <v>2973</v>
      </c>
      <c r="E937" s="38" t="s">
        <v>2974</v>
      </c>
      <c r="F937" s="39"/>
      <c r="G937" s="40"/>
      <c r="H937" s="41">
        <v>100</v>
      </c>
      <c r="I937" s="40"/>
      <c r="J937" s="41">
        <v>25</v>
      </c>
      <c r="K937" s="36">
        <v>18</v>
      </c>
      <c r="L937" s="42">
        <f>(33.48*(1-O3/100))/0.75</f>
        <v>44.639999999999993</v>
      </c>
      <c r="M937" s="12"/>
      <c r="N937" s="40">
        <f t="shared" si="42"/>
        <v>0</v>
      </c>
      <c r="O937" s="43">
        <f>0.044*M937</f>
        <v>0</v>
      </c>
      <c r="P937" s="47">
        <f>0.00006*M937</f>
        <v>0</v>
      </c>
      <c r="Q937" s="44"/>
      <c r="R937" s="45" t="s">
        <v>2975</v>
      </c>
      <c r="S937" s="45" t="s">
        <v>29</v>
      </c>
      <c r="T937" s="37" t="str">
        <f>HYPERLINK("https://kanzpp.ru/api/getInfo/image/ed39f862-7cf9-11e7-8697-5cf3fc4a2490")</f>
        <v>https://kanzpp.ru/api/getInfo/image/ed39f862-7cf9-11e7-8697-5cf3fc4a2490</v>
      </c>
      <c r="U937" s="37"/>
    </row>
    <row r="938" spans="2:22" ht="21" customHeight="1" outlineLevel="5" x14ac:dyDescent="0.2">
      <c r="B938" s="5">
        <v>721</v>
      </c>
      <c r="C938" s="6" t="s">
        <v>2976</v>
      </c>
      <c r="D938" s="6" t="s">
        <v>2977</v>
      </c>
      <c r="E938" s="7" t="s">
        <v>2978</v>
      </c>
      <c r="F938" s="13"/>
      <c r="G938" s="14"/>
      <c r="H938" s="15">
        <v>10</v>
      </c>
      <c r="I938" s="15">
        <v>10</v>
      </c>
      <c r="J938" s="14" t="s">
        <v>144</v>
      </c>
      <c r="K938" s="5">
        <v>10</v>
      </c>
      <c r="L938" s="16">
        <v>42.74666666666667</v>
      </c>
      <c r="M938" s="12"/>
      <c r="N938" s="14">
        <f t="shared" si="42"/>
        <v>0</v>
      </c>
      <c r="O938" s="23">
        <f>0.065*M938</f>
        <v>0</v>
      </c>
      <c r="P938" s="24">
        <f>0.00024*M938</f>
        <v>0</v>
      </c>
      <c r="Q938" s="25"/>
      <c r="R938" s="26" t="s">
        <v>2979</v>
      </c>
      <c r="S938" s="26" t="s">
        <v>29</v>
      </c>
      <c r="T938" s="6" t="str">
        <f>HYPERLINK("https://kanzpp.ru/api/getInfo/image/99bd5765-720f-11e7-977d-5cf3fc4a2490")</f>
        <v>https://kanzpp.ru/api/getInfo/image/99bd5765-720f-11e7-977d-5cf3fc4a2490</v>
      </c>
      <c r="U938" s="6"/>
      <c r="V938" s="33" t="s">
        <v>35</v>
      </c>
    </row>
    <row r="939" spans="2:22" ht="21" customHeight="1" outlineLevel="5" x14ac:dyDescent="0.2">
      <c r="B939" s="36">
        <v>722</v>
      </c>
      <c r="C939" s="37" t="s">
        <v>2980</v>
      </c>
      <c r="D939" s="37" t="s">
        <v>2981</v>
      </c>
      <c r="E939" s="38" t="s">
        <v>2982</v>
      </c>
      <c r="F939" s="39"/>
      <c r="G939" s="40"/>
      <c r="H939" s="41">
        <v>100</v>
      </c>
      <c r="I939" s="40"/>
      <c r="J939" s="41">
        <v>525</v>
      </c>
      <c r="K939" s="36">
        <v>16</v>
      </c>
      <c r="L939" s="42">
        <f>(44.67*(1-O3/100))/0.75</f>
        <v>59.56</v>
      </c>
      <c r="M939" s="12"/>
      <c r="N939" s="40">
        <f t="shared" si="42"/>
        <v>0</v>
      </c>
      <c r="O939" s="43">
        <f>0.046*M939</f>
        <v>0</v>
      </c>
      <c r="P939" s="47">
        <f>0.00003*M939</f>
        <v>0</v>
      </c>
      <c r="Q939" s="44"/>
      <c r="R939" s="45" t="s">
        <v>2983</v>
      </c>
      <c r="S939" s="45" t="s">
        <v>29</v>
      </c>
      <c r="T939" s="37" t="str">
        <f>HYPERLINK("https://kanzpp.ru/api/getInfo/image/71145b59-51a3-11e7-977d-5cf3fc4a2490")</f>
        <v>https://kanzpp.ru/api/getInfo/image/71145b59-51a3-11e7-977d-5cf3fc4a2490</v>
      </c>
      <c r="U939" s="37"/>
    </row>
    <row r="940" spans="2:22" ht="21" customHeight="1" outlineLevel="5" x14ac:dyDescent="0.2">
      <c r="B940" s="36">
        <v>723</v>
      </c>
      <c r="C940" s="37" t="s">
        <v>2984</v>
      </c>
      <c r="D940" s="37" t="s">
        <v>2985</v>
      </c>
      <c r="E940" s="38" t="s">
        <v>2986</v>
      </c>
      <c r="F940" s="39"/>
      <c r="G940" s="40"/>
      <c r="H940" s="41">
        <v>32</v>
      </c>
      <c r="I940" s="41">
        <v>1</v>
      </c>
      <c r="J940" s="40" t="s">
        <v>144</v>
      </c>
      <c r="K940" s="36">
        <v>12</v>
      </c>
      <c r="L940" s="42">
        <f>(46.05*(1-O3/100))/0.75</f>
        <v>61.4</v>
      </c>
      <c r="M940" s="12"/>
      <c r="N940" s="40">
        <f t="shared" si="42"/>
        <v>0</v>
      </c>
      <c r="O940" s="43">
        <f>0.079*M940</f>
        <v>0</v>
      </c>
      <c r="P940" s="47">
        <f>0.00016*M940</f>
        <v>0</v>
      </c>
      <c r="Q940" s="44"/>
      <c r="R940" s="45" t="s">
        <v>2987</v>
      </c>
      <c r="S940" s="45" t="s">
        <v>29</v>
      </c>
      <c r="T940" s="37" t="str">
        <f>HYPERLINK("https://kanzpp.ru/api/getInfo/image/d0ecc5ea-51a2-11e7-977d-5cf3fc4a2490")</f>
        <v>https://kanzpp.ru/api/getInfo/image/d0ecc5ea-51a2-11e7-977d-5cf3fc4a2490</v>
      </c>
      <c r="U940" s="37"/>
    </row>
    <row r="941" spans="2:22" ht="21" customHeight="1" outlineLevel="5" x14ac:dyDescent="0.2">
      <c r="B941" s="36">
        <v>724</v>
      </c>
      <c r="C941" s="37" t="s">
        <v>2988</v>
      </c>
      <c r="D941" s="37" t="s">
        <v>2989</v>
      </c>
      <c r="E941" s="38" t="s">
        <v>2990</v>
      </c>
      <c r="F941" s="39"/>
      <c r="G941" s="40"/>
      <c r="H941" s="41">
        <v>32</v>
      </c>
      <c r="I941" s="40"/>
      <c r="J941" s="40" t="s">
        <v>144</v>
      </c>
      <c r="K941" s="36">
        <v>12</v>
      </c>
      <c r="L941" s="42">
        <f>(53.86*(1-O3/100))/0.75</f>
        <v>71.813333333333333</v>
      </c>
      <c r="M941" s="12"/>
      <c r="N941" s="40">
        <f t="shared" si="42"/>
        <v>0</v>
      </c>
      <c r="O941" s="43">
        <f>0.069*M941</f>
        <v>0</v>
      </c>
      <c r="P941" s="47">
        <f>0.00021*M941</f>
        <v>0</v>
      </c>
      <c r="Q941" s="44"/>
      <c r="R941" s="45" t="s">
        <v>2991</v>
      </c>
      <c r="S941" s="45" t="s">
        <v>29</v>
      </c>
      <c r="T941" s="37" t="str">
        <f>HYPERLINK("https://kanzpp.ru/api/getInfo/image/b6b1bc05-51a2-11e7-977d-5cf3fc4a2490")</f>
        <v>https://kanzpp.ru/api/getInfo/image/b6b1bc05-51a2-11e7-977d-5cf3fc4a2490</v>
      </c>
      <c r="U941" s="37"/>
    </row>
    <row r="942" spans="2:22" ht="21" customHeight="1" outlineLevel="5" x14ac:dyDescent="0.2">
      <c r="B942" s="36">
        <v>725</v>
      </c>
      <c r="C942" s="37" t="s">
        <v>2992</v>
      </c>
      <c r="D942" s="37" t="s">
        <v>2993</v>
      </c>
      <c r="E942" s="38" t="s">
        <v>2994</v>
      </c>
      <c r="F942" s="39"/>
      <c r="G942" s="40"/>
      <c r="H942" s="41">
        <v>80</v>
      </c>
      <c r="I942" s="40"/>
      <c r="J942" s="41">
        <v>1</v>
      </c>
      <c r="K942" s="36">
        <v>1</v>
      </c>
      <c r="L942" s="42">
        <f>(39.35*(1-O3/100))/0.75</f>
        <v>52.466666666666669</v>
      </c>
      <c r="M942" s="12"/>
      <c r="N942" s="40">
        <f t="shared" si="42"/>
        <v>0</v>
      </c>
      <c r="O942" s="48">
        <f>0.02*M942</f>
        <v>0</v>
      </c>
      <c r="P942" s="47">
        <f>0.00023*M942</f>
        <v>0</v>
      </c>
      <c r="Q942" s="44"/>
      <c r="R942" s="45" t="s">
        <v>2995</v>
      </c>
      <c r="S942" s="45" t="s">
        <v>93</v>
      </c>
      <c r="T942" s="37" t="str">
        <f>HYPERLINK("https://kanzpp.ru/api/getInfo/image/01d0672b-a9e8-11e9-a22d-ac1f6b442184")</f>
        <v>https://kanzpp.ru/api/getInfo/image/01d0672b-a9e8-11e9-a22d-ac1f6b442184</v>
      </c>
      <c r="U942" s="37"/>
    </row>
    <row r="943" spans="2:22" ht="22.95" customHeight="1" outlineLevel="3" x14ac:dyDescent="0.2">
      <c r="B943" s="81" t="s">
        <v>2996</v>
      </c>
      <c r="C943" s="81"/>
      <c r="D943" s="81"/>
      <c r="L943">
        <v>0</v>
      </c>
    </row>
    <row r="944" spans="2:22" ht="21" customHeight="1" outlineLevel="4" x14ac:dyDescent="0.2">
      <c r="B944" s="36">
        <v>726</v>
      </c>
      <c r="C944" s="37" t="s">
        <v>2997</v>
      </c>
      <c r="D944" s="37" t="s">
        <v>2998</v>
      </c>
      <c r="E944" s="38" t="s">
        <v>2999</v>
      </c>
      <c r="F944" s="39"/>
      <c r="G944" s="40"/>
      <c r="H944" s="41">
        <v>16</v>
      </c>
      <c r="I944" s="40"/>
      <c r="J944" s="41">
        <v>902</v>
      </c>
      <c r="K944" s="36">
        <v>3</v>
      </c>
      <c r="L944" s="42">
        <f>(214.67*(1-O3/100))/0.75</f>
        <v>286.22666666666663</v>
      </c>
      <c r="M944" s="12"/>
      <c r="N944" s="40">
        <f t="shared" ref="N944:N960" si="43">L944*M944</f>
        <v>0</v>
      </c>
      <c r="O944" s="43">
        <f>0.106*M944</f>
        <v>0</v>
      </c>
      <c r="P944" s="47">
        <f>0.00031*M944</f>
        <v>0</v>
      </c>
      <c r="Q944" s="44"/>
      <c r="R944" s="45" t="s">
        <v>3000</v>
      </c>
      <c r="S944" s="45" t="s">
        <v>93</v>
      </c>
      <c r="T944" s="37" t="str">
        <f>HYPERLINK("https://kanzpp.ru/api/getInfo/image/f447ebb7-0c8d-11eb-a25b-ac1f6b442184")</f>
        <v>https://kanzpp.ru/api/getInfo/image/f447ebb7-0c8d-11eb-a25b-ac1f6b442184</v>
      </c>
      <c r="U944" s="37"/>
    </row>
    <row r="945" spans="2:21" ht="21" customHeight="1" outlineLevel="4" x14ac:dyDescent="0.2">
      <c r="B945" s="36">
        <v>727</v>
      </c>
      <c r="C945" s="37" t="s">
        <v>3001</v>
      </c>
      <c r="D945" s="37" t="s">
        <v>3002</v>
      </c>
      <c r="E945" s="38" t="s">
        <v>3003</v>
      </c>
      <c r="F945" s="39"/>
      <c r="G945" s="40"/>
      <c r="H945" s="41">
        <v>16</v>
      </c>
      <c r="I945" s="40"/>
      <c r="J945" s="41">
        <v>488</v>
      </c>
      <c r="K945" s="36">
        <v>3</v>
      </c>
      <c r="L945" s="42">
        <f>(214.67*(1-O3/100))/0.75</f>
        <v>286.22666666666663</v>
      </c>
      <c r="M945" s="12"/>
      <c r="N945" s="40">
        <f t="shared" si="43"/>
        <v>0</v>
      </c>
      <c r="O945" s="48">
        <f>0.26*M945</f>
        <v>0</v>
      </c>
      <c r="P945" s="43">
        <f>0.007*M945</f>
        <v>0</v>
      </c>
      <c r="Q945" s="44"/>
      <c r="R945" s="45" t="s">
        <v>3004</v>
      </c>
      <c r="S945" s="45" t="s">
        <v>93</v>
      </c>
      <c r="T945" s="37" t="str">
        <f>HYPERLINK("https://kanzpp.ru/api/getInfo/image/c1a4117b-9eb7-11eb-a201-ac1f6b442185")</f>
        <v>https://kanzpp.ru/api/getInfo/image/c1a4117b-9eb7-11eb-a201-ac1f6b442185</v>
      </c>
      <c r="U945" s="37"/>
    </row>
    <row r="946" spans="2:21" ht="21" customHeight="1" outlineLevel="4" x14ac:dyDescent="0.2">
      <c r="B946" s="36">
        <v>728</v>
      </c>
      <c r="C946" s="37" t="s">
        <v>3005</v>
      </c>
      <c r="D946" s="37" t="s">
        <v>3006</v>
      </c>
      <c r="E946" s="38" t="s">
        <v>3007</v>
      </c>
      <c r="F946" s="39"/>
      <c r="G946" s="40"/>
      <c r="H946" s="41">
        <v>16</v>
      </c>
      <c r="I946" s="40"/>
      <c r="J946" s="41">
        <v>478</v>
      </c>
      <c r="K946" s="36">
        <v>3</v>
      </c>
      <c r="L946" s="42">
        <f>(214.67*(1-O3/100))/0.75</f>
        <v>286.22666666666663</v>
      </c>
      <c r="M946" s="12"/>
      <c r="N946" s="40">
        <f t="shared" si="43"/>
        <v>0</v>
      </c>
      <c r="O946" s="48">
        <f>0.26*M946</f>
        <v>0</v>
      </c>
      <c r="P946" s="43">
        <f>0.007*M946</f>
        <v>0</v>
      </c>
      <c r="Q946" s="44"/>
      <c r="R946" s="45" t="s">
        <v>3008</v>
      </c>
      <c r="S946" s="45" t="s">
        <v>93</v>
      </c>
      <c r="T946" s="37" t="str">
        <f>HYPERLINK("https://kanzpp.ru/api/getInfo/image/83fa2fab-9eb7-11eb-a201-ac1f6b442185")</f>
        <v>https://kanzpp.ru/api/getInfo/image/83fa2fab-9eb7-11eb-a201-ac1f6b442185</v>
      </c>
      <c r="U946" s="37"/>
    </row>
    <row r="947" spans="2:21" ht="21" customHeight="1" outlineLevel="4" x14ac:dyDescent="0.2">
      <c r="B947" s="36">
        <v>729</v>
      </c>
      <c r="C947" s="37" t="s">
        <v>3009</v>
      </c>
      <c r="D947" s="37" t="s">
        <v>3010</v>
      </c>
      <c r="E947" s="38" t="s">
        <v>3011</v>
      </c>
      <c r="F947" s="39"/>
      <c r="G947" s="40"/>
      <c r="H947" s="41">
        <v>16</v>
      </c>
      <c r="I947" s="40"/>
      <c r="J947" s="41">
        <v>682</v>
      </c>
      <c r="K947" s="36">
        <v>3</v>
      </c>
      <c r="L947" s="42">
        <f>(214.67*(1-O3/100))/0.75</f>
        <v>286.22666666666663</v>
      </c>
      <c r="M947" s="12"/>
      <c r="N947" s="40">
        <f t="shared" si="43"/>
        <v>0</v>
      </c>
      <c r="O947" s="48">
        <f>0.25*M947</f>
        <v>0</v>
      </c>
      <c r="P947" s="47">
        <f>0.00774*M947</f>
        <v>0</v>
      </c>
      <c r="Q947" s="44"/>
      <c r="R947" s="45" t="s">
        <v>3012</v>
      </c>
      <c r="S947" s="45" t="s">
        <v>93</v>
      </c>
      <c r="T947" s="37" t="str">
        <f>HYPERLINK("https://kanzpp.ru/api/getInfo/image/99ea5f7e-0c8d-11eb-a25b-ac1f6b442184")</f>
        <v>https://kanzpp.ru/api/getInfo/image/99ea5f7e-0c8d-11eb-a25b-ac1f6b442184</v>
      </c>
      <c r="U947" s="37"/>
    </row>
    <row r="948" spans="2:21" ht="21" customHeight="1" outlineLevel="4" x14ac:dyDescent="0.2">
      <c r="B948" s="36">
        <v>730</v>
      </c>
      <c r="C948" s="37" t="s">
        <v>3013</v>
      </c>
      <c r="D948" s="37" t="s">
        <v>3014</v>
      </c>
      <c r="E948" s="38" t="s">
        <v>3015</v>
      </c>
      <c r="F948" s="39"/>
      <c r="G948" s="40"/>
      <c r="H948" s="41">
        <v>16</v>
      </c>
      <c r="I948" s="40"/>
      <c r="J948" s="41">
        <v>512</v>
      </c>
      <c r="K948" s="36">
        <v>3</v>
      </c>
      <c r="L948" s="42">
        <f>(214.67*(1-O3/100))/0.75</f>
        <v>286.22666666666663</v>
      </c>
      <c r="M948" s="12"/>
      <c r="N948" s="40">
        <f t="shared" si="43"/>
        <v>0</v>
      </c>
      <c r="O948" s="43">
        <f>0.252*M948</f>
        <v>0</v>
      </c>
      <c r="P948" s="43">
        <f>0.008*M948</f>
        <v>0</v>
      </c>
      <c r="Q948" s="44"/>
      <c r="R948" s="45" t="s">
        <v>3016</v>
      </c>
      <c r="S948" s="45" t="s">
        <v>93</v>
      </c>
      <c r="T948" s="37" t="str">
        <f>HYPERLINK("https://kanzpp.ru/api/getInfo/image/7a914530-0c85-11eb-a25b-ac1f6b442184")</f>
        <v>https://kanzpp.ru/api/getInfo/image/7a914530-0c85-11eb-a25b-ac1f6b442184</v>
      </c>
      <c r="U948" s="37"/>
    </row>
    <row r="949" spans="2:21" ht="21" customHeight="1" outlineLevel="4" x14ac:dyDescent="0.2">
      <c r="B949" s="36">
        <v>731</v>
      </c>
      <c r="C949" s="37" t="s">
        <v>3017</v>
      </c>
      <c r="D949" s="37" t="s">
        <v>3018</v>
      </c>
      <c r="E949" s="38" t="s">
        <v>3019</v>
      </c>
      <c r="F949" s="39"/>
      <c r="G949" s="40"/>
      <c r="H949" s="41">
        <v>16</v>
      </c>
      <c r="I949" s="40"/>
      <c r="J949" s="41">
        <v>369</v>
      </c>
      <c r="K949" s="36">
        <v>3</v>
      </c>
      <c r="L949" s="42">
        <f>(214.67*(1-O3/100))/0.75</f>
        <v>286.22666666666663</v>
      </c>
      <c r="M949" s="12"/>
      <c r="N949" s="40">
        <f t="shared" si="43"/>
        <v>0</v>
      </c>
      <c r="O949" s="48">
        <f>0.26*M949</f>
        <v>0</v>
      </c>
      <c r="P949" s="43">
        <f>0.007*M949</f>
        <v>0</v>
      </c>
      <c r="Q949" s="44"/>
      <c r="R949" s="45" t="s">
        <v>3020</v>
      </c>
      <c r="S949" s="45" t="s">
        <v>93</v>
      </c>
      <c r="T949" s="37" t="str">
        <f>HYPERLINK("https://kanzpp.ru/api/getInfo/image/c901f30d-0c8d-11eb-a25b-ac1f6b442184")</f>
        <v>https://kanzpp.ru/api/getInfo/image/c901f30d-0c8d-11eb-a25b-ac1f6b442184</v>
      </c>
      <c r="U949" s="37"/>
    </row>
    <row r="950" spans="2:21" ht="21" customHeight="1" outlineLevel="4" x14ac:dyDescent="0.2">
      <c r="B950" s="36">
        <v>732</v>
      </c>
      <c r="C950" s="37" t="s">
        <v>3021</v>
      </c>
      <c r="D950" s="37" t="s">
        <v>3022</v>
      </c>
      <c r="E950" s="38" t="s">
        <v>3023</v>
      </c>
      <c r="F950" s="39"/>
      <c r="G950" s="40"/>
      <c r="H950" s="41">
        <v>16</v>
      </c>
      <c r="I950" s="40"/>
      <c r="J950" s="40" t="s">
        <v>144</v>
      </c>
      <c r="K950" s="36">
        <v>3</v>
      </c>
      <c r="L950" s="42">
        <f>(212*(1-O3/100))/0.75</f>
        <v>282.66666666666669</v>
      </c>
      <c r="M950" s="12"/>
      <c r="N950" s="40">
        <f t="shared" si="43"/>
        <v>0</v>
      </c>
      <c r="O950" s="43">
        <f>0.254*M950</f>
        <v>0</v>
      </c>
      <c r="P950" s="47">
        <f>0.00822*M950</f>
        <v>0</v>
      </c>
      <c r="Q950" s="44"/>
      <c r="R950" s="45" t="s">
        <v>3024</v>
      </c>
      <c r="S950" s="45" t="s">
        <v>93</v>
      </c>
      <c r="T950" s="37" t="str">
        <f>HYPERLINK("https://kanzpp.ru/api/getInfo/image/9318d07b-5a06-11e9-a222-ac1f6b442184")</f>
        <v>https://kanzpp.ru/api/getInfo/image/9318d07b-5a06-11e9-a222-ac1f6b442184</v>
      </c>
      <c r="U950" s="37"/>
    </row>
    <row r="951" spans="2:21" ht="21" customHeight="1" outlineLevel="4" x14ac:dyDescent="0.2">
      <c r="B951" s="36">
        <v>733</v>
      </c>
      <c r="C951" s="37" t="s">
        <v>3025</v>
      </c>
      <c r="D951" s="37" t="s">
        <v>3026</v>
      </c>
      <c r="E951" s="38" t="s">
        <v>3027</v>
      </c>
      <c r="F951" s="39"/>
      <c r="G951" s="40"/>
      <c r="H951" s="41">
        <v>16</v>
      </c>
      <c r="I951" s="40"/>
      <c r="J951" s="40" t="s">
        <v>144</v>
      </c>
      <c r="K951" s="36">
        <v>3</v>
      </c>
      <c r="L951" s="42">
        <f>(212*(1-O3/100))/0.75</f>
        <v>282.66666666666669</v>
      </c>
      <c r="M951" s="12"/>
      <c r="N951" s="40">
        <f t="shared" si="43"/>
        <v>0</v>
      </c>
      <c r="O951" s="43">
        <f>0.252*M951</f>
        <v>0</v>
      </c>
      <c r="P951" s="47">
        <f>0.00808*M951</f>
        <v>0</v>
      </c>
      <c r="Q951" s="44"/>
      <c r="R951" s="45" t="s">
        <v>3028</v>
      </c>
      <c r="S951" s="45" t="s">
        <v>93</v>
      </c>
      <c r="T951" s="37" t="str">
        <f>HYPERLINK("https://kanzpp.ru/api/getInfo/image/6b31cf3e-5a06-11e9-a222-ac1f6b442184")</f>
        <v>https://kanzpp.ru/api/getInfo/image/6b31cf3e-5a06-11e9-a222-ac1f6b442184</v>
      </c>
      <c r="U951" s="37"/>
    </row>
    <row r="952" spans="2:21" ht="21" customHeight="1" outlineLevel="4" x14ac:dyDescent="0.2">
      <c r="B952" s="36">
        <v>734</v>
      </c>
      <c r="C952" s="37" t="s">
        <v>3029</v>
      </c>
      <c r="D952" s="37" t="s">
        <v>3030</v>
      </c>
      <c r="E952" s="38" t="s">
        <v>3031</v>
      </c>
      <c r="F952" s="39"/>
      <c r="G952" s="40"/>
      <c r="H952" s="41">
        <v>24</v>
      </c>
      <c r="I952" s="40"/>
      <c r="J952" s="41">
        <v>155</v>
      </c>
      <c r="K952" s="36">
        <v>4</v>
      </c>
      <c r="L952" s="42">
        <f>(166.32*(1-O3/100))/0.75</f>
        <v>221.76</v>
      </c>
      <c r="M952" s="12"/>
      <c r="N952" s="40">
        <f t="shared" si="43"/>
        <v>0</v>
      </c>
      <c r="O952" s="43">
        <f>0.251*M952</f>
        <v>0</v>
      </c>
      <c r="P952" s="47">
        <f>0.00531*M952</f>
        <v>0</v>
      </c>
      <c r="Q952" s="44"/>
      <c r="R952" s="45" t="s">
        <v>3032</v>
      </c>
      <c r="S952" s="45" t="s">
        <v>93</v>
      </c>
      <c r="T952" s="37" t="str">
        <f>HYPERLINK("https://kanzpp.ru/api/getInfo/image/3a89c4ff-9eba-11eb-a201-ac1f6b442185")</f>
        <v>https://kanzpp.ru/api/getInfo/image/3a89c4ff-9eba-11eb-a201-ac1f6b442185</v>
      </c>
      <c r="U952" s="37"/>
    </row>
    <row r="953" spans="2:21" ht="21" customHeight="1" outlineLevel="4" x14ac:dyDescent="0.2">
      <c r="B953" s="36">
        <v>735</v>
      </c>
      <c r="C953" s="37" t="s">
        <v>3033</v>
      </c>
      <c r="D953" s="37" t="s">
        <v>3034</v>
      </c>
      <c r="E953" s="38" t="s">
        <v>3035</v>
      </c>
      <c r="F953" s="39"/>
      <c r="G953" s="40"/>
      <c r="H953" s="41">
        <v>24</v>
      </c>
      <c r="I953" s="40"/>
      <c r="J953" s="41">
        <v>263</v>
      </c>
      <c r="K953" s="36">
        <v>4</v>
      </c>
      <c r="L953" s="42">
        <f>(166.32*(1-O3/100))/0.75</f>
        <v>221.76</v>
      </c>
      <c r="M953" s="12"/>
      <c r="N953" s="40">
        <f t="shared" si="43"/>
        <v>0</v>
      </c>
      <c r="O953" s="48">
        <f t="shared" ref="O953:O958" si="44">0.21*M953</f>
        <v>0</v>
      </c>
      <c r="P953" s="47">
        <f t="shared" ref="P953:P958" si="45">0.00538*M953</f>
        <v>0</v>
      </c>
      <c r="Q953" s="44"/>
      <c r="R953" s="45" t="s">
        <v>3036</v>
      </c>
      <c r="S953" s="45" t="s">
        <v>93</v>
      </c>
      <c r="T953" s="37" t="str">
        <f>HYPERLINK("https://kanzpp.ru/api/getInfo/image/0560afa6-9eba-11eb-a201-ac1f6b442185")</f>
        <v>https://kanzpp.ru/api/getInfo/image/0560afa6-9eba-11eb-a201-ac1f6b442185</v>
      </c>
      <c r="U953" s="37"/>
    </row>
    <row r="954" spans="2:21" ht="21" customHeight="1" outlineLevel="4" x14ac:dyDescent="0.2">
      <c r="B954" s="36">
        <v>736</v>
      </c>
      <c r="C954" s="37" t="s">
        <v>3037</v>
      </c>
      <c r="D954" s="37" t="s">
        <v>3038</v>
      </c>
      <c r="E954" s="38" t="s">
        <v>3039</v>
      </c>
      <c r="F954" s="39"/>
      <c r="G954" s="40"/>
      <c r="H954" s="41">
        <v>24</v>
      </c>
      <c r="I954" s="40"/>
      <c r="J954" s="41">
        <v>98</v>
      </c>
      <c r="K954" s="36">
        <v>4</v>
      </c>
      <c r="L954" s="42">
        <f>(166.32*(1-O3/100))/0.75</f>
        <v>221.76</v>
      </c>
      <c r="M954" s="12"/>
      <c r="N954" s="40">
        <f t="shared" si="43"/>
        <v>0</v>
      </c>
      <c r="O954" s="48">
        <f t="shared" si="44"/>
        <v>0</v>
      </c>
      <c r="P954" s="47">
        <f t="shared" si="45"/>
        <v>0</v>
      </c>
      <c r="Q954" s="44"/>
      <c r="R954" s="45" t="s">
        <v>3040</v>
      </c>
      <c r="S954" s="45" t="s">
        <v>93</v>
      </c>
      <c r="T954" s="37" t="str">
        <f>HYPERLINK("https://kanzpp.ru/api/getInfo/image/66aa99f2-9eba-11eb-a201-ac1f6b442185")</f>
        <v>https://kanzpp.ru/api/getInfo/image/66aa99f2-9eba-11eb-a201-ac1f6b442185</v>
      </c>
      <c r="U954" s="37"/>
    </row>
    <row r="955" spans="2:21" ht="21" customHeight="1" outlineLevel="4" x14ac:dyDescent="0.2">
      <c r="B955" s="36">
        <v>737</v>
      </c>
      <c r="C955" s="37" t="s">
        <v>3041</v>
      </c>
      <c r="D955" s="37" t="s">
        <v>3042</v>
      </c>
      <c r="E955" s="38" t="s">
        <v>3043</v>
      </c>
      <c r="F955" s="39"/>
      <c r="G955" s="40"/>
      <c r="H955" s="41">
        <v>24</v>
      </c>
      <c r="I955" s="40"/>
      <c r="J955" s="41">
        <v>10</v>
      </c>
      <c r="K955" s="36">
        <v>4</v>
      </c>
      <c r="L955" s="42">
        <f>(166.32*(1-O3/100))/0.75</f>
        <v>221.76</v>
      </c>
      <c r="M955" s="12"/>
      <c r="N955" s="40">
        <f t="shared" si="43"/>
        <v>0</v>
      </c>
      <c r="O955" s="48">
        <f t="shared" si="44"/>
        <v>0</v>
      </c>
      <c r="P955" s="47">
        <f t="shared" si="45"/>
        <v>0</v>
      </c>
      <c r="Q955" s="44"/>
      <c r="R955" s="45" t="s">
        <v>3044</v>
      </c>
      <c r="S955" s="45" t="s">
        <v>93</v>
      </c>
      <c r="T955" s="37" t="str">
        <f>HYPERLINK("https://kanzpp.ru/api/getInfo/image/8e4c23d8-0c8e-11eb-a25b-ac1f6b442184")</f>
        <v>https://kanzpp.ru/api/getInfo/image/8e4c23d8-0c8e-11eb-a25b-ac1f6b442184</v>
      </c>
      <c r="U955" s="37"/>
    </row>
    <row r="956" spans="2:21" ht="21" customHeight="1" outlineLevel="4" x14ac:dyDescent="0.2">
      <c r="B956" s="36">
        <v>738</v>
      </c>
      <c r="C956" s="37" t="s">
        <v>3045</v>
      </c>
      <c r="D956" s="37" t="s">
        <v>3046</v>
      </c>
      <c r="E956" s="38" t="s">
        <v>3047</v>
      </c>
      <c r="F956" s="39"/>
      <c r="G956" s="40"/>
      <c r="H956" s="41">
        <v>24</v>
      </c>
      <c r="I956" s="40"/>
      <c r="J956" s="41">
        <v>299</v>
      </c>
      <c r="K956" s="36">
        <v>4</v>
      </c>
      <c r="L956" s="42">
        <f>(166.32*(1-O3/100))/0.75</f>
        <v>221.76</v>
      </c>
      <c r="M956" s="12"/>
      <c r="N956" s="40">
        <f t="shared" si="43"/>
        <v>0</v>
      </c>
      <c r="O956" s="48">
        <f t="shared" si="44"/>
        <v>0</v>
      </c>
      <c r="P956" s="47">
        <f t="shared" si="45"/>
        <v>0</v>
      </c>
      <c r="Q956" s="44"/>
      <c r="R956" s="45" t="s">
        <v>3048</v>
      </c>
      <c r="S956" s="45" t="s">
        <v>93</v>
      </c>
      <c r="T956" s="37" t="str">
        <f>HYPERLINK("https://kanzpp.ru/api/getInfo/image/325757a6-0c8e-11eb-a25b-ac1f6b442184")</f>
        <v>https://kanzpp.ru/api/getInfo/image/325757a6-0c8e-11eb-a25b-ac1f6b442184</v>
      </c>
      <c r="U956" s="37"/>
    </row>
    <row r="957" spans="2:21" ht="21" customHeight="1" outlineLevel="4" x14ac:dyDescent="0.2">
      <c r="B957" s="36">
        <v>739</v>
      </c>
      <c r="C957" s="37" t="s">
        <v>3049</v>
      </c>
      <c r="D957" s="37" t="s">
        <v>3050</v>
      </c>
      <c r="E957" s="38" t="s">
        <v>3051</v>
      </c>
      <c r="F957" s="39"/>
      <c r="G957" s="40"/>
      <c r="H957" s="41">
        <v>24</v>
      </c>
      <c r="I957" s="40"/>
      <c r="J957" s="41">
        <v>10</v>
      </c>
      <c r="K957" s="36">
        <v>4</v>
      </c>
      <c r="L957" s="42">
        <f>(166.32*(1-O3/100))/0.75</f>
        <v>221.76</v>
      </c>
      <c r="M957" s="12"/>
      <c r="N957" s="40">
        <f t="shared" si="43"/>
        <v>0</v>
      </c>
      <c r="O957" s="48">
        <f t="shared" si="44"/>
        <v>0</v>
      </c>
      <c r="P957" s="47">
        <f t="shared" si="45"/>
        <v>0</v>
      </c>
      <c r="Q957" s="44"/>
      <c r="R957" s="45" t="s">
        <v>3052</v>
      </c>
      <c r="S957" s="45" t="s">
        <v>93</v>
      </c>
      <c r="T957" s="37" t="str">
        <f>HYPERLINK("https://kanzpp.ru/api/getInfo/image/c6a432e9-0c85-11eb-a25b-ac1f6b442184")</f>
        <v>https://kanzpp.ru/api/getInfo/image/c6a432e9-0c85-11eb-a25b-ac1f6b442184</v>
      </c>
      <c r="U957" s="37"/>
    </row>
    <row r="958" spans="2:21" ht="21" customHeight="1" outlineLevel="4" x14ac:dyDescent="0.2">
      <c r="B958" s="36">
        <v>740</v>
      </c>
      <c r="C958" s="37" t="s">
        <v>3053</v>
      </c>
      <c r="D958" s="37" t="s">
        <v>3054</v>
      </c>
      <c r="E958" s="38" t="s">
        <v>3051</v>
      </c>
      <c r="F958" s="39"/>
      <c r="G958" s="40"/>
      <c r="H958" s="41">
        <v>24</v>
      </c>
      <c r="I958" s="41">
        <v>1</v>
      </c>
      <c r="J958" s="41">
        <v>816</v>
      </c>
      <c r="K958" s="36">
        <v>4</v>
      </c>
      <c r="L958" s="42">
        <f>(166.32*(1-O3/100))/0.75</f>
        <v>221.76</v>
      </c>
      <c r="M958" s="12"/>
      <c r="N958" s="40">
        <f t="shared" si="43"/>
        <v>0</v>
      </c>
      <c r="O958" s="48">
        <f t="shared" si="44"/>
        <v>0</v>
      </c>
      <c r="P958" s="47">
        <f t="shared" si="45"/>
        <v>0</v>
      </c>
      <c r="Q958" s="44"/>
      <c r="R958" s="45" t="s">
        <v>3055</v>
      </c>
      <c r="S958" s="45" t="s">
        <v>93</v>
      </c>
      <c r="T958" s="37" t="str">
        <f>HYPERLINK("https://kanzpp.ru/api/getInfo/image/3707739c-2026-11eb-a25d-ac1f6b442184")</f>
        <v>https://kanzpp.ru/api/getInfo/image/3707739c-2026-11eb-a25d-ac1f6b442184</v>
      </c>
      <c r="U958" s="37" t="s">
        <v>3052</v>
      </c>
    </row>
    <row r="959" spans="2:21" ht="21" customHeight="1" outlineLevel="4" x14ac:dyDescent="0.2">
      <c r="B959" s="36">
        <v>741</v>
      </c>
      <c r="C959" s="37" t="s">
        <v>3056</v>
      </c>
      <c r="D959" s="37" t="s">
        <v>3057</v>
      </c>
      <c r="E959" s="38" t="s">
        <v>3058</v>
      </c>
      <c r="F959" s="39"/>
      <c r="G959" s="40"/>
      <c r="H959" s="41">
        <v>24</v>
      </c>
      <c r="I959" s="40"/>
      <c r="J959" s="41">
        <v>325</v>
      </c>
      <c r="K959" s="36">
        <v>4</v>
      </c>
      <c r="L959" s="42">
        <f>(147*(1-O3/100))/0.75</f>
        <v>196</v>
      </c>
      <c r="M959" s="12"/>
      <c r="N959" s="40">
        <f t="shared" si="43"/>
        <v>0</v>
      </c>
      <c r="O959" s="43">
        <f>0.199*M959</f>
        <v>0</v>
      </c>
      <c r="P959" s="47">
        <f>0.00553*M959</f>
        <v>0</v>
      </c>
      <c r="Q959" s="44"/>
      <c r="R959" s="45" t="s">
        <v>3059</v>
      </c>
      <c r="S959" s="45" t="s">
        <v>93</v>
      </c>
      <c r="T959" s="37" t="str">
        <f>HYPERLINK("https://kanzpp.ru/api/getInfo/image/f2174a38-5a05-11e9-a222-ac1f6b442184")</f>
        <v>https://kanzpp.ru/api/getInfo/image/f2174a38-5a05-11e9-a222-ac1f6b442184</v>
      </c>
      <c r="U959" s="37"/>
    </row>
    <row r="960" spans="2:21" ht="21" customHeight="1" outlineLevel="4" x14ac:dyDescent="0.2">
      <c r="B960" s="36">
        <v>742</v>
      </c>
      <c r="C960" s="37" t="s">
        <v>3060</v>
      </c>
      <c r="D960" s="37" t="s">
        <v>3061</v>
      </c>
      <c r="E960" s="38" t="s">
        <v>3062</v>
      </c>
      <c r="F960" s="39"/>
      <c r="G960" s="40"/>
      <c r="H960" s="41">
        <v>24</v>
      </c>
      <c r="I960" s="40"/>
      <c r="J960" s="40" t="s">
        <v>144</v>
      </c>
      <c r="K960" s="36">
        <v>4</v>
      </c>
      <c r="L960" s="42">
        <f>(147*(1-O3/100))/0.75</f>
        <v>196</v>
      </c>
      <c r="M960" s="12"/>
      <c r="N960" s="40">
        <f t="shared" si="43"/>
        <v>0</v>
      </c>
      <c r="O960" s="43">
        <f>0.197*M960</f>
        <v>0</v>
      </c>
      <c r="P960" s="47">
        <f>0.00513*M960</f>
        <v>0</v>
      </c>
      <c r="Q960" s="44"/>
      <c r="R960" s="45" t="s">
        <v>3063</v>
      </c>
      <c r="S960" s="45" t="s">
        <v>93</v>
      </c>
      <c r="T960" s="37" t="str">
        <f>HYPERLINK("https://kanzpp.ru/api/getInfo/image/9efb38bf-5a05-11e9-a222-ac1f6b442184")</f>
        <v>https://kanzpp.ru/api/getInfo/image/9efb38bf-5a05-11e9-a222-ac1f6b442184</v>
      </c>
      <c r="U960" s="37"/>
    </row>
    <row r="961" spans="2:22" ht="22.95" customHeight="1" outlineLevel="3" x14ac:dyDescent="0.2">
      <c r="B961" s="81" t="s">
        <v>3064</v>
      </c>
      <c r="C961" s="81"/>
      <c r="D961" s="81"/>
      <c r="L961">
        <v>0</v>
      </c>
    </row>
    <row r="962" spans="2:22" ht="21" customHeight="1" outlineLevel="4" x14ac:dyDescent="0.2">
      <c r="B962" s="36">
        <v>743</v>
      </c>
      <c r="C962" s="37" t="s">
        <v>3065</v>
      </c>
      <c r="D962" s="37" t="s">
        <v>3066</v>
      </c>
      <c r="E962" s="38" t="s">
        <v>3067</v>
      </c>
      <c r="F962" s="39"/>
      <c r="G962" s="40"/>
      <c r="H962" s="41">
        <v>80</v>
      </c>
      <c r="I962" s="40"/>
      <c r="J962" s="50">
        <v>2084</v>
      </c>
      <c r="K962" s="36">
        <v>10</v>
      </c>
      <c r="L962" s="42">
        <f>(56*(1-O3/100))/0.75</f>
        <v>74.666666666666671</v>
      </c>
      <c r="M962" s="12"/>
      <c r="N962" s="40">
        <f>L962*M962</f>
        <v>0</v>
      </c>
      <c r="O962" s="48">
        <f>0.05*M962</f>
        <v>0</v>
      </c>
      <c r="P962" s="40">
        <v>0</v>
      </c>
      <c r="Q962" s="44"/>
      <c r="R962" s="45" t="s">
        <v>3068</v>
      </c>
      <c r="S962" s="45" t="s">
        <v>93</v>
      </c>
      <c r="T962" s="37" t="str">
        <f>HYPERLINK("https://kanzpp.ru/api/getInfo/image/0f21c480-0c88-11eb-a25b-ac1f6b442184")</f>
        <v>https://kanzpp.ru/api/getInfo/image/0f21c480-0c88-11eb-a25b-ac1f6b442184</v>
      </c>
      <c r="U962" s="37"/>
    </row>
    <row r="963" spans="2:22" ht="22.95" customHeight="1" outlineLevel="3" x14ac:dyDescent="0.2">
      <c r="B963" s="81" t="s">
        <v>3069</v>
      </c>
      <c r="C963" s="81"/>
      <c r="D963" s="81"/>
      <c r="L963">
        <v>0</v>
      </c>
    </row>
    <row r="964" spans="2:22" ht="22.95" customHeight="1" outlineLevel="4" x14ac:dyDescent="0.2">
      <c r="B964" s="82" t="s">
        <v>3070</v>
      </c>
      <c r="C964" s="82"/>
      <c r="D964" s="82"/>
      <c r="L964">
        <v>0</v>
      </c>
    </row>
    <row r="965" spans="2:22" ht="21" customHeight="1" outlineLevel="5" x14ac:dyDescent="0.2">
      <c r="B965" s="5">
        <v>744</v>
      </c>
      <c r="C965" s="6" t="s">
        <v>3071</v>
      </c>
      <c r="D965" s="6" t="s">
        <v>3072</v>
      </c>
      <c r="E965" s="7" t="s">
        <v>3073</v>
      </c>
      <c r="F965" s="13"/>
      <c r="G965" s="14"/>
      <c r="H965" s="15">
        <v>100</v>
      </c>
      <c r="I965" s="15">
        <v>100</v>
      </c>
      <c r="J965" s="14" t="s">
        <v>144</v>
      </c>
      <c r="K965" s="5">
        <v>10</v>
      </c>
      <c r="L965" s="16">
        <v>26.653333333333332</v>
      </c>
      <c r="M965" s="12"/>
      <c r="N965" s="14">
        <f>L965*M965</f>
        <v>0</v>
      </c>
      <c r="O965" s="23">
        <f>0.069*M965</f>
        <v>0</v>
      </c>
      <c r="P965" s="24">
        <f>0.00014*M965</f>
        <v>0</v>
      </c>
      <c r="Q965" s="25"/>
      <c r="R965" s="26" t="s">
        <v>3074</v>
      </c>
      <c r="S965" s="26" t="s">
        <v>29</v>
      </c>
      <c r="T965" s="6" t="str">
        <f>HYPERLINK("https://kanzpp.ru/api/getInfo/image/0f0432bb-edf0-11e6-81a9-5cf3fc4a2490")</f>
        <v>https://kanzpp.ru/api/getInfo/image/0f0432bb-edf0-11e6-81a9-5cf3fc4a2490</v>
      </c>
      <c r="U965" s="6"/>
      <c r="V965" s="33" t="s">
        <v>35</v>
      </c>
    </row>
    <row r="966" spans="2:22" ht="21" customHeight="1" outlineLevel="5" x14ac:dyDescent="0.2">
      <c r="B966" s="5">
        <v>745</v>
      </c>
      <c r="C966" s="6" t="s">
        <v>3075</v>
      </c>
      <c r="D966" s="6" t="s">
        <v>3076</v>
      </c>
      <c r="E966" s="7" t="s">
        <v>3077</v>
      </c>
      <c r="F966" s="13"/>
      <c r="G966" s="14"/>
      <c r="H966" s="15">
        <v>100</v>
      </c>
      <c r="I966" s="15">
        <v>100</v>
      </c>
      <c r="J966" s="15">
        <v>430</v>
      </c>
      <c r="K966" s="5">
        <v>10</v>
      </c>
      <c r="L966" s="16">
        <v>26.653333333333332</v>
      </c>
      <c r="M966" s="12"/>
      <c r="N966" s="14">
        <f>L966*M966</f>
        <v>0</v>
      </c>
      <c r="O966" s="23">
        <f>0.069*M966</f>
        <v>0</v>
      </c>
      <c r="P966" s="24">
        <f>0.00014*M966</f>
        <v>0</v>
      </c>
      <c r="Q966" s="25"/>
      <c r="R966" s="26" t="s">
        <v>3078</v>
      </c>
      <c r="S966" s="26" t="s">
        <v>29</v>
      </c>
      <c r="T966" s="6" t="str">
        <f>HYPERLINK("https://kanzpp.ru/api/getInfo/image/d5986039-fbdc-11e9-a236-ac1f6b442184")</f>
        <v>https://kanzpp.ru/api/getInfo/image/d5986039-fbdc-11e9-a236-ac1f6b442184</v>
      </c>
      <c r="U966" s="6"/>
      <c r="V966" s="33" t="s">
        <v>35</v>
      </c>
    </row>
    <row r="967" spans="2:22" ht="21" customHeight="1" outlineLevel="5" x14ac:dyDescent="0.2">
      <c r="B967" s="5">
        <v>746</v>
      </c>
      <c r="C967" s="6" t="s">
        <v>3079</v>
      </c>
      <c r="D967" s="6" t="s">
        <v>3080</v>
      </c>
      <c r="E967" s="7" t="s">
        <v>3081</v>
      </c>
      <c r="F967" s="13"/>
      <c r="G967" s="14"/>
      <c r="H967" s="15">
        <v>100</v>
      </c>
      <c r="I967" s="15">
        <v>100</v>
      </c>
      <c r="J967" s="15">
        <v>100</v>
      </c>
      <c r="K967" s="5">
        <v>10</v>
      </c>
      <c r="L967" s="16">
        <v>26.653333333333332</v>
      </c>
      <c r="M967" s="12"/>
      <c r="N967" s="14">
        <f>L967*M967</f>
        <v>0</v>
      </c>
      <c r="O967" s="23">
        <f>0.069*M967</f>
        <v>0</v>
      </c>
      <c r="P967" s="24">
        <f>0.00014*M967</f>
        <v>0</v>
      </c>
      <c r="Q967" s="25"/>
      <c r="R967" s="26" t="s">
        <v>3082</v>
      </c>
      <c r="S967" s="26" t="s">
        <v>29</v>
      </c>
      <c r="T967" s="6" t="str">
        <f>HYPERLINK("https://kanzpp.ru/api/getInfo/image/a8838b32-fbdc-11e9-a236-ac1f6b442184")</f>
        <v>https://kanzpp.ru/api/getInfo/image/a8838b32-fbdc-11e9-a236-ac1f6b442184</v>
      </c>
      <c r="U967" s="6"/>
      <c r="V967" s="33" t="s">
        <v>35</v>
      </c>
    </row>
    <row r="968" spans="2:22" ht="21" customHeight="1" outlineLevel="5" x14ac:dyDescent="0.2">
      <c r="B968" s="5">
        <v>747</v>
      </c>
      <c r="C968" s="6" t="s">
        <v>3083</v>
      </c>
      <c r="D968" s="6" t="s">
        <v>3084</v>
      </c>
      <c r="E968" s="7" t="s">
        <v>3085</v>
      </c>
      <c r="F968" s="13"/>
      <c r="G968" s="14"/>
      <c r="H968" s="15">
        <v>100</v>
      </c>
      <c r="I968" s="15">
        <v>100</v>
      </c>
      <c r="J968" s="14" t="s">
        <v>144</v>
      </c>
      <c r="K968" s="5">
        <v>10</v>
      </c>
      <c r="L968" s="16">
        <v>26.653333333333332</v>
      </c>
      <c r="M968" s="12"/>
      <c r="N968" s="14">
        <f>L968*M968</f>
        <v>0</v>
      </c>
      <c r="O968" s="23">
        <f>0.069*M968</f>
        <v>0</v>
      </c>
      <c r="P968" s="24">
        <f>0.00014*M968</f>
        <v>0</v>
      </c>
      <c r="Q968" s="25"/>
      <c r="R968" s="26" t="s">
        <v>3086</v>
      </c>
      <c r="S968" s="26" t="s">
        <v>29</v>
      </c>
      <c r="T968" s="6" t="str">
        <f>HYPERLINK("https://kanzpp.ru/api/getInfo/image/97a75fda-edef-11e6-81a9-5cf3fc4a2490")</f>
        <v>https://kanzpp.ru/api/getInfo/image/97a75fda-edef-11e6-81a9-5cf3fc4a2490</v>
      </c>
      <c r="U968" s="6" t="s">
        <v>3086</v>
      </c>
      <c r="V968" s="33" t="s">
        <v>35</v>
      </c>
    </row>
    <row r="969" spans="2:22" ht="22.95" customHeight="1" outlineLevel="4" x14ac:dyDescent="0.2">
      <c r="B969" s="82" t="s">
        <v>3087</v>
      </c>
      <c r="C969" s="82"/>
      <c r="D969" s="82"/>
      <c r="L969">
        <v>0</v>
      </c>
    </row>
    <row r="970" spans="2:22" ht="21" customHeight="1" outlineLevel="5" x14ac:dyDescent="0.2">
      <c r="B970" s="5">
        <v>748</v>
      </c>
      <c r="C970" s="6" t="s">
        <v>3088</v>
      </c>
      <c r="D970" s="6" t="s">
        <v>3089</v>
      </c>
      <c r="E970" s="7" t="s">
        <v>3090</v>
      </c>
      <c r="F970" s="13"/>
      <c r="G970" s="14"/>
      <c r="H970" s="15">
        <v>100</v>
      </c>
      <c r="I970" s="15">
        <v>100</v>
      </c>
      <c r="J970" s="15">
        <v>4</v>
      </c>
      <c r="K970" s="5">
        <v>4</v>
      </c>
      <c r="L970" s="16">
        <v>13.32</v>
      </c>
      <c r="M970" s="12"/>
      <c r="N970" s="14">
        <f t="shared" ref="N970:N977" si="46">L970*M970</f>
        <v>0</v>
      </c>
      <c r="O970" s="23">
        <f>0.069*M970</f>
        <v>0</v>
      </c>
      <c r="P970" s="31">
        <f t="shared" ref="P970:P977" si="47">0.0001*M970</f>
        <v>0</v>
      </c>
      <c r="Q970" s="25"/>
      <c r="R970" s="26" t="s">
        <v>3091</v>
      </c>
      <c r="S970" s="26" t="s">
        <v>29</v>
      </c>
      <c r="T970" s="6" t="str">
        <f>HYPERLINK("https://kanzpp.ru/api/getInfo/image/48e4b5d7-d511-11e7-b2c3-5cf3fc4a2490")</f>
        <v>https://kanzpp.ru/api/getInfo/image/48e4b5d7-d511-11e7-b2c3-5cf3fc4a2490</v>
      </c>
      <c r="U970" s="6"/>
      <c r="V970" s="33" t="s">
        <v>35</v>
      </c>
    </row>
    <row r="971" spans="2:22" ht="21" customHeight="1" outlineLevel="5" x14ac:dyDescent="0.2">
      <c r="B971" s="2">
        <v>749</v>
      </c>
      <c r="C971" s="3" t="s">
        <v>3092</v>
      </c>
      <c r="D971" s="3" t="s">
        <v>3093</v>
      </c>
      <c r="E971" s="4" t="s">
        <v>3094</v>
      </c>
      <c r="F971" s="8"/>
      <c r="G971" s="9"/>
      <c r="H971" s="10">
        <v>100</v>
      </c>
      <c r="I971" s="10">
        <v>100</v>
      </c>
      <c r="J971" s="10">
        <v>37</v>
      </c>
      <c r="K971" s="2">
        <v>12</v>
      </c>
      <c r="L971" s="18">
        <v>10.453333333333333</v>
      </c>
      <c r="M971" s="12"/>
      <c r="N971" s="9">
        <f t="shared" si="46"/>
        <v>0</v>
      </c>
      <c r="O971" s="29">
        <f>0.069*M971</f>
        <v>0</v>
      </c>
      <c r="P971" s="20">
        <f t="shared" si="47"/>
        <v>0</v>
      </c>
      <c r="Q971" s="21"/>
      <c r="R971" s="22" t="s">
        <v>3095</v>
      </c>
      <c r="S971" s="22" t="s">
        <v>29</v>
      </c>
      <c r="T971" s="3" t="str">
        <f>HYPERLINK("https://kanzpp.ru/api/getInfo/image/87e61ad7-d511-11e7-b2c3-5cf3fc4a2490")</f>
        <v>https://kanzpp.ru/api/getInfo/image/87e61ad7-d511-11e7-b2c3-5cf3fc4a2490</v>
      </c>
      <c r="U971" s="3"/>
      <c r="V971" s="32" t="s">
        <v>30</v>
      </c>
    </row>
    <row r="972" spans="2:22" ht="21" customHeight="1" outlineLevel="5" x14ac:dyDescent="0.2">
      <c r="B972" s="5">
        <v>750</v>
      </c>
      <c r="C972" s="6" t="s">
        <v>3096</v>
      </c>
      <c r="D972" s="6" t="s">
        <v>3097</v>
      </c>
      <c r="E972" s="7" t="s">
        <v>3098</v>
      </c>
      <c r="F972" s="13"/>
      <c r="G972" s="14"/>
      <c r="H972" s="15">
        <v>100</v>
      </c>
      <c r="I972" s="15">
        <v>100</v>
      </c>
      <c r="J972" s="15">
        <v>645</v>
      </c>
      <c r="K972" s="5">
        <v>12</v>
      </c>
      <c r="L972" s="16">
        <v>13.32</v>
      </c>
      <c r="M972" s="12"/>
      <c r="N972" s="14">
        <f t="shared" si="46"/>
        <v>0</v>
      </c>
      <c r="O972" s="23">
        <f>0.069*M972</f>
        <v>0</v>
      </c>
      <c r="P972" s="31">
        <f t="shared" si="47"/>
        <v>0</v>
      </c>
      <c r="Q972" s="25"/>
      <c r="R972" s="26" t="s">
        <v>3099</v>
      </c>
      <c r="S972" s="26" t="s">
        <v>29</v>
      </c>
      <c r="T972" s="6" t="str">
        <f>HYPERLINK("https://kanzpp.ru/api/getInfo/image/b3846cf7-d511-11e7-b2c3-5cf3fc4a2490")</f>
        <v>https://kanzpp.ru/api/getInfo/image/b3846cf7-d511-11e7-b2c3-5cf3fc4a2490</v>
      </c>
      <c r="U972" s="6"/>
      <c r="V972" s="33" t="s">
        <v>35</v>
      </c>
    </row>
    <row r="973" spans="2:22" ht="21" customHeight="1" outlineLevel="5" x14ac:dyDescent="0.2">
      <c r="B973" s="2">
        <v>751</v>
      </c>
      <c r="C973" s="3" t="s">
        <v>3100</v>
      </c>
      <c r="D973" s="3" t="s">
        <v>3101</v>
      </c>
      <c r="E973" s="4" t="s">
        <v>3102</v>
      </c>
      <c r="F973" s="8"/>
      <c r="G973" s="9"/>
      <c r="H973" s="10">
        <v>100</v>
      </c>
      <c r="I973" s="9"/>
      <c r="J973" s="10">
        <v>1</v>
      </c>
      <c r="K973" s="2">
        <v>1</v>
      </c>
      <c r="L973" s="18">
        <v>10.706666666666665</v>
      </c>
      <c r="M973" s="12"/>
      <c r="N973" s="9">
        <f t="shared" si="46"/>
        <v>0</v>
      </c>
      <c r="O973" s="29">
        <f>0.069*M973</f>
        <v>0</v>
      </c>
      <c r="P973" s="20">
        <f t="shared" si="47"/>
        <v>0</v>
      </c>
      <c r="Q973" s="21"/>
      <c r="R973" s="22"/>
      <c r="S973" s="22" t="s">
        <v>29</v>
      </c>
      <c r="T973" s="3" t="str">
        <f>HYPERLINK("https://kanzpp.ru/api/getInfo/image/89d7bb29-7e7d-11ec-a211-ac1f6b442185")</f>
        <v>https://kanzpp.ru/api/getInfo/image/89d7bb29-7e7d-11ec-a211-ac1f6b442185</v>
      </c>
      <c r="U973" s="3" t="s">
        <v>3103</v>
      </c>
      <c r="V973" s="32" t="s">
        <v>30</v>
      </c>
    </row>
    <row r="974" spans="2:22" ht="21" customHeight="1" outlineLevel="5" x14ac:dyDescent="0.2">
      <c r="B974" s="5">
        <v>752</v>
      </c>
      <c r="C974" s="6" t="s">
        <v>3104</v>
      </c>
      <c r="D974" s="6" t="s">
        <v>3105</v>
      </c>
      <c r="E974" s="7" t="s">
        <v>3106</v>
      </c>
      <c r="F974" s="13"/>
      <c r="G974" s="14"/>
      <c r="H974" s="14"/>
      <c r="I974" s="15">
        <v>100</v>
      </c>
      <c r="J974" s="14" t="s">
        <v>144</v>
      </c>
      <c r="K974" s="5">
        <v>12</v>
      </c>
      <c r="L974" s="16">
        <v>13.32</v>
      </c>
      <c r="M974" s="12"/>
      <c r="N974" s="14">
        <f t="shared" si="46"/>
        <v>0</v>
      </c>
      <c r="O974" s="23">
        <f>0.036*M974</f>
        <v>0</v>
      </c>
      <c r="P974" s="31">
        <f t="shared" si="47"/>
        <v>0</v>
      </c>
      <c r="Q974" s="25"/>
      <c r="R974" s="26" t="s">
        <v>3107</v>
      </c>
      <c r="S974" s="26" t="s">
        <v>29</v>
      </c>
      <c r="T974" s="6" t="str">
        <f>HYPERLINK("https://kanzpp.ru/api/getInfo/image/9577f342-f0a8-11ed-a236-00155d82e902")</f>
        <v>https://kanzpp.ru/api/getInfo/image/9577f342-f0a8-11ed-a236-00155d82e902</v>
      </c>
      <c r="U974" s="6"/>
      <c r="V974" s="33" t="s">
        <v>35</v>
      </c>
    </row>
    <row r="975" spans="2:22" ht="21" customHeight="1" outlineLevel="5" x14ac:dyDescent="0.2">
      <c r="B975" s="5">
        <v>753</v>
      </c>
      <c r="C975" s="6" t="s">
        <v>3108</v>
      </c>
      <c r="D975" s="6" t="s">
        <v>3109</v>
      </c>
      <c r="E975" s="7" t="s">
        <v>3110</v>
      </c>
      <c r="F975" s="13"/>
      <c r="G975" s="14"/>
      <c r="H975" s="14"/>
      <c r="I975" s="15">
        <v>100</v>
      </c>
      <c r="J975" s="14" t="s">
        <v>144</v>
      </c>
      <c r="K975" s="5">
        <v>12</v>
      </c>
      <c r="L975" s="16">
        <v>13.32</v>
      </c>
      <c r="M975" s="12"/>
      <c r="N975" s="14">
        <f t="shared" si="46"/>
        <v>0</v>
      </c>
      <c r="O975" s="23">
        <f>0.034*M975</f>
        <v>0</v>
      </c>
      <c r="P975" s="31">
        <f t="shared" si="47"/>
        <v>0</v>
      </c>
      <c r="Q975" s="25"/>
      <c r="R975" s="26" t="s">
        <v>3111</v>
      </c>
      <c r="S975" s="26" t="s">
        <v>29</v>
      </c>
      <c r="T975" s="6" t="str">
        <f>HYPERLINK("https://kanzpp.ru/api/getInfo/image/bbf5d98b-f0a8-11ed-a236-00155d82e902")</f>
        <v>https://kanzpp.ru/api/getInfo/image/bbf5d98b-f0a8-11ed-a236-00155d82e902</v>
      </c>
      <c r="U975" s="6"/>
      <c r="V975" s="33" t="s">
        <v>35</v>
      </c>
    </row>
    <row r="976" spans="2:22" ht="21" customHeight="1" outlineLevel="5" x14ac:dyDescent="0.2">
      <c r="B976" s="5">
        <v>754</v>
      </c>
      <c r="C976" s="6" t="s">
        <v>3112</v>
      </c>
      <c r="D976" s="6" t="s">
        <v>3113</v>
      </c>
      <c r="E976" s="7" t="s">
        <v>3114</v>
      </c>
      <c r="F976" s="13"/>
      <c r="G976" s="14"/>
      <c r="H976" s="14"/>
      <c r="I976" s="15">
        <v>100</v>
      </c>
      <c r="J976" s="14" t="s">
        <v>144</v>
      </c>
      <c r="K976" s="5">
        <v>12</v>
      </c>
      <c r="L976" s="16">
        <v>13.32</v>
      </c>
      <c r="M976" s="12"/>
      <c r="N976" s="14">
        <f t="shared" si="46"/>
        <v>0</v>
      </c>
      <c r="O976" s="23">
        <f>0.031*M976</f>
        <v>0</v>
      </c>
      <c r="P976" s="31">
        <f t="shared" si="47"/>
        <v>0</v>
      </c>
      <c r="Q976" s="25"/>
      <c r="R976" s="26" t="s">
        <v>3115</v>
      </c>
      <c r="S976" s="26" t="s">
        <v>29</v>
      </c>
      <c r="T976" s="6" t="str">
        <f>HYPERLINK("https://kanzpp.ru/api/getInfo/image/1a60ea0b-f0a9-11ed-a236-00155d82e902")</f>
        <v>https://kanzpp.ru/api/getInfo/image/1a60ea0b-f0a9-11ed-a236-00155d82e902</v>
      </c>
      <c r="U976" s="6"/>
      <c r="V976" s="33" t="s">
        <v>35</v>
      </c>
    </row>
    <row r="977" spans="2:22" ht="21" customHeight="1" outlineLevel="5" x14ac:dyDescent="0.2">
      <c r="B977" s="5">
        <v>755</v>
      </c>
      <c r="C977" s="6" t="s">
        <v>3116</v>
      </c>
      <c r="D977" s="6" t="s">
        <v>3117</v>
      </c>
      <c r="E977" s="7" t="s">
        <v>3118</v>
      </c>
      <c r="F977" s="13"/>
      <c r="G977" s="14"/>
      <c r="H977" s="14"/>
      <c r="I977" s="15">
        <v>100</v>
      </c>
      <c r="J977" s="14" t="s">
        <v>144</v>
      </c>
      <c r="K977" s="5">
        <v>12</v>
      </c>
      <c r="L977" s="16">
        <v>13.32</v>
      </c>
      <c r="M977" s="12"/>
      <c r="N977" s="14">
        <f t="shared" si="46"/>
        <v>0</v>
      </c>
      <c r="O977" s="23">
        <f>0.041*M977</f>
        <v>0</v>
      </c>
      <c r="P977" s="31">
        <f t="shared" si="47"/>
        <v>0</v>
      </c>
      <c r="Q977" s="25"/>
      <c r="R977" s="26" t="s">
        <v>3119</v>
      </c>
      <c r="S977" s="26" t="s">
        <v>29</v>
      </c>
      <c r="T977" s="6" t="str">
        <f>HYPERLINK("https://kanzpp.ru/api/getInfo/image/e433fb5a-f0a8-11ed-a236-00155d82e902")</f>
        <v>https://kanzpp.ru/api/getInfo/image/e433fb5a-f0a8-11ed-a236-00155d82e902</v>
      </c>
      <c r="U977" s="6"/>
      <c r="V977" s="33" t="s">
        <v>35</v>
      </c>
    </row>
    <row r="978" spans="2:22" ht="22.95" customHeight="1" outlineLevel="4" x14ac:dyDescent="0.2">
      <c r="B978" s="82" t="s">
        <v>3120</v>
      </c>
      <c r="C978" s="82"/>
      <c r="D978" s="82"/>
      <c r="L978">
        <v>0</v>
      </c>
    </row>
    <row r="979" spans="2:22" ht="21" customHeight="1" outlineLevel="5" x14ac:dyDescent="0.2">
      <c r="B979" s="2">
        <v>756</v>
      </c>
      <c r="C979" s="3" t="s">
        <v>3121</v>
      </c>
      <c r="D979" s="3" t="s">
        <v>3122</v>
      </c>
      <c r="E979" s="4" t="s">
        <v>3123</v>
      </c>
      <c r="F979" s="8"/>
      <c r="G979" s="9"/>
      <c r="H979" s="10">
        <v>100</v>
      </c>
      <c r="I979" s="10">
        <v>100</v>
      </c>
      <c r="J979" s="10">
        <v>1</v>
      </c>
      <c r="K979" s="2">
        <v>1</v>
      </c>
      <c r="L979" s="18">
        <v>5.2666666666666666</v>
      </c>
      <c r="M979" s="12"/>
      <c r="N979" s="9">
        <f>L979*M979</f>
        <v>0</v>
      </c>
      <c r="O979" s="29">
        <f>0.035*M979</f>
        <v>0</v>
      </c>
      <c r="P979" s="30">
        <f>0.00008*M979</f>
        <v>0</v>
      </c>
      <c r="Q979" s="21"/>
      <c r="R979" s="22" t="s">
        <v>3124</v>
      </c>
      <c r="S979" s="22" t="s">
        <v>29</v>
      </c>
      <c r="T979" s="3" t="str">
        <f>HYPERLINK("https://kanzpp.ru/api/getInfo/image/5dee2073-4694-11eb-a25e-ac1f6b442184")</f>
        <v>https://kanzpp.ru/api/getInfo/image/5dee2073-4694-11eb-a25e-ac1f6b442184</v>
      </c>
      <c r="U979" s="3"/>
      <c r="V979" s="32" t="s">
        <v>30</v>
      </c>
    </row>
    <row r="980" spans="2:22" ht="21" customHeight="1" outlineLevel="5" x14ac:dyDescent="0.2">
      <c r="B980" s="2">
        <v>757</v>
      </c>
      <c r="C980" s="3" t="s">
        <v>3125</v>
      </c>
      <c r="D980" s="3" t="s">
        <v>3126</v>
      </c>
      <c r="E980" s="4" t="s">
        <v>3127</v>
      </c>
      <c r="F980" s="8"/>
      <c r="G980" s="9"/>
      <c r="H980" s="10">
        <v>100</v>
      </c>
      <c r="I980" s="10">
        <v>100</v>
      </c>
      <c r="J980" s="10">
        <v>68</v>
      </c>
      <c r="K980" s="2">
        <v>16</v>
      </c>
      <c r="L980" s="18">
        <v>10.826666666666666</v>
      </c>
      <c r="M980" s="12"/>
      <c r="N980" s="9">
        <f>L980*M980</f>
        <v>0</v>
      </c>
      <c r="O980" s="29">
        <f>0.035*M980</f>
        <v>0</v>
      </c>
      <c r="P980" s="30">
        <f>0.00008*M980</f>
        <v>0</v>
      </c>
      <c r="Q980" s="21"/>
      <c r="R980" s="22" t="s">
        <v>3128</v>
      </c>
      <c r="S980" s="22" t="s">
        <v>29</v>
      </c>
      <c r="T980" s="3" t="str">
        <f>HYPERLINK("https://kanzpp.ru/api/getInfo/image/52eb96d8-6b81-11e6-97ea-5cf3fc4a2490")</f>
        <v>https://kanzpp.ru/api/getInfo/image/52eb96d8-6b81-11e6-97ea-5cf3fc4a2490</v>
      </c>
      <c r="U980" s="3"/>
      <c r="V980" s="32" t="s">
        <v>30</v>
      </c>
    </row>
    <row r="981" spans="2:22" ht="21" customHeight="1" outlineLevel="5" x14ac:dyDescent="0.2">
      <c r="B981" s="2">
        <v>758</v>
      </c>
      <c r="C981" s="3" t="s">
        <v>3129</v>
      </c>
      <c r="D981" s="3" t="s">
        <v>3130</v>
      </c>
      <c r="E981" s="4" t="s">
        <v>3131</v>
      </c>
      <c r="F981" s="8"/>
      <c r="G981" s="9"/>
      <c r="H981" s="9"/>
      <c r="I981" s="10">
        <v>100</v>
      </c>
      <c r="J981" s="10">
        <v>5</v>
      </c>
      <c r="K981" s="2">
        <v>5</v>
      </c>
      <c r="L981" s="18">
        <v>10.826666666666666</v>
      </c>
      <c r="M981" s="12"/>
      <c r="N981" s="9">
        <f>L981*M981</f>
        <v>0</v>
      </c>
      <c r="O981" s="29">
        <f>0.024*M981</f>
        <v>0</v>
      </c>
      <c r="P981" s="30">
        <f>0.00008*M981</f>
        <v>0</v>
      </c>
      <c r="Q981" s="21"/>
      <c r="R981" s="22" t="s">
        <v>3132</v>
      </c>
      <c r="S981" s="22" t="s">
        <v>29</v>
      </c>
      <c r="T981" s="3" t="str">
        <f>HYPERLINK("https://kanzpp.ru/api/getInfo/image/9fbf9560-f8c7-11ee-a25d-00155d82e908")</f>
        <v>https://kanzpp.ru/api/getInfo/image/9fbf9560-f8c7-11ee-a25d-00155d82e908</v>
      </c>
      <c r="U981" s="3"/>
      <c r="V981" s="32" t="s">
        <v>30</v>
      </c>
    </row>
    <row r="982" spans="2:22" ht="22.95" customHeight="1" outlineLevel="4" x14ac:dyDescent="0.2">
      <c r="B982" s="82" t="s">
        <v>3133</v>
      </c>
      <c r="C982" s="82"/>
      <c r="D982" s="82"/>
      <c r="L982">
        <v>0</v>
      </c>
    </row>
    <row r="983" spans="2:22" ht="21" customHeight="1" outlineLevel="5" x14ac:dyDescent="0.2">
      <c r="B983" s="2">
        <v>759</v>
      </c>
      <c r="C983" s="3" t="s">
        <v>3134</v>
      </c>
      <c r="D983" s="3" t="s">
        <v>3135</v>
      </c>
      <c r="E983" s="4" t="s">
        <v>3136</v>
      </c>
      <c r="F983" s="8"/>
      <c r="G983" s="9"/>
      <c r="H983" s="10">
        <v>100</v>
      </c>
      <c r="I983" s="10">
        <v>100</v>
      </c>
      <c r="J983" s="10">
        <v>142</v>
      </c>
      <c r="K983" s="2">
        <v>20</v>
      </c>
      <c r="L983" s="18">
        <v>6.1866666666666665</v>
      </c>
      <c r="M983" s="12"/>
      <c r="N983" s="9">
        <f>L983*M983</f>
        <v>0</v>
      </c>
      <c r="O983" s="29">
        <f>0.035*M983</f>
        <v>0</v>
      </c>
      <c r="P983" s="30">
        <f>0.00006*M983</f>
        <v>0</v>
      </c>
      <c r="Q983" s="21"/>
      <c r="R983" s="22" t="s">
        <v>3137</v>
      </c>
      <c r="S983" s="22" t="s">
        <v>29</v>
      </c>
      <c r="T983" s="3" t="str">
        <f>HYPERLINK("https://kanzpp.ru/api/getInfo/image/58ec5eb4-292b-11e9-a21e-ac1f6b442184")</f>
        <v>https://kanzpp.ru/api/getInfo/image/58ec5eb4-292b-11e9-a21e-ac1f6b442184</v>
      </c>
      <c r="U983" s="3"/>
      <c r="V983" s="32" t="s">
        <v>30</v>
      </c>
    </row>
    <row r="984" spans="2:22" ht="21" customHeight="1" outlineLevel="5" x14ac:dyDescent="0.2">
      <c r="B984" s="5">
        <v>760</v>
      </c>
      <c r="C984" s="6" t="s">
        <v>3138</v>
      </c>
      <c r="D984" s="6" t="s">
        <v>3139</v>
      </c>
      <c r="E984" s="7" t="s">
        <v>3140</v>
      </c>
      <c r="F984" s="13"/>
      <c r="G984" s="14"/>
      <c r="H984" s="15">
        <v>100</v>
      </c>
      <c r="I984" s="15">
        <v>100</v>
      </c>
      <c r="J984" s="14" t="s">
        <v>144</v>
      </c>
      <c r="K984" s="5">
        <v>20</v>
      </c>
      <c r="L984" s="16">
        <v>7.9866666666666672</v>
      </c>
      <c r="M984" s="12"/>
      <c r="N984" s="14">
        <f>L984*M984</f>
        <v>0</v>
      </c>
      <c r="O984" s="23">
        <f>0.035*M984</f>
        <v>0</v>
      </c>
      <c r="P984" s="24">
        <f>0.00006*M984</f>
        <v>0</v>
      </c>
      <c r="Q984" s="25"/>
      <c r="R984" s="26" t="s">
        <v>3141</v>
      </c>
      <c r="S984" s="26" t="s">
        <v>29</v>
      </c>
      <c r="T984" s="6" t="str">
        <f>HYPERLINK("https://kanzpp.ru/api/getInfo/image/c97558f7-d50f-11e7-b2c3-5cf3fc4a2490")</f>
        <v>https://kanzpp.ru/api/getInfo/image/c97558f7-d50f-11e7-b2c3-5cf3fc4a2490</v>
      </c>
      <c r="U984" s="6"/>
      <c r="V984" s="33" t="s">
        <v>35</v>
      </c>
    </row>
    <row r="985" spans="2:22" ht="21" customHeight="1" outlineLevel="5" x14ac:dyDescent="0.2">
      <c r="B985" s="5">
        <v>761</v>
      </c>
      <c r="C985" s="6" t="s">
        <v>3142</v>
      </c>
      <c r="D985" s="6" t="s">
        <v>3143</v>
      </c>
      <c r="E985" s="7" t="s">
        <v>3144</v>
      </c>
      <c r="F985" s="13"/>
      <c r="G985" s="14"/>
      <c r="H985" s="14"/>
      <c r="I985" s="15">
        <v>100</v>
      </c>
      <c r="J985" s="14" t="s">
        <v>144</v>
      </c>
      <c r="K985" s="5">
        <v>20</v>
      </c>
      <c r="L985" s="16">
        <v>7.9866666666666672</v>
      </c>
      <c r="M985" s="12"/>
      <c r="N985" s="14">
        <f>L985*M985</f>
        <v>0</v>
      </c>
      <c r="O985" s="23">
        <f>0.021*M985</f>
        <v>0</v>
      </c>
      <c r="P985" s="24">
        <f>0.00006*M985</f>
        <v>0</v>
      </c>
      <c r="Q985" s="25"/>
      <c r="R985" s="26" t="s">
        <v>3145</v>
      </c>
      <c r="S985" s="26" t="s">
        <v>29</v>
      </c>
      <c r="T985" s="6" t="str">
        <f>HYPERLINK("https://kanzpp.ru/api/getInfo/image/f60d1ee4-f0a9-11ed-a236-00155d82e902")</f>
        <v>https://kanzpp.ru/api/getInfo/image/f60d1ee4-f0a9-11ed-a236-00155d82e902</v>
      </c>
      <c r="U985" s="6"/>
      <c r="V985" s="33" t="s">
        <v>35</v>
      </c>
    </row>
    <row r="986" spans="2:22" ht="22.95" customHeight="1" outlineLevel="3" x14ac:dyDescent="0.2">
      <c r="B986" s="81" t="s">
        <v>3146</v>
      </c>
      <c r="C986" s="81"/>
      <c r="D986" s="81"/>
      <c r="L986">
        <v>0</v>
      </c>
    </row>
    <row r="987" spans="2:22" ht="21" customHeight="1" outlineLevel="4" x14ac:dyDescent="0.2">
      <c r="B987" s="36">
        <v>762</v>
      </c>
      <c r="C987" s="37" t="s">
        <v>3147</v>
      </c>
      <c r="D987" s="37" t="s">
        <v>3148</v>
      </c>
      <c r="E987" s="38" t="s">
        <v>3149</v>
      </c>
      <c r="F987" s="39"/>
      <c r="G987" s="40"/>
      <c r="H987" s="41">
        <v>12</v>
      </c>
      <c r="I987" s="40"/>
      <c r="J987" s="40" t="s">
        <v>144</v>
      </c>
      <c r="K987" s="36">
        <v>3</v>
      </c>
      <c r="L987" s="42">
        <f>(203.63*(1-O3/100))/0.75</f>
        <v>271.50666666666666</v>
      </c>
      <c r="M987" s="12"/>
      <c r="N987" s="40">
        <f t="shared" ref="N987:N1007" si="48">L987*M987</f>
        <v>0</v>
      </c>
      <c r="O987" s="43">
        <f>0.451*M987</f>
        <v>0</v>
      </c>
      <c r="P987" s="47">
        <f>0.00728*M987</f>
        <v>0</v>
      </c>
      <c r="Q987" s="44"/>
      <c r="R987" s="45" t="s">
        <v>3150</v>
      </c>
      <c r="S987" s="45" t="s">
        <v>93</v>
      </c>
      <c r="T987" s="37"/>
      <c r="U987" s="37"/>
    </row>
    <row r="988" spans="2:22" ht="21" customHeight="1" outlineLevel="4" x14ac:dyDescent="0.2">
      <c r="B988" s="5">
        <v>763</v>
      </c>
      <c r="C988" s="6" t="s">
        <v>3151</v>
      </c>
      <c r="D988" s="6" t="s">
        <v>3152</v>
      </c>
      <c r="E988" s="7" t="s">
        <v>3153</v>
      </c>
      <c r="F988" s="13"/>
      <c r="G988" s="14"/>
      <c r="H988" s="14"/>
      <c r="I988" s="14"/>
      <c r="J988" s="15">
        <v>6</v>
      </c>
      <c r="K988" s="5">
        <v>1</v>
      </c>
      <c r="L988" s="52">
        <v>1420.4266666666665</v>
      </c>
      <c r="M988" s="12"/>
      <c r="N988" s="14">
        <f t="shared" si="48"/>
        <v>0</v>
      </c>
      <c r="O988" s="23">
        <f>1.826*M988</f>
        <v>0</v>
      </c>
      <c r="P988" s="24">
        <f>0.02955*M988</f>
        <v>0</v>
      </c>
      <c r="Q988" s="25"/>
      <c r="R988" s="26" t="s">
        <v>3154</v>
      </c>
      <c r="S988" s="26" t="s">
        <v>93</v>
      </c>
      <c r="T988" s="6" t="str">
        <f>HYPERLINK("https://kanzpp.ru/api/getInfo/image/217d575c-2250-11ee-a23d-00155d82e902")</f>
        <v>https://kanzpp.ru/api/getInfo/image/217d575c-2250-11ee-a23d-00155d82e902</v>
      </c>
      <c r="U988" s="6"/>
      <c r="V988" s="33" t="s">
        <v>35</v>
      </c>
    </row>
    <row r="989" spans="2:22" ht="21" customHeight="1" outlineLevel="4" x14ac:dyDescent="0.2">
      <c r="B989" s="36">
        <v>764</v>
      </c>
      <c r="C989" s="37" t="s">
        <v>3155</v>
      </c>
      <c r="D989" s="37" t="s">
        <v>3156</v>
      </c>
      <c r="E989" s="38" t="s">
        <v>3157</v>
      </c>
      <c r="F989" s="39"/>
      <c r="G989" s="40"/>
      <c r="H989" s="41">
        <v>8</v>
      </c>
      <c r="I989" s="40"/>
      <c r="J989" s="41">
        <v>8</v>
      </c>
      <c r="K989" s="36">
        <v>2</v>
      </c>
      <c r="L989" s="42">
        <f>(363.08*(1-O3/100))/0.75</f>
        <v>484.10666666666663</v>
      </c>
      <c r="M989" s="12"/>
      <c r="N989" s="40">
        <f t="shared" si="48"/>
        <v>0</v>
      </c>
      <c r="O989" s="43">
        <f>0.543*M989</f>
        <v>0</v>
      </c>
      <c r="P989" s="47">
        <f>0.01032*M989</f>
        <v>0</v>
      </c>
      <c r="Q989" s="44"/>
      <c r="R989" s="45" t="s">
        <v>3158</v>
      </c>
      <c r="S989" s="45" t="s">
        <v>93</v>
      </c>
      <c r="T989" s="37" t="str">
        <f>HYPERLINK("https://kanzpp.ru/api/getInfo/image/2c782585-45e0-11f0-a27c-00155d82e908")</f>
        <v>https://kanzpp.ru/api/getInfo/image/2c782585-45e0-11f0-a27c-00155d82e908</v>
      </c>
      <c r="U989" s="37" t="s">
        <v>3158</v>
      </c>
    </row>
    <row r="990" spans="2:22" ht="21" customHeight="1" outlineLevel="4" x14ac:dyDescent="0.2">
      <c r="B990" s="36">
        <v>765</v>
      </c>
      <c r="C990" s="37" t="s">
        <v>3159</v>
      </c>
      <c r="D990" s="37" t="s">
        <v>3160</v>
      </c>
      <c r="E990" s="38" t="s">
        <v>3161</v>
      </c>
      <c r="F990" s="39"/>
      <c r="G990" s="40"/>
      <c r="H990" s="41">
        <v>8</v>
      </c>
      <c r="I990" s="40"/>
      <c r="J990" s="41">
        <v>8</v>
      </c>
      <c r="K990" s="36">
        <v>1</v>
      </c>
      <c r="L990" s="42">
        <f>(448.43*(1-O3/100))/0.75</f>
        <v>597.90666666666664</v>
      </c>
      <c r="M990" s="12"/>
      <c r="N990" s="40">
        <f t="shared" si="48"/>
        <v>0</v>
      </c>
      <c r="O990" s="43">
        <f>0.547*M990</f>
        <v>0</v>
      </c>
      <c r="P990" s="47">
        <f>0.00987*M990</f>
        <v>0</v>
      </c>
      <c r="Q990" s="44"/>
      <c r="R990" s="45" t="s">
        <v>3162</v>
      </c>
      <c r="S990" s="45" t="s">
        <v>93</v>
      </c>
      <c r="T990" s="37" t="str">
        <f>HYPERLINK("https://kanzpp.ru/api/getInfo/image/88eb986a-45e0-11f0-a27c-00155d82e908")</f>
        <v>https://kanzpp.ru/api/getInfo/image/88eb986a-45e0-11f0-a27c-00155d82e908</v>
      </c>
      <c r="U990" s="37" t="s">
        <v>3162</v>
      </c>
    </row>
    <row r="991" spans="2:22" ht="21" customHeight="1" outlineLevel="4" x14ac:dyDescent="0.2">
      <c r="B991" s="36">
        <v>766</v>
      </c>
      <c r="C991" s="37" t="s">
        <v>3163</v>
      </c>
      <c r="D991" s="37" t="s">
        <v>3164</v>
      </c>
      <c r="E991" s="38" t="s">
        <v>3165</v>
      </c>
      <c r="F991" s="39"/>
      <c r="G991" s="40"/>
      <c r="H991" s="41">
        <v>8</v>
      </c>
      <c r="I991" s="40"/>
      <c r="J991" s="41">
        <v>8</v>
      </c>
      <c r="K991" s="36">
        <v>2</v>
      </c>
      <c r="L991" s="42">
        <f>(369.88*(1-O3/100))/0.75</f>
        <v>493.17333333333335</v>
      </c>
      <c r="M991" s="12"/>
      <c r="N991" s="40">
        <f t="shared" si="48"/>
        <v>0</v>
      </c>
      <c r="O991" s="43">
        <f>0.563*M991</f>
        <v>0</v>
      </c>
      <c r="P991" s="47">
        <f>0.00987*M991</f>
        <v>0</v>
      </c>
      <c r="Q991" s="44"/>
      <c r="R991" s="45" t="s">
        <v>3166</v>
      </c>
      <c r="S991" s="45" t="s">
        <v>93</v>
      </c>
      <c r="T991" s="37" t="str">
        <f>HYPERLINK("https://kanzpp.ru/api/getInfo/image/9be91398-45e0-11f0-a27c-00155d82e908")</f>
        <v>https://kanzpp.ru/api/getInfo/image/9be91398-45e0-11f0-a27c-00155d82e908</v>
      </c>
      <c r="U991" s="37" t="s">
        <v>3166</v>
      </c>
    </row>
    <row r="992" spans="2:22" ht="21" customHeight="1" outlineLevel="4" x14ac:dyDescent="0.2">
      <c r="B992" s="36">
        <v>767</v>
      </c>
      <c r="C992" s="37" t="s">
        <v>3167</v>
      </c>
      <c r="D992" s="37" t="s">
        <v>3168</v>
      </c>
      <c r="E992" s="38" t="s">
        <v>3169</v>
      </c>
      <c r="F992" s="39"/>
      <c r="G992" s="40"/>
      <c r="H992" s="41">
        <v>8</v>
      </c>
      <c r="I992" s="40"/>
      <c r="J992" s="41">
        <v>8</v>
      </c>
      <c r="K992" s="36">
        <v>2</v>
      </c>
      <c r="L992" s="42">
        <f>(372.37*(1-O3/100))/0.75</f>
        <v>496.49333333333334</v>
      </c>
      <c r="M992" s="12"/>
      <c r="N992" s="40">
        <f t="shared" si="48"/>
        <v>0</v>
      </c>
      <c r="O992" s="48">
        <f>0.54*M992</f>
        <v>0</v>
      </c>
      <c r="P992" s="47">
        <f>0.01002*M992</f>
        <v>0</v>
      </c>
      <c r="Q992" s="44"/>
      <c r="R992" s="45" t="s">
        <v>3170</v>
      </c>
      <c r="S992" s="45" t="s">
        <v>93</v>
      </c>
      <c r="T992" s="37" t="str">
        <f>HYPERLINK("https://kanzpp.ru/api/getInfo/image/ae451ea0-45e0-11f0-a27c-00155d82e908")</f>
        <v>https://kanzpp.ru/api/getInfo/image/ae451ea0-45e0-11f0-a27c-00155d82e908</v>
      </c>
      <c r="U992" s="37" t="s">
        <v>3170</v>
      </c>
    </row>
    <row r="993" spans="2:22" ht="21" customHeight="1" outlineLevel="4" x14ac:dyDescent="0.2">
      <c r="B993" s="36">
        <v>768</v>
      </c>
      <c r="C993" s="37" t="s">
        <v>3171</v>
      </c>
      <c r="D993" s="37" t="s">
        <v>3172</v>
      </c>
      <c r="E993" s="38" t="s">
        <v>3173</v>
      </c>
      <c r="F993" s="39"/>
      <c r="G993" s="40"/>
      <c r="H993" s="41">
        <v>8</v>
      </c>
      <c r="I993" s="40"/>
      <c r="J993" s="41">
        <v>8</v>
      </c>
      <c r="K993" s="36">
        <v>1</v>
      </c>
      <c r="L993" s="42">
        <f>(403.34*(1-O3/100))/0.75</f>
        <v>537.78666666666663</v>
      </c>
      <c r="M993" s="12"/>
      <c r="N993" s="40">
        <f t="shared" si="48"/>
        <v>0</v>
      </c>
      <c r="O993" s="43">
        <f>0.557*M993</f>
        <v>0</v>
      </c>
      <c r="P993" s="47">
        <f>0.00996*M993</f>
        <v>0</v>
      </c>
      <c r="Q993" s="44"/>
      <c r="R993" s="45" t="s">
        <v>3174</v>
      </c>
      <c r="S993" s="45" t="s">
        <v>93</v>
      </c>
      <c r="T993" s="37" t="str">
        <f>HYPERLINK("https://kanzpp.ru/api/getInfo/image/3b006b41-45e1-11f0-a27c-00155d82e908")</f>
        <v>https://kanzpp.ru/api/getInfo/image/3b006b41-45e1-11f0-a27c-00155d82e908</v>
      </c>
      <c r="U993" s="37" t="s">
        <v>3174</v>
      </c>
    </row>
    <row r="994" spans="2:22" ht="21" customHeight="1" outlineLevel="4" x14ac:dyDescent="0.2">
      <c r="B994" s="36">
        <v>769</v>
      </c>
      <c r="C994" s="37" t="s">
        <v>3175</v>
      </c>
      <c r="D994" s="37" t="s">
        <v>3176</v>
      </c>
      <c r="E994" s="38" t="s">
        <v>3177</v>
      </c>
      <c r="F994" s="39"/>
      <c r="G994" s="40"/>
      <c r="H994" s="41">
        <v>8</v>
      </c>
      <c r="I994" s="40"/>
      <c r="J994" s="41">
        <v>8</v>
      </c>
      <c r="K994" s="36">
        <v>1</v>
      </c>
      <c r="L994" s="42">
        <f>(440.37*(1-O3/100))/0.75</f>
        <v>587.16</v>
      </c>
      <c r="M994" s="12"/>
      <c r="N994" s="40">
        <f t="shared" si="48"/>
        <v>0</v>
      </c>
      <c r="O994" s="43">
        <f>0.708*M994</f>
        <v>0</v>
      </c>
      <c r="P994" s="47">
        <f>0.01308*M994</f>
        <v>0</v>
      </c>
      <c r="Q994" s="44"/>
      <c r="R994" s="45" t="s">
        <v>3178</v>
      </c>
      <c r="S994" s="45" t="s">
        <v>93</v>
      </c>
      <c r="T994" s="37" t="str">
        <f>HYPERLINK("https://kanzpp.ru/api/getInfo/image/66ad849b-45e0-11f0-a27c-00155d82e908")</f>
        <v>https://kanzpp.ru/api/getInfo/image/66ad849b-45e0-11f0-a27c-00155d82e908</v>
      </c>
      <c r="U994" s="37" t="s">
        <v>3178</v>
      </c>
    </row>
    <row r="995" spans="2:22" ht="21" customHeight="1" outlineLevel="4" x14ac:dyDescent="0.2">
      <c r="B995" s="36">
        <v>770</v>
      </c>
      <c r="C995" s="37" t="s">
        <v>3179</v>
      </c>
      <c r="D995" s="37" t="s">
        <v>3180</v>
      </c>
      <c r="E995" s="38" t="s">
        <v>3181</v>
      </c>
      <c r="F995" s="39"/>
      <c r="G995" s="40"/>
      <c r="H995" s="41">
        <v>8</v>
      </c>
      <c r="I995" s="40"/>
      <c r="J995" s="41">
        <v>8</v>
      </c>
      <c r="K995" s="36">
        <v>1</v>
      </c>
      <c r="L995" s="42">
        <f>(452.25*(1-O3/100))/0.75</f>
        <v>603</v>
      </c>
      <c r="M995" s="12"/>
      <c r="N995" s="40">
        <f t="shared" si="48"/>
        <v>0</v>
      </c>
      <c r="O995" s="43">
        <f>0.721*M995</f>
        <v>0</v>
      </c>
      <c r="P995" s="47">
        <f>0.01285*M995</f>
        <v>0</v>
      </c>
      <c r="Q995" s="44"/>
      <c r="R995" s="45" t="s">
        <v>3182</v>
      </c>
      <c r="S995" s="45" t="s">
        <v>93</v>
      </c>
      <c r="T995" s="37" t="str">
        <f>HYPERLINK("https://kanzpp.ru/api/getInfo/image/bf8c5d7e-45e0-11f0-a27c-00155d82e908")</f>
        <v>https://kanzpp.ru/api/getInfo/image/bf8c5d7e-45e0-11f0-a27c-00155d82e908</v>
      </c>
      <c r="U995" s="37" t="s">
        <v>3182</v>
      </c>
    </row>
    <row r="996" spans="2:22" ht="21" customHeight="1" outlineLevel="4" x14ac:dyDescent="0.2">
      <c r="B996" s="36">
        <v>771</v>
      </c>
      <c r="C996" s="37" t="s">
        <v>3183</v>
      </c>
      <c r="D996" s="37" t="s">
        <v>3184</v>
      </c>
      <c r="E996" s="38" t="s">
        <v>3185</v>
      </c>
      <c r="F996" s="39"/>
      <c r="G996" s="40"/>
      <c r="H996" s="41">
        <v>8</v>
      </c>
      <c r="I996" s="40"/>
      <c r="J996" s="41">
        <v>8</v>
      </c>
      <c r="K996" s="36">
        <v>1</v>
      </c>
      <c r="L996" s="42">
        <f>(448.49*(1-O3/100))/0.75</f>
        <v>597.98666666666668</v>
      </c>
      <c r="M996" s="12"/>
      <c r="N996" s="40">
        <f t="shared" si="48"/>
        <v>0</v>
      </c>
      <c r="O996" s="43">
        <f>0.695*M996</f>
        <v>0</v>
      </c>
      <c r="P996" s="47">
        <f>0.01256*M996</f>
        <v>0</v>
      </c>
      <c r="Q996" s="44"/>
      <c r="R996" s="45" t="s">
        <v>3186</v>
      </c>
      <c r="S996" s="45" t="s">
        <v>93</v>
      </c>
      <c r="T996" s="37" t="str">
        <f>HYPERLINK("https://kanzpp.ru/api/getInfo/image/d095d00f-45e0-11f0-a27c-00155d82e908")</f>
        <v>https://kanzpp.ru/api/getInfo/image/d095d00f-45e0-11f0-a27c-00155d82e908</v>
      </c>
      <c r="U996" s="37" t="s">
        <v>3186</v>
      </c>
    </row>
    <row r="997" spans="2:22" ht="21" customHeight="1" outlineLevel="4" x14ac:dyDescent="0.2">
      <c r="B997" s="36">
        <v>772</v>
      </c>
      <c r="C997" s="37" t="s">
        <v>3187</v>
      </c>
      <c r="D997" s="37" t="s">
        <v>3188</v>
      </c>
      <c r="E997" s="38" t="s">
        <v>3189</v>
      </c>
      <c r="F997" s="39"/>
      <c r="G997" s="40"/>
      <c r="H997" s="41">
        <v>8</v>
      </c>
      <c r="I997" s="40"/>
      <c r="J997" s="41">
        <v>8</v>
      </c>
      <c r="K997" s="36">
        <v>1</v>
      </c>
      <c r="L997" s="42">
        <f>(452.25*(1-O3/100))/0.75</f>
        <v>603</v>
      </c>
      <c r="M997" s="12"/>
      <c r="N997" s="40">
        <f t="shared" si="48"/>
        <v>0</v>
      </c>
      <c r="O997" s="43">
        <f>0.707*M997</f>
        <v>0</v>
      </c>
      <c r="P997" s="46">
        <f>0.0134*M997</f>
        <v>0</v>
      </c>
      <c r="Q997" s="44"/>
      <c r="R997" s="45" t="s">
        <v>3190</v>
      </c>
      <c r="S997" s="45" t="s">
        <v>93</v>
      </c>
      <c r="T997" s="37" t="str">
        <f>HYPERLINK("https://kanzpp.ru/api/getInfo/image/e24c9a04-45e0-11f0-a27c-00155d82e908")</f>
        <v>https://kanzpp.ru/api/getInfo/image/e24c9a04-45e0-11f0-a27c-00155d82e908</v>
      </c>
      <c r="U997" s="37" t="s">
        <v>3190</v>
      </c>
    </row>
    <row r="998" spans="2:22" ht="21" customHeight="1" outlineLevel="4" x14ac:dyDescent="0.2">
      <c r="B998" s="36">
        <v>773</v>
      </c>
      <c r="C998" s="37" t="s">
        <v>3191</v>
      </c>
      <c r="D998" s="37" t="s">
        <v>3192</v>
      </c>
      <c r="E998" s="38" t="s">
        <v>3193</v>
      </c>
      <c r="F998" s="39"/>
      <c r="G998" s="40"/>
      <c r="H998" s="41">
        <v>8</v>
      </c>
      <c r="I998" s="40"/>
      <c r="J998" s="41">
        <v>8</v>
      </c>
      <c r="K998" s="36">
        <v>1</v>
      </c>
      <c r="L998" s="42">
        <f>(432.94*(1-O3/100))/0.75</f>
        <v>577.25333333333333</v>
      </c>
      <c r="M998" s="12"/>
      <c r="N998" s="40">
        <f t="shared" si="48"/>
        <v>0</v>
      </c>
      <c r="O998" s="43">
        <f>0.713*M998</f>
        <v>0</v>
      </c>
      <c r="P998" s="47">
        <f>0.01311*M998</f>
        <v>0</v>
      </c>
      <c r="Q998" s="44"/>
      <c r="R998" s="45" t="s">
        <v>3194</v>
      </c>
      <c r="S998" s="45" t="s">
        <v>93</v>
      </c>
      <c r="T998" s="37" t="str">
        <f>HYPERLINK("https://kanzpp.ru/api/getInfo/image/6114bb4f-8c7f-11f0-a284-00155d82e908")</f>
        <v>https://kanzpp.ru/api/getInfo/image/6114bb4f-8c7f-11f0-a284-00155d82e908</v>
      </c>
      <c r="U998" s="37" t="s">
        <v>3194</v>
      </c>
    </row>
    <row r="999" spans="2:22" ht="21" customHeight="1" outlineLevel="4" x14ac:dyDescent="0.2">
      <c r="B999" s="36">
        <v>774</v>
      </c>
      <c r="C999" s="37" t="s">
        <v>3195</v>
      </c>
      <c r="D999" s="37" t="s">
        <v>3196</v>
      </c>
      <c r="E999" s="38" t="s">
        <v>3197</v>
      </c>
      <c r="F999" s="39"/>
      <c r="G999" s="40"/>
      <c r="H999" s="41">
        <v>8</v>
      </c>
      <c r="I999" s="40"/>
      <c r="J999" s="41">
        <v>8</v>
      </c>
      <c r="K999" s="36">
        <v>1</v>
      </c>
      <c r="L999" s="42">
        <f>(452.25*(1-O3/100))/0.75</f>
        <v>603</v>
      </c>
      <c r="M999" s="12"/>
      <c r="N999" s="40">
        <f t="shared" si="48"/>
        <v>0</v>
      </c>
      <c r="O999" s="43">
        <f>0.703*M999</f>
        <v>0</v>
      </c>
      <c r="P999" s="47">
        <f>0.01309*M999</f>
        <v>0</v>
      </c>
      <c r="Q999" s="44"/>
      <c r="R999" s="45" t="s">
        <v>3198</v>
      </c>
      <c r="S999" s="45" t="s">
        <v>93</v>
      </c>
      <c r="T999" s="37" t="str">
        <f>HYPERLINK("https://kanzpp.ru/api/getInfo/image/9546a90b-8c81-11f0-a284-00155d82e908")</f>
        <v>https://kanzpp.ru/api/getInfo/image/9546a90b-8c81-11f0-a284-00155d82e908</v>
      </c>
      <c r="U999" s="37" t="s">
        <v>3198</v>
      </c>
    </row>
    <row r="1000" spans="2:22" ht="21" customHeight="1" outlineLevel="4" x14ac:dyDescent="0.2">
      <c r="B1000" s="36">
        <v>775</v>
      </c>
      <c r="C1000" s="37" t="s">
        <v>3199</v>
      </c>
      <c r="D1000" s="37" t="s">
        <v>3200</v>
      </c>
      <c r="E1000" s="38" t="s">
        <v>3201</v>
      </c>
      <c r="F1000" s="39"/>
      <c r="G1000" s="40"/>
      <c r="H1000" s="41">
        <v>4</v>
      </c>
      <c r="I1000" s="40"/>
      <c r="J1000" s="41">
        <v>4</v>
      </c>
      <c r="K1000" s="36">
        <v>1</v>
      </c>
      <c r="L1000" s="42">
        <f>(549.18*(1-O3/100))/0.75</f>
        <v>732.2399999999999</v>
      </c>
      <c r="M1000" s="12"/>
      <c r="N1000" s="40">
        <f t="shared" si="48"/>
        <v>0</v>
      </c>
      <c r="O1000" s="48">
        <f>0.85*M1000</f>
        <v>0</v>
      </c>
      <c r="P1000" s="47">
        <f>0.01578*M1000</f>
        <v>0</v>
      </c>
      <c r="Q1000" s="44"/>
      <c r="R1000" s="45" t="s">
        <v>3202</v>
      </c>
      <c r="S1000" s="45" t="s">
        <v>93</v>
      </c>
      <c r="T1000" s="37" t="str">
        <f>HYPERLINK("https://kanzpp.ru/api/getInfo/image/779390ad-45e0-11f0-a27c-00155d82e908")</f>
        <v>https://kanzpp.ru/api/getInfo/image/779390ad-45e0-11f0-a27c-00155d82e908</v>
      </c>
      <c r="U1000" s="37" t="s">
        <v>3202</v>
      </c>
    </row>
    <row r="1001" spans="2:22" ht="21" customHeight="1" outlineLevel="4" x14ac:dyDescent="0.2">
      <c r="B1001" s="36">
        <v>776</v>
      </c>
      <c r="C1001" s="37" t="s">
        <v>3203</v>
      </c>
      <c r="D1001" s="37" t="s">
        <v>3204</v>
      </c>
      <c r="E1001" s="38" t="s">
        <v>3205</v>
      </c>
      <c r="F1001" s="39"/>
      <c r="G1001" s="40"/>
      <c r="H1001" s="41">
        <v>4</v>
      </c>
      <c r="I1001" s="40"/>
      <c r="J1001" s="41">
        <v>4</v>
      </c>
      <c r="K1001" s="36">
        <v>1</v>
      </c>
      <c r="L1001" s="42">
        <f>(563.65*(1-O3/100))/0.75</f>
        <v>751.5333333333333</v>
      </c>
      <c r="M1001" s="12"/>
      <c r="N1001" s="40">
        <f t="shared" si="48"/>
        <v>0</v>
      </c>
      <c r="O1001" s="43">
        <f>0.881*M1001</f>
        <v>0</v>
      </c>
      <c r="P1001" s="47">
        <f>0.01653*M1001</f>
        <v>0</v>
      </c>
      <c r="Q1001" s="44"/>
      <c r="R1001" s="45" t="s">
        <v>3206</v>
      </c>
      <c r="S1001" s="45" t="s">
        <v>93</v>
      </c>
      <c r="T1001" s="37" t="str">
        <f>HYPERLINK("https://kanzpp.ru/api/getInfo/image/f6c14c72-45e0-11f0-a27c-00155d82e908")</f>
        <v>https://kanzpp.ru/api/getInfo/image/f6c14c72-45e0-11f0-a27c-00155d82e908</v>
      </c>
      <c r="U1001" s="37" t="s">
        <v>3206</v>
      </c>
    </row>
    <row r="1002" spans="2:22" ht="21" customHeight="1" outlineLevel="4" x14ac:dyDescent="0.2">
      <c r="B1002" s="36">
        <v>777</v>
      </c>
      <c r="C1002" s="37" t="s">
        <v>3207</v>
      </c>
      <c r="D1002" s="37" t="s">
        <v>3208</v>
      </c>
      <c r="E1002" s="38" t="s">
        <v>3209</v>
      </c>
      <c r="F1002" s="39"/>
      <c r="G1002" s="40"/>
      <c r="H1002" s="41">
        <v>4</v>
      </c>
      <c r="I1002" s="40"/>
      <c r="J1002" s="41">
        <v>4</v>
      </c>
      <c r="K1002" s="36">
        <v>1</v>
      </c>
      <c r="L1002" s="42">
        <f>(558.67*(1-O3/100))/0.75</f>
        <v>744.89333333333332</v>
      </c>
      <c r="M1002" s="12"/>
      <c r="N1002" s="40">
        <f t="shared" si="48"/>
        <v>0</v>
      </c>
      <c r="O1002" s="43">
        <f>0.844*M1002</f>
        <v>0</v>
      </c>
      <c r="P1002" s="47">
        <f>0.01592*M1002</f>
        <v>0</v>
      </c>
      <c r="Q1002" s="44"/>
      <c r="R1002" s="45" t="s">
        <v>3210</v>
      </c>
      <c r="S1002" s="45" t="s">
        <v>93</v>
      </c>
      <c r="T1002" s="37" t="str">
        <f>HYPERLINK("https://kanzpp.ru/api/getInfo/image/0985681a-45e1-11f0-a27c-00155d82e908")</f>
        <v>https://kanzpp.ru/api/getInfo/image/0985681a-45e1-11f0-a27c-00155d82e908</v>
      </c>
      <c r="U1002" s="37" t="s">
        <v>3210</v>
      </c>
    </row>
    <row r="1003" spans="2:22" ht="21" customHeight="1" outlineLevel="4" x14ac:dyDescent="0.2">
      <c r="B1003" s="36">
        <v>778</v>
      </c>
      <c r="C1003" s="37" t="s">
        <v>3211</v>
      </c>
      <c r="D1003" s="37" t="s">
        <v>3212</v>
      </c>
      <c r="E1003" s="38" t="s">
        <v>3213</v>
      </c>
      <c r="F1003" s="39"/>
      <c r="G1003" s="40"/>
      <c r="H1003" s="41">
        <v>4</v>
      </c>
      <c r="I1003" s="40"/>
      <c r="J1003" s="41">
        <v>4</v>
      </c>
      <c r="K1003" s="36">
        <v>1</v>
      </c>
      <c r="L1003" s="42">
        <f>(563.65*(1-O3/100))/0.75</f>
        <v>751.5333333333333</v>
      </c>
      <c r="M1003" s="12"/>
      <c r="N1003" s="40">
        <f t="shared" si="48"/>
        <v>0</v>
      </c>
      <c r="O1003" s="43">
        <f>0.847*M1003</f>
        <v>0</v>
      </c>
      <c r="P1003" s="47">
        <f>0.01639*M1003</f>
        <v>0</v>
      </c>
      <c r="Q1003" s="44"/>
      <c r="R1003" s="45" t="s">
        <v>3214</v>
      </c>
      <c r="S1003" s="45" t="s">
        <v>93</v>
      </c>
      <c r="T1003" s="37" t="str">
        <f>HYPERLINK("https://kanzpp.ru/api/getInfo/image/2686fdcd-45e1-11f0-a27c-00155d82e908")</f>
        <v>https://kanzpp.ru/api/getInfo/image/2686fdcd-45e1-11f0-a27c-00155d82e908</v>
      </c>
      <c r="U1003" s="37" t="s">
        <v>3214</v>
      </c>
    </row>
    <row r="1004" spans="2:22" ht="21" customHeight="1" outlineLevel="4" x14ac:dyDescent="0.2">
      <c r="B1004" s="55">
        <v>779</v>
      </c>
      <c r="C1004" s="56" t="s">
        <v>3215</v>
      </c>
      <c r="D1004" s="56" t="s">
        <v>3216</v>
      </c>
      <c r="E1004" s="57" t="s">
        <v>3217</v>
      </c>
      <c r="F1004" s="58"/>
      <c r="G1004" s="59"/>
      <c r="H1004" s="60">
        <v>8</v>
      </c>
      <c r="I1004" s="59"/>
      <c r="J1004" s="60">
        <v>560</v>
      </c>
      <c r="K1004" s="55">
        <v>2</v>
      </c>
      <c r="L1004" s="61">
        <f>(346.93*(1-O3/100))/0.75</f>
        <v>462.57333333333332</v>
      </c>
      <c r="M1004" s="12"/>
      <c r="N1004" s="59">
        <f t="shared" si="48"/>
        <v>0</v>
      </c>
      <c r="O1004" s="62">
        <f>0.415*M1004</f>
        <v>0</v>
      </c>
      <c r="P1004" s="63">
        <f>0.00693*M1004</f>
        <v>0</v>
      </c>
      <c r="Q1004" s="64" t="s">
        <v>344</v>
      </c>
      <c r="R1004" s="65" t="s">
        <v>3218</v>
      </c>
      <c r="S1004" s="65" t="s">
        <v>93</v>
      </c>
      <c r="T1004" s="56" t="str">
        <f>HYPERLINK("https://kanzpp.ru/api/getInfo/image/fa97fc83-c43f-11f0-a289-00155d82e908")</f>
        <v>https://kanzpp.ru/api/getInfo/image/fa97fc83-c43f-11f0-a289-00155d82e908</v>
      </c>
      <c r="U1004" s="56" t="s">
        <v>3218</v>
      </c>
      <c r="V1004" s="66"/>
    </row>
    <row r="1005" spans="2:22" ht="21" customHeight="1" outlineLevel="4" x14ac:dyDescent="0.2">
      <c r="B1005" s="55">
        <v>780</v>
      </c>
      <c r="C1005" s="56" t="s">
        <v>3219</v>
      </c>
      <c r="D1005" s="56" t="s">
        <v>3220</v>
      </c>
      <c r="E1005" s="57" t="s">
        <v>3221</v>
      </c>
      <c r="F1005" s="58"/>
      <c r="G1005" s="59"/>
      <c r="H1005" s="60">
        <v>8</v>
      </c>
      <c r="I1005" s="59"/>
      <c r="J1005" s="60">
        <v>583</v>
      </c>
      <c r="K1005" s="55">
        <v>2</v>
      </c>
      <c r="L1005" s="61">
        <f>(356.64*(1-O3/100))/0.75</f>
        <v>475.52</v>
      </c>
      <c r="M1005" s="12"/>
      <c r="N1005" s="59">
        <f t="shared" si="48"/>
        <v>0</v>
      </c>
      <c r="O1005" s="62">
        <f>0.432*M1005</f>
        <v>0</v>
      </c>
      <c r="P1005" s="63">
        <f>0.00665*M1005</f>
        <v>0</v>
      </c>
      <c r="Q1005" s="64" t="s">
        <v>344</v>
      </c>
      <c r="R1005" s="65" t="s">
        <v>3222</v>
      </c>
      <c r="S1005" s="65" t="s">
        <v>93</v>
      </c>
      <c r="T1005" s="56" t="str">
        <f>HYPERLINK("https://kanzpp.ru/api/getInfo/image/3f8fe3d1-c440-11f0-a289-00155d82e908")</f>
        <v>https://kanzpp.ru/api/getInfo/image/3f8fe3d1-c440-11f0-a289-00155d82e908</v>
      </c>
      <c r="U1005" s="56" t="s">
        <v>3222</v>
      </c>
      <c r="V1005" s="66"/>
    </row>
    <row r="1006" spans="2:22" ht="21" customHeight="1" outlineLevel="4" x14ac:dyDescent="0.2">
      <c r="B1006" s="55">
        <v>781</v>
      </c>
      <c r="C1006" s="56" t="s">
        <v>3223</v>
      </c>
      <c r="D1006" s="56" t="s">
        <v>3224</v>
      </c>
      <c r="E1006" s="57" t="s">
        <v>3225</v>
      </c>
      <c r="F1006" s="58"/>
      <c r="G1006" s="59"/>
      <c r="H1006" s="60">
        <v>8</v>
      </c>
      <c r="I1006" s="59"/>
      <c r="J1006" s="60">
        <v>344</v>
      </c>
      <c r="K1006" s="55">
        <v>2</v>
      </c>
      <c r="L1006" s="61">
        <f>(356.64*(1-O3/100))/0.75</f>
        <v>475.52</v>
      </c>
      <c r="M1006" s="12"/>
      <c r="N1006" s="59">
        <f t="shared" si="48"/>
        <v>0</v>
      </c>
      <c r="O1006" s="62">
        <f>0.427*M1006</f>
        <v>0</v>
      </c>
      <c r="P1006" s="63">
        <f>0.00693*M1006</f>
        <v>0</v>
      </c>
      <c r="Q1006" s="64" t="s">
        <v>344</v>
      </c>
      <c r="R1006" s="65" t="s">
        <v>3226</v>
      </c>
      <c r="S1006" s="65" t="s">
        <v>93</v>
      </c>
      <c r="T1006" s="56" t="str">
        <f>HYPERLINK("https://kanzpp.ru/api/getInfo/image/735c7b49-c440-11f0-a289-00155d82e908")</f>
        <v>https://kanzpp.ru/api/getInfo/image/735c7b49-c440-11f0-a289-00155d82e908</v>
      </c>
      <c r="U1006" s="56" t="s">
        <v>3226</v>
      </c>
      <c r="V1006" s="66"/>
    </row>
    <row r="1007" spans="2:22" ht="21" customHeight="1" outlineLevel="4" x14ac:dyDescent="0.2">
      <c r="B1007" s="55">
        <v>782</v>
      </c>
      <c r="C1007" s="56" t="s">
        <v>3227</v>
      </c>
      <c r="D1007" s="56" t="s">
        <v>3228</v>
      </c>
      <c r="E1007" s="57" t="s">
        <v>3229</v>
      </c>
      <c r="F1007" s="58"/>
      <c r="G1007" s="59"/>
      <c r="H1007" s="60">
        <v>8</v>
      </c>
      <c r="I1007" s="59"/>
      <c r="J1007" s="60">
        <v>352</v>
      </c>
      <c r="K1007" s="55">
        <v>2</v>
      </c>
      <c r="L1007" s="61">
        <f>(356.64*(1-O3/100))/0.75</f>
        <v>475.52</v>
      </c>
      <c r="M1007" s="12"/>
      <c r="N1007" s="59">
        <f t="shared" si="48"/>
        <v>0</v>
      </c>
      <c r="O1007" s="62">
        <f>0.426*M1007</f>
        <v>0</v>
      </c>
      <c r="P1007" s="63">
        <f>0.00711*M1007</f>
        <v>0</v>
      </c>
      <c r="Q1007" s="64" t="s">
        <v>344</v>
      </c>
      <c r="R1007" s="65" t="s">
        <v>3230</v>
      </c>
      <c r="S1007" s="65" t="s">
        <v>93</v>
      </c>
      <c r="T1007" s="56" t="str">
        <f>HYPERLINK("https://kanzpp.ru/api/getInfo/image/abf2cd53-c440-11f0-a289-00155d82e908")</f>
        <v>https://kanzpp.ru/api/getInfo/image/abf2cd53-c440-11f0-a289-00155d82e908</v>
      </c>
      <c r="U1007" s="56" t="s">
        <v>3230</v>
      </c>
      <c r="V1007" s="66"/>
    </row>
    <row r="1008" spans="2:22" ht="22.95" customHeight="1" outlineLevel="3" x14ac:dyDescent="0.2">
      <c r="B1008" s="81" t="s">
        <v>398</v>
      </c>
      <c r="C1008" s="81"/>
      <c r="D1008" s="81"/>
      <c r="L1008">
        <v>0</v>
      </c>
    </row>
    <row r="1009" spans="2:22" ht="21" customHeight="1" outlineLevel="4" x14ac:dyDescent="0.2">
      <c r="B1009" s="36">
        <v>783</v>
      </c>
      <c r="C1009" s="37" t="s">
        <v>3231</v>
      </c>
      <c r="D1009" s="37" t="s">
        <v>3232</v>
      </c>
      <c r="E1009" s="38" t="s">
        <v>3233</v>
      </c>
      <c r="F1009" s="39"/>
      <c r="G1009" s="40"/>
      <c r="H1009" s="41">
        <v>44</v>
      </c>
      <c r="I1009" s="40"/>
      <c r="J1009" s="50">
        <v>2499</v>
      </c>
      <c r="K1009" s="36">
        <v>25</v>
      </c>
      <c r="L1009" s="42">
        <f>(29.59*(1-O3/100))/0.75</f>
        <v>39.453333333333333</v>
      </c>
      <c r="M1009" s="12"/>
      <c r="N1009" s="40">
        <f>L1009*M1009</f>
        <v>0</v>
      </c>
      <c r="O1009" s="43">
        <f>0.042*M1009</f>
        <v>0</v>
      </c>
      <c r="P1009" s="47">
        <f>0.00032*M1009</f>
        <v>0</v>
      </c>
      <c r="Q1009" s="44"/>
      <c r="R1009" s="45" t="s">
        <v>3234</v>
      </c>
      <c r="S1009" s="45" t="s">
        <v>29</v>
      </c>
      <c r="T1009" s="37" t="str">
        <f>HYPERLINK("https://kanzpp.ru/api/getInfo/image/79af3f1c-7b6b-11e7-8697-5cf3fc4a2490")</f>
        <v>https://kanzpp.ru/api/getInfo/image/79af3f1c-7b6b-11e7-8697-5cf3fc4a2490</v>
      </c>
      <c r="U1009" s="37"/>
    </row>
    <row r="1010" spans="2:22" ht="21" customHeight="1" outlineLevel="4" x14ac:dyDescent="0.2">
      <c r="B1010" s="36">
        <v>784</v>
      </c>
      <c r="C1010" s="37" t="s">
        <v>3235</v>
      </c>
      <c r="D1010" s="37" t="s">
        <v>3236</v>
      </c>
      <c r="E1010" s="38" t="s">
        <v>3237</v>
      </c>
      <c r="F1010" s="39"/>
      <c r="G1010" s="40"/>
      <c r="H1010" s="41">
        <v>44</v>
      </c>
      <c r="I1010" s="40"/>
      <c r="J1010" s="40" t="s">
        <v>144</v>
      </c>
      <c r="K1010" s="36">
        <v>20</v>
      </c>
      <c r="L1010" s="42">
        <f>(30.49*(1-O3/100))/0.75</f>
        <v>40.653333333333329</v>
      </c>
      <c r="M1010" s="12"/>
      <c r="N1010" s="40">
        <f>L1010*M1010</f>
        <v>0</v>
      </c>
      <c r="O1010" s="43">
        <f>0.042*M1010</f>
        <v>0</v>
      </c>
      <c r="P1010" s="47">
        <f>0.00033*M1010</f>
        <v>0</v>
      </c>
      <c r="Q1010" s="44"/>
      <c r="R1010" s="45" t="s">
        <v>3238</v>
      </c>
      <c r="S1010" s="45" t="s">
        <v>29</v>
      </c>
      <c r="T1010" s="37" t="str">
        <f>HYPERLINK("https://kanzpp.ru/api/getInfo/image/e23626bb-3f94-11e7-977d-5cf3fc4a2490")</f>
        <v>https://kanzpp.ru/api/getInfo/image/e23626bb-3f94-11e7-977d-5cf3fc4a2490</v>
      </c>
      <c r="U1010" s="37"/>
    </row>
    <row r="1011" spans="2:22" ht="21" customHeight="1" outlineLevel="4" x14ac:dyDescent="0.2">
      <c r="B1011" s="36">
        <v>785</v>
      </c>
      <c r="C1011" s="37" t="s">
        <v>3239</v>
      </c>
      <c r="D1011" s="37" t="s">
        <v>3240</v>
      </c>
      <c r="E1011" s="38" t="s">
        <v>3241</v>
      </c>
      <c r="F1011" s="39"/>
      <c r="G1011" s="40"/>
      <c r="H1011" s="41">
        <v>44</v>
      </c>
      <c r="I1011" s="40"/>
      <c r="J1011" s="40" t="s">
        <v>144</v>
      </c>
      <c r="K1011" s="36">
        <v>20</v>
      </c>
      <c r="L1011" s="42">
        <f>(31.97*(1-O3/100))/0.75</f>
        <v>42.626666666666665</v>
      </c>
      <c r="M1011" s="12"/>
      <c r="N1011" s="40">
        <f>L1011*M1011</f>
        <v>0</v>
      </c>
      <c r="O1011" s="43">
        <f>0.037*M1011</f>
        <v>0</v>
      </c>
      <c r="P1011" s="46">
        <f>0.0006*M1011</f>
        <v>0</v>
      </c>
      <c r="Q1011" s="44"/>
      <c r="R1011" s="45" t="s">
        <v>3242</v>
      </c>
      <c r="S1011" s="45" t="s">
        <v>29</v>
      </c>
      <c r="T1011" s="37" t="str">
        <f>HYPERLINK("https://kanzpp.ru/api/getInfo/image/e2a03f87-a3df-11ea-a248-ac1f6b442184")</f>
        <v>https://kanzpp.ru/api/getInfo/image/e2a03f87-a3df-11ea-a248-ac1f6b442184</v>
      </c>
      <c r="U1011" s="37"/>
    </row>
    <row r="1012" spans="2:22" ht="21" customHeight="1" outlineLevel="4" x14ac:dyDescent="0.2">
      <c r="B1012" s="36">
        <v>786</v>
      </c>
      <c r="C1012" s="37" t="s">
        <v>3243</v>
      </c>
      <c r="D1012" s="37" t="s">
        <v>3244</v>
      </c>
      <c r="E1012" s="38" t="s">
        <v>3245</v>
      </c>
      <c r="F1012" s="39"/>
      <c r="G1012" s="40"/>
      <c r="H1012" s="41">
        <v>44</v>
      </c>
      <c r="I1012" s="40"/>
      <c r="J1012" s="40" t="s">
        <v>144</v>
      </c>
      <c r="K1012" s="36">
        <v>25</v>
      </c>
      <c r="L1012" s="42">
        <f>(28.07*(1-O3/100))/0.75</f>
        <v>37.426666666666669</v>
      </c>
      <c r="M1012" s="12"/>
      <c r="N1012" s="40">
        <f>L1012*M1012</f>
        <v>0</v>
      </c>
      <c r="O1012" s="43">
        <f>0.042*M1012</f>
        <v>0</v>
      </c>
      <c r="P1012" s="47">
        <f>0.00033*M1012</f>
        <v>0</v>
      </c>
      <c r="Q1012" s="44"/>
      <c r="R1012" s="45" t="s">
        <v>3246</v>
      </c>
      <c r="S1012" s="45" t="s">
        <v>29</v>
      </c>
      <c r="T1012" s="37" t="str">
        <f>HYPERLINK("https://kanzpp.ru/api/getInfo/image/f3b141bf-3f94-11e7-977d-5cf3fc4a2490")</f>
        <v>https://kanzpp.ru/api/getInfo/image/f3b141bf-3f94-11e7-977d-5cf3fc4a2490</v>
      </c>
      <c r="U1012" s="37"/>
    </row>
    <row r="1013" spans="2:22" ht="21" customHeight="1" outlineLevel="4" x14ac:dyDescent="0.2">
      <c r="B1013" s="36">
        <v>787</v>
      </c>
      <c r="C1013" s="37" t="s">
        <v>3247</v>
      </c>
      <c r="D1013" s="37" t="s">
        <v>3248</v>
      </c>
      <c r="E1013" s="38" t="s">
        <v>3249</v>
      </c>
      <c r="F1013" s="39"/>
      <c r="G1013" s="40"/>
      <c r="H1013" s="41">
        <v>44</v>
      </c>
      <c r="I1013" s="40"/>
      <c r="J1013" s="41">
        <v>2</v>
      </c>
      <c r="K1013" s="36">
        <v>2</v>
      </c>
      <c r="L1013" s="42">
        <f>(31.97*(1-O3/100))/0.75</f>
        <v>42.626666666666665</v>
      </c>
      <c r="M1013" s="12"/>
      <c r="N1013" s="40">
        <f>L1013*M1013</f>
        <v>0</v>
      </c>
      <c r="O1013" s="48">
        <f>0.03*M1013</f>
        <v>0</v>
      </c>
      <c r="P1013" s="47">
        <f>0.00016*M1013</f>
        <v>0</v>
      </c>
      <c r="Q1013" s="44"/>
      <c r="R1013" s="45" t="s">
        <v>3250</v>
      </c>
      <c r="S1013" s="45" t="s">
        <v>29</v>
      </c>
      <c r="T1013" s="37" t="str">
        <f>HYPERLINK("https://kanzpp.ru/api/getInfo/image/889a5449-548e-11ea-a241-ac1f6b442184")</f>
        <v>https://kanzpp.ru/api/getInfo/image/889a5449-548e-11ea-a241-ac1f6b442184</v>
      </c>
      <c r="U1013" s="37"/>
    </row>
    <row r="1014" spans="2:22" ht="22.95" customHeight="1" outlineLevel="3" x14ac:dyDescent="0.2">
      <c r="B1014" s="81" t="s">
        <v>3251</v>
      </c>
      <c r="C1014" s="81"/>
      <c r="D1014" s="81"/>
      <c r="L1014">
        <v>0</v>
      </c>
    </row>
    <row r="1015" spans="2:22" ht="21" customHeight="1" outlineLevel="4" x14ac:dyDescent="0.2">
      <c r="B1015" s="5">
        <v>788</v>
      </c>
      <c r="C1015" s="6" t="s">
        <v>3252</v>
      </c>
      <c r="D1015" s="6" t="s">
        <v>3253</v>
      </c>
      <c r="E1015" s="7" t="s">
        <v>3254</v>
      </c>
      <c r="F1015" s="13"/>
      <c r="G1015" s="14"/>
      <c r="H1015" s="15">
        <v>64</v>
      </c>
      <c r="I1015" s="14"/>
      <c r="J1015" s="14" t="s">
        <v>144</v>
      </c>
      <c r="K1015" s="5">
        <v>10</v>
      </c>
      <c r="L1015" s="16">
        <v>26.533333333333331</v>
      </c>
      <c r="M1015" s="12"/>
      <c r="N1015" s="14">
        <f t="shared" ref="N1015:N1030" si="49">L1015*M1015</f>
        <v>0</v>
      </c>
      <c r="O1015" s="23">
        <f>0.059*M1015</f>
        <v>0</v>
      </c>
      <c r="P1015" s="24">
        <f>0.00051*M1015</f>
        <v>0</v>
      </c>
      <c r="Q1015" s="25"/>
      <c r="R1015" s="26" t="s">
        <v>3255</v>
      </c>
      <c r="S1015" s="26" t="s">
        <v>29</v>
      </c>
      <c r="T1015" s="6" t="str">
        <f>HYPERLINK("https://kanzpp.ru/api/getInfo/image/a9aa846c-b680-11ed-a230-00155d82e902")</f>
        <v>https://kanzpp.ru/api/getInfo/image/a9aa846c-b680-11ed-a230-00155d82e902</v>
      </c>
      <c r="U1015" s="6"/>
      <c r="V1015" s="33" t="s">
        <v>35</v>
      </c>
    </row>
    <row r="1016" spans="2:22" ht="21" customHeight="1" outlineLevel="4" x14ac:dyDescent="0.2">
      <c r="B1016" s="5">
        <v>789</v>
      </c>
      <c r="C1016" s="6" t="s">
        <v>3256</v>
      </c>
      <c r="D1016" s="6" t="s">
        <v>3257</v>
      </c>
      <c r="E1016" s="7" t="s">
        <v>3258</v>
      </c>
      <c r="F1016" s="13"/>
      <c r="G1016" s="14"/>
      <c r="H1016" s="15">
        <v>64</v>
      </c>
      <c r="I1016" s="14"/>
      <c r="J1016" s="14" t="s">
        <v>144</v>
      </c>
      <c r="K1016" s="5">
        <v>10</v>
      </c>
      <c r="L1016" s="16">
        <v>26.533333333333331</v>
      </c>
      <c r="M1016" s="12"/>
      <c r="N1016" s="14">
        <f t="shared" si="49"/>
        <v>0</v>
      </c>
      <c r="O1016" s="23">
        <f>0.057*M1016</f>
        <v>0</v>
      </c>
      <c r="P1016" s="24">
        <f>0.00065*M1016</f>
        <v>0</v>
      </c>
      <c r="Q1016" s="25"/>
      <c r="R1016" s="26" t="s">
        <v>3259</v>
      </c>
      <c r="S1016" s="26" t="s">
        <v>29</v>
      </c>
      <c r="T1016" s="6" t="str">
        <f>HYPERLINK("https://kanzpp.ru/api/getInfo/image/767169a8-b680-11ed-a230-00155d82e902")</f>
        <v>https://kanzpp.ru/api/getInfo/image/767169a8-b680-11ed-a230-00155d82e902</v>
      </c>
      <c r="U1016" s="6"/>
      <c r="V1016" s="33" t="s">
        <v>35</v>
      </c>
    </row>
    <row r="1017" spans="2:22" ht="21" customHeight="1" outlineLevel="4" x14ac:dyDescent="0.2">
      <c r="B1017" s="5">
        <v>790</v>
      </c>
      <c r="C1017" s="6" t="s">
        <v>3260</v>
      </c>
      <c r="D1017" s="6" t="s">
        <v>3261</v>
      </c>
      <c r="E1017" s="7" t="s">
        <v>3262</v>
      </c>
      <c r="F1017" s="13"/>
      <c r="G1017" s="14"/>
      <c r="H1017" s="15">
        <v>64</v>
      </c>
      <c r="I1017" s="14"/>
      <c r="J1017" s="14" t="s">
        <v>144</v>
      </c>
      <c r="K1017" s="5">
        <v>10</v>
      </c>
      <c r="L1017" s="16">
        <v>26.533333333333331</v>
      </c>
      <c r="M1017" s="12"/>
      <c r="N1017" s="14">
        <f t="shared" si="49"/>
        <v>0</v>
      </c>
      <c r="O1017" s="23">
        <f>0.058*M1017</f>
        <v>0</v>
      </c>
      <c r="P1017" s="24">
        <f>0.00069*M1017</f>
        <v>0</v>
      </c>
      <c r="Q1017" s="25"/>
      <c r="R1017" s="26" t="s">
        <v>3263</v>
      </c>
      <c r="S1017" s="26" t="s">
        <v>29</v>
      </c>
      <c r="T1017" s="6" t="str">
        <f>HYPERLINK("https://kanzpp.ru/api/getInfo/image/dc03822b-b680-11ed-a230-00155d82e902")</f>
        <v>https://kanzpp.ru/api/getInfo/image/dc03822b-b680-11ed-a230-00155d82e902</v>
      </c>
      <c r="U1017" s="6"/>
      <c r="V1017" s="33" t="s">
        <v>35</v>
      </c>
    </row>
    <row r="1018" spans="2:22" ht="21" customHeight="1" outlineLevel="4" x14ac:dyDescent="0.2">
      <c r="B1018" s="5">
        <v>791</v>
      </c>
      <c r="C1018" s="6" t="s">
        <v>3264</v>
      </c>
      <c r="D1018" s="6" t="s">
        <v>3265</v>
      </c>
      <c r="E1018" s="7" t="s">
        <v>3266</v>
      </c>
      <c r="F1018" s="13"/>
      <c r="G1018" s="14"/>
      <c r="H1018" s="15">
        <v>64</v>
      </c>
      <c r="I1018" s="14"/>
      <c r="J1018" s="14" t="s">
        <v>144</v>
      </c>
      <c r="K1018" s="5">
        <v>10</v>
      </c>
      <c r="L1018" s="16">
        <v>26.533333333333331</v>
      </c>
      <c r="M1018" s="12"/>
      <c r="N1018" s="14">
        <f t="shared" si="49"/>
        <v>0</v>
      </c>
      <c r="O1018" s="23">
        <f>0.058*M1018</f>
        <v>0</v>
      </c>
      <c r="P1018" s="24">
        <f>0.00043*M1018</f>
        <v>0</v>
      </c>
      <c r="Q1018" s="25"/>
      <c r="R1018" s="26" t="s">
        <v>3267</v>
      </c>
      <c r="S1018" s="26" t="s">
        <v>29</v>
      </c>
      <c r="T1018" s="6" t="str">
        <f>HYPERLINK("https://kanzpp.ru/api/getInfo/image/3f0ab72f-b681-11ed-a230-00155d82e902")</f>
        <v>https://kanzpp.ru/api/getInfo/image/3f0ab72f-b681-11ed-a230-00155d82e902</v>
      </c>
      <c r="U1018" s="6"/>
      <c r="V1018" s="33" t="s">
        <v>35</v>
      </c>
    </row>
    <row r="1019" spans="2:22" ht="21" customHeight="1" outlineLevel="4" x14ac:dyDescent="0.2">
      <c r="B1019" s="5">
        <v>792</v>
      </c>
      <c r="C1019" s="6" t="s">
        <v>3268</v>
      </c>
      <c r="D1019" s="6" t="s">
        <v>3269</v>
      </c>
      <c r="E1019" s="7" t="s">
        <v>3270</v>
      </c>
      <c r="F1019" s="13"/>
      <c r="G1019" s="14"/>
      <c r="H1019" s="15">
        <v>64</v>
      </c>
      <c r="I1019" s="14"/>
      <c r="J1019" s="15">
        <v>380</v>
      </c>
      <c r="K1019" s="5">
        <v>10</v>
      </c>
      <c r="L1019" s="16">
        <v>26.533333333333331</v>
      </c>
      <c r="M1019" s="12"/>
      <c r="N1019" s="14">
        <f t="shared" si="49"/>
        <v>0</v>
      </c>
      <c r="O1019" s="28">
        <f>0.06*M1019</f>
        <v>0</v>
      </c>
      <c r="P1019" s="24">
        <f>0.00043*M1019</f>
        <v>0</v>
      </c>
      <c r="Q1019" s="25"/>
      <c r="R1019" s="26" t="s">
        <v>3271</v>
      </c>
      <c r="S1019" s="26" t="s">
        <v>29</v>
      </c>
      <c r="T1019" s="6" t="str">
        <f>HYPERLINK("https://kanzpp.ru/api/getInfo/image/5a3d3d4d-e4d7-11e9-a235-ac1f6b442184")</f>
        <v>https://kanzpp.ru/api/getInfo/image/5a3d3d4d-e4d7-11e9-a235-ac1f6b442184</v>
      </c>
      <c r="U1019" s="6"/>
      <c r="V1019" s="33" t="s">
        <v>35</v>
      </c>
    </row>
    <row r="1020" spans="2:22" ht="21" customHeight="1" outlineLevel="4" x14ac:dyDescent="0.2">
      <c r="B1020" s="5">
        <v>793</v>
      </c>
      <c r="C1020" s="6" t="s">
        <v>3272</v>
      </c>
      <c r="D1020" s="6" t="s">
        <v>3273</v>
      </c>
      <c r="E1020" s="7" t="s">
        <v>3274</v>
      </c>
      <c r="F1020" s="13"/>
      <c r="G1020" s="14"/>
      <c r="H1020" s="15">
        <v>64</v>
      </c>
      <c r="I1020" s="14"/>
      <c r="J1020" s="14" t="s">
        <v>144</v>
      </c>
      <c r="K1020" s="5">
        <v>10</v>
      </c>
      <c r="L1020" s="16">
        <v>26.533333333333331</v>
      </c>
      <c r="M1020" s="12"/>
      <c r="N1020" s="14">
        <f t="shared" si="49"/>
        <v>0</v>
      </c>
      <c r="O1020" s="28">
        <f>0.06*M1020</f>
        <v>0</v>
      </c>
      <c r="P1020" s="24">
        <f>0.00043*M1020</f>
        <v>0</v>
      </c>
      <c r="Q1020" s="25"/>
      <c r="R1020" s="26" t="s">
        <v>3275</v>
      </c>
      <c r="S1020" s="26" t="s">
        <v>29</v>
      </c>
      <c r="T1020" s="6" t="str">
        <f>HYPERLINK("https://kanzpp.ru/api/getInfo/image/bcae06d7-e4d7-11e9-a235-ac1f6b442184")</f>
        <v>https://kanzpp.ru/api/getInfo/image/bcae06d7-e4d7-11e9-a235-ac1f6b442184</v>
      </c>
      <c r="U1020" s="6"/>
      <c r="V1020" s="33" t="s">
        <v>35</v>
      </c>
    </row>
    <row r="1021" spans="2:22" ht="21" customHeight="1" outlineLevel="4" x14ac:dyDescent="0.2">
      <c r="B1021" s="5">
        <v>794</v>
      </c>
      <c r="C1021" s="6" t="s">
        <v>3276</v>
      </c>
      <c r="D1021" s="6" t="s">
        <v>3277</v>
      </c>
      <c r="E1021" s="7" t="s">
        <v>3278</v>
      </c>
      <c r="F1021" s="13"/>
      <c r="G1021" s="14"/>
      <c r="H1021" s="15">
        <v>64</v>
      </c>
      <c r="I1021" s="14"/>
      <c r="J1021" s="14" t="s">
        <v>144</v>
      </c>
      <c r="K1021" s="5">
        <v>10</v>
      </c>
      <c r="L1021" s="16">
        <v>26.533333333333331</v>
      </c>
      <c r="M1021" s="12"/>
      <c r="N1021" s="14">
        <f t="shared" si="49"/>
        <v>0</v>
      </c>
      <c r="O1021" s="28">
        <f>0.06*M1021</f>
        <v>0</v>
      </c>
      <c r="P1021" s="24">
        <f>0.00064*M1021</f>
        <v>0</v>
      </c>
      <c r="Q1021" s="25"/>
      <c r="R1021" s="26" t="s">
        <v>3279</v>
      </c>
      <c r="S1021" s="26" t="s">
        <v>29</v>
      </c>
      <c r="T1021" s="6" t="str">
        <f>HYPERLINK("https://kanzpp.ru/api/getInfo/image/4932f706-b680-11ed-a230-00155d82e902")</f>
        <v>https://kanzpp.ru/api/getInfo/image/4932f706-b680-11ed-a230-00155d82e902</v>
      </c>
      <c r="U1021" s="6"/>
      <c r="V1021" s="33" t="s">
        <v>35</v>
      </c>
    </row>
    <row r="1022" spans="2:22" ht="21" customHeight="1" outlineLevel="4" x14ac:dyDescent="0.2">
      <c r="B1022" s="5">
        <v>795</v>
      </c>
      <c r="C1022" s="6" t="s">
        <v>3280</v>
      </c>
      <c r="D1022" s="6" t="s">
        <v>3281</v>
      </c>
      <c r="E1022" s="7" t="s">
        <v>3282</v>
      </c>
      <c r="F1022" s="13"/>
      <c r="G1022" s="14"/>
      <c r="H1022" s="15">
        <v>64</v>
      </c>
      <c r="I1022" s="14"/>
      <c r="J1022" s="14" t="s">
        <v>144</v>
      </c>
      <c r="K1022" s="5">
        <v>10</v>
      </c>
      <c r="L1022" s="16">
        <v>26.533333333333331</v>
      </c>
      <c r="M1022" s="12"/>
      <c r="N1022" s="14">
        <f t="shared" si="49"/>
        <v>0</v>
      </c>
      <c r="O1022" s="23">
        <f>0.059*M1022</f>
        <v>0</v>
      </c>
      <c r="P1022" s="24">
        <f>0.00048*M1022</f>
        <v>0</v>
      </c>
      <c r="Q1022" s="25"/>
      <c r="R1022" s="26" t="s">
        <v>3283</v>
      </c>
      <c r="S1022" s="26" t="s">
        <v>29</v>
      </c>
      <c r="T1022" s="6" t="str">
        <f>HYPERLINK("https://kanzpp.ru/api/getInfo/image/bcabc1c0-b67f-11ed-a230-00155d82e902")</f>
        <v>https://kanzpp.ru/api/getInfo/image/bcabc1c0-b67f-11ed-a230-00155d82e902</v>
      </c>
      <c r="U1022" s="6"/>
      <c r="V1022" s="33" t="s">
        <v>35</v>
      </c>
    </row>
    <row r="1023" spans="2:22" ht="21" customHeight="1" outlineLevel="4" x14ac:dyDescent="0.2">
      <c r="B1023" s="5">
        <v>796</v>
      </c>
      <c r="C1023" s="6" t="s">
        <v>3284</v>
      </c>
      <c r="D1023" s="6" t="s">
        <v>3285</v>
      </c>
      <c r="E1023" s="7" t="s">
        <v>3286</v>
      </c>
      <c r="F1023" s="13"/>
      <c r="G1023" s="14"/>
      <c r="H1023" s="15">
        <v>64</v>
      </c>
      <c r="I1023" s="14"/>
      <c r="J1023" s="14" t="s">
        <v>144</v>
      </c>
      <c r="K1023" s="5">
        <v>10</v>
      </c>
      <c r="L1023" s="16">
        <v>26.533333333333331</v>
      </c>
      <c r="M1023" s="12"/>
      <c r="N1023" s="14">
        <f t="shared" si="49"/>
        <v>0</v>
      </c>
      <c r="O1023" s="23">
        <f>0.057*M1023</f>
        <v>0</v>
      </c>
      <c r="P1023" s="24">
        <f>0.00066*M1023</f>
        <v>0</v>
      </c>
      <c r="Q1023" s="25"/>
      <c r="R1023" s="26" t="s">
        <v>3287</v>
      </c>
      <c r="S1023" s="26" t="s">
        <v>29</v>
      </c>
      <c r="T1023" s="6" t="str">
        <f>HYPERLINK("https://kanzpp.ru/api/getInfo/image/5ecd62b2-b67f-11ed-a230-00155d82e902")</f>
        <v>https://kanzpp.ru/api/getInfo/image/5ecd62b2-b67f-11ed-a230-00155d82e902</v>
      </c>
      <c r="U1023" s="6"/>
      <c r="V1023" s="33" t="s">
        <v>35</v>
      </c>
    </row>
    <row r="1024" spans="2:22" ht="21" customHeight="1" outlineLevel="4" x14ac:dyDescent="0.2">
      <c r="B1024" s="5">
        <v>797</v>
      </c>
      <c r="C1024" s="6" t="s">
        <v>3288</v>
      </c>
      <c r="D1024" s="6" t="s">
        <v>3289</v>
      </c>
      <c r="E1024" s="7" t="s">
        <v>3290</v>
      </c>
      <c r="F1024" s="13"/>
      <c r="G1024" s="14"/>
      <c r="H1024" s="15">
        <v>64</v>
      </c>
      <c r="I1024" s="14"/>
      <c r="J1024" s="14" t="s">
        <v>144</v>
      </c>
      <c r="K1024" s="5">
        <v>10</v>
      </c>
      <c r="L1024" s="16">
        <v>26.533333333333331</v>
      </c>
      <c r="M1024" s="12"/>
      <c r="N1024" s="14">
        <f t="shared" si="49"/>
        <v>0</v>
      </c>
      <c r="O1024" s="23">
        <f>0.056*M1024</f>
        <v>0</v>
      </c>
      <c r="P1024" s="24">
        <f>0.00037*M1024</f>
        <v>0</v>
      </c>
      <c r="Q1024" s="25"/>
      <c r="R1024" s="26" t="s">
        <v>3291</v>
      </c>
      <c r="S1024" s="26" t="s">
        <v>29</v>
      </c>
      <c r="T1024" s="6" t="str">
        <f>HYPERLINK("https://kanzpp.ru/api/getInfo/image/8eb355eb-b67f-11ed-a230-00155d82e902")</f>
        <v>https://kanzpp.ru/api/getInfo/image/8eb355eb-b67f-11ed-a230-00155d82e902</v>
      </c>
      <c r="U1024" s="6"/>
      <c r="V1024" s="33" t="s">
        <v>35</v>
      </c>
    </row>
    <row r="1025" spans="2:22" ht="21" customHeight="1" outlineLevel="4" x14ac:dyDescent="0.2">
      <c r="B1025" s="5">
        <v>798</v>
      </c>
      <c r="C1025" s="6" t="s">
        <v>3292</v>
      </c>
      <c r="D1025" s="6" t="s">
        <v>3293</v>
      </c>
      <c r="E1025" s="7" t="s">
        <v>3294</v>
      </c>
      <c r="F1025" s="13"/>
      <c r="G1025" s="14"/>
      <c r="H1025" s="15">
        <v>64</v>
      </c>
      <c r="I1025" s="14"/>
      <c r="J1025" s="14" t="s">
        <v>144</v>
      </c>
      <c r="K1025" s="5">
        <v>10</v>
      </c>
      <c r="L1025" s="16">
        <v>26.533333333333331</v>
      </c>
      <c r="M1025" s="12"/>
      <c r="N1025" s="14">
        <f t="shared" si="49"/>
        <v>0</v>
      </c>
      <c r="O1025" s="23">
        <f>0.052*M1025</f>
        <v>0</v>
      </c>
      <c r="P1025" s="24">
        <f>0.00066*M1025</f>
        <v>0</v>
      </c>
      <c r="Q1025" s="25"/>
      <c r="R1025" s="26" t="s">
        <v>3295</v>
      </c>
      <c r="S1025" s="26" t="s">
        <v>29</v>
      </c>
      <c r="T1025" s="6" t="str">
        <f>HYPERLINK("https://kanzpp.ru/api/getInfo/image/0d1117ea-b681-11ed-a230-00155d82e902")</f>
        <v>https://kanzpp.ru/api/getInfo/image/0d1117ea-b681-11ed-a230-00155d82e902</v>
      </c>
      <c r="U1025" s="6"/>
      <c r="V1025" s="33" t="s">
        <v>35</v>
      </c>
    </row>
    <row r="1026" spans="2:22" ht="21" customHeight="1" outlineLevel="4" x14ac:dyDescent="0.2">
      <c r="B1026" s="5">
        <v>799</v>
      </c>
      <c r="C1026" s="6" t="s">
        <v>3296</v>
      </c>
      <c r="D1026" s="6" t="s">
        <v>3297</v>
      </c>
      <c r="E1026" s="7" t="s">
        <v>3298</v>
      </c>
      <c r="F1026" s="13"/>
      <c r="G1026" s="14"/>
      <c r="H1026" s="15">
        <v>64</v>
      </c>
      <c r="I1026" s="14"/>
      <c r="J1026" s="14" t="s">
        <v>144</v>
      </c>
      <c r="K1026" s="5">
        <v>10</v>
      </c>
      <c r="L1026" s="16">
        <v>26.533333333333331</v>
      </c>
      <c r="M1026" s="12"/>
      <c r="N1026" s="14">
        <f t="shared" si="49"/>
        <v>0</v>
      </c>
      <c r="O1026" s="28">
        <f>0.06*M1026</f>
        <v>0</v>
      </c>
      <c r="P1026" s="24">
        <f>0.00043*M1026</f>
        <v>0</v>
      </c>
      <c r="Q1026" s="25"/>
      <c r="R1026" s="26" t="s">
        <v>3299</v>
      </c>
      <c r="S1026" s="26" t="s">
        <v>29</v>
      </c>
      <c r="T1026" s="6" t="str">
        <f>HYPERLINK("https://kanzpp.ru/api/getInfo/image/9d88d62e-e4d6-11e9-a235-ac1f6b442184")</f>
        <v>https://kanzpp.ru/api/getInfo/image/9d88d62e-e4d6-11e9-a235-ac1f6b442184</v>
      </c>
      <c r="U1026" s="6"/>
      <c r="V1026" s="33" t="s">
        <v>35</v>
      </c>
    </row>
    <row r="1027" spans="2:22" ht="21" customHeight="1" outlineLevel="4" x14ac:dyDescent="0.2">
      <c r="B1027" s="5">
        <v>800</v>
      </c>
      <c r="C1027" s="6" t="s">
        <v>3300</v>
      </c>
      <c r="D1027" s="6" t="s">
        <v>3301</v>
      </c>
      <c r="E1027" s="7" t="s">
        <v>3302</v>
      </c>
      <c r="F1027" s="13"/>
      <c r="G1027" s="14"/>
      <c r="H1027" s="15">
        <v>64</v>
      </c>
      <c r="I1027" s="14"/>
      <c r="J1027" s="14" t="s">
        <v>144</v>
      </c>
      <c r="K1027" s="5">
        <v>10</v>
      </c>
      <c r="L1027" s="16">
        <v>26.533333333333331</v>
      </c>
      <c r="M1027" s="12"/>
      <c r="N1027" s="14">
        <f t="shared" si="49"/>
        <v>0</v>
      </c>
      <c r="O1027" s="23">
        <f>0.052*M1027</f>
        <v>0</v>
      </c>
      <c r="P1027" s="31">
        <f>0.0004*M1027</f>
        <v>0</v>
      </c>
      <c r="Q1027" s="25"/>
      <c r="R1027" s="26" t="s">
        <v>3303</v>
      </c>
      <c r="S1027" s="26" t="s">
        <v>29</v>
      </c>
      <c r="T1027" s="6" t="str">
        <f>HYPERLINK("https://kanzpp.ru/api/getInfo/image/1c39a84e-b680-11ed-a230-00155d82e902")</f>
        <v>https://kanzpp.ru/api/getInfo/image/1c39a84e-b680-11ed-a230-00155d82e902</v>
      </c>
      <c r="U1027" s="6"/>
      <c r="V1027" s="33" t="s">
        <v>35</v>
      </c>
    </row>
    <row r="1028" spans="2:22" ht="21" customHeight="1" outlineLevel="4" x14ac:dyDescent="0.2">
      <c r="B1028" s="5">
        <v>801</v>
      </c>
      <c r="C1028" s="6" t="s">
        <v>3304</v>
      </c>
      <c r="D1028" s="6" t="s">
        <v>3305</v>
      </c>
      <c r="E1028" s="7" t="s">
        <v>3306</v>
      </c>
      <c r="F1028" s="13"/>
      <c r="G1028" s="14"/>
      <c r="H1028" s="15">
        <v>64</v>
      </c>
      <c r="I1028" s="14"/>
      <c r="J1028" s="15">
        <v>253</v>
      </c>
      <c r="K1028" s="5">
        <v>10</v>
      </c>
      <c r="L1028" s="16">
        <v>26.533333333333331</v>
      </c>
      <c r="M1028" s="12"/>
      <c r="N1028" s="14">
        <f t="shared" si="49"/>
        <v>0</v>
      </c>
      <c r="O1028" s="28">
        <f>0.06*M1028</f>
        <v>0</v>
      </c>
      <c r="P1028" s="24">
        <f>0.00043*M1028</f>
        <v>0</v>
      </c>
      <c r="Q1028" s="25"/>
      <c r="R1028" s="26" t="s">
        <v>3307</v>
      </c>
      <c r="S1028" s="26" t="s">
        <v>29</v>
      </c>
      <c r="T1028" s="6" t="str">
        <f>HYPERLINK("https://kanzpp.ru/api/getInfo/image/193118f8-76da-11e9-a226-ac1f6b442184")</f>
        <v>https://kanzpp.ru/api/getInfo/image/193118f8-76da-11e9-a226-ac1f6b442184</v>
      </c>
      <c r="U1028" s="6"/>
      <c r="V1028" s="33" t="s">
        <v>35</v>
      </c>
    </row>
    <row r="1029" spans="2:22" ht="21" customHeight="1" outlineLevel="4" x14ac:dyDescent="0.2">
      <c r="B1029" s="5">
        <v>802</v>
      </c>
      <c r="C1029" s="6" t="s">
        <v>3308</v>
      </c>
      <c r="D1029" s="6" t="s">
        <v>3309</v>
      </c>
      <c r="E1029" s="7" t="s">
        <v>3310</v>
      </c>
      <c r="F1029" s="13"/>
      <c r="G1029" s="14"/>
      <c r="H1029" s="15">
        <v>64</v>
      </c>
      <c r="I1029" s="14"/>
      <c r="J1029" s="14" t="s">
        <v>144</v>
      </c>
      <c r="K1029" s="5">
        <v>10</v>
      </c>
      <c r="L1029" s="16">
        <v>26.533333333333331</v>
      </c>
      <c r="M1029" s="12"/>
      <c r="N1029" s="14">
        <f t="shared" si="49"/>
        <v>0</v>
      </c>
      <c r="O1029" s="23">
        <f>0.058*M1029</f>
        <v>0</v>
      </c>
      <c r="P1029" s="24">
        <f>0.00065*M1029</f>
        <v>0</v>
      </c>
      <c r="Q1029" s="25"/>
      <c r="R1029" s="26" t="s">
        <v>3311</v>
      </c>
      <c r="S1029" s="26" t="s">
        <v>29</v>
      </c>
      <c r="T1029" s="6" t="str">
        <f>HYPERLINK("https://kanzpp.ru/api/getInfo/image/eeb14cd6-b67f-11ed-a230-00155d82e902")</f>
        <v>https://kanzpp.ru/api/getInfo/image/eeb14cd6-b67f-11ed-a230-00155d82e902</v>
      </c>
      <c r="U1029" s="6"/>
      <c r="V1029" s="33" t="s">
        <v>35</v>
      </c>
    </row>
    <row r="1030" spans="2:22" ht="21" customHeight="1" outlineLevel="4" x14ac:dyDescent="0.2">
      <c r="B1030" s="5">
        <v>803</v>
      </c>
      <c r="C1030" s="6" t="s">
        <v>3312</v>
      </c>
      <c r="D1030" s="6" t="s">
        <v>3313</v>
      </c>
      <c r="E1030" s="7" t="s">
        <v>3314</v>
      </c>
      <c r="F1030" s="13"/>
      <c r="G1030" s="14"/>
      <c r="H1030" s="15">
        <v>64</v>
      </c>
      <c r="I1030" s="14"/>
      <c r="J1030" s="14" t="s">
        <v>144</v>
      </c>
      <c r="K1030" s="5">
        <v>10</v>
      </c>
      <c r="L1030" s="16">
        <v>26.533333333333331</v>
      </c>
      <c r="M1030" s="12"/>
      <c r="N1030" s="14">
        <f t="shared" si="49"/>
        <v>0</v>
      </c>
      <c r="O1030" s="23">
        <f>0.059*M1030</f>
        <v>0</v>
      </c>
      <c r="P1030" s="24">
        <f>0.00037*M1030</f>
        <v>0</v>
      </c>
      <c r="Q1030" s="25"/>
      <c r="R1030" s="26" t="s">
        <v>3315</v>
      </c>
      <c r="S1030" s="26" t="s">
        <v>29</v>
      </c>
      <c r="T1030" s="6" t="str">
        <f>HYPERLINK("https://kanzpp.ru/api/getInfo/image/15baeecf-b67f-11ed-a230-00155d82e902")</f>
        <v>https://kanzpp.ru/api/getInfo/image/15baeecf-b67f-11ed-a230-00155d82e902</v>
      </c>
      <c r="U1030" s="6"/>
      <c r="V1030" s="33" t="s">
        <v>35</v>
      </c>
    </row>
    <row r="1031" spans="2:22" ht="22.95" customHeight="1" outlineLevel="3" x14ac:dyDescent="0.2">
      <c r="B1031" s="81" t="s">
        <v>3316</v>
      </c>
      <c r="C1031" s="81"/>
      <c r="D1031" s="81"/>
      <c r="L1031">
        <v>0</v>
      </c>
    </row>
    <row r="1032" spans="2:22" ht="21" customHeight="1" outlineLevel="4" x14ac:dyDescent="0.2">
      <c r="B1032" s="36">
        <v>804</v>
      </c>
      <c r="C1032" s="37" t="s">
        <v>3317</v>
      </c>
      <c r="D1032" s="37" t="s">
        <v>3318</v>
      </c>
      <c r="E1032" s="38" t="s">
        <v>3319</v>
      </c>
      <c r="F1032" s="39"/>
      <c r="G1032" s="40"/>
      <c r="H1032" s="41">
        <v>64</v>
      </c>
      <c r="I1032" s="40"/>
      <c r="J1032" s="50">
        <v>1112</v>
      </c>
      <c r="K1032" s="36">
        <v>14</v>
      </c>
      <c r="L1032" s="42">
        <f>(43.73*(1-O3/100))/0.75</f>
        <v>58.306666666666665</v>
      </c>
      <c r="M1032" s="12"/>
      <c r="N1032" s="40">
        <f>L1032*M1032</f>
        <v>0</v>
      </c>
      <c r="O1032" s="48">
        <f>0.06*M1032</f>
        <v>0</v>
      </c>
      <c r="P1032" s="47">
        <f>0.00046*M1032</f>
        <v>0</v>
      </c>
      <c r="Q1032" s="44"/>
      <c r="R1032" s="45" t="s">
        <v>3320</v>
      </c>
      <c r="S1032" s="45" t="s">
        <v>29</v>
      </c>
      <c r="T1032" s="37" t="str">
        <f>HYPERLINK("https://kanzpp.ru/api/getInfo/image/31ce1bd3-0782-11ea-a236-ac1f6b442184")</f>
        <v>https://kanzpp.ru/api/getInfo/image/31ce1bd3-0782-11ea-a236-ac1f6b442184</v>
      </c>
      <c r="U1032" s="37"/>
    </row>
    <row r="1033" spans="2:22" ht="21" customHeight="1" outlineLevel="4" x14ac:dyDescent="0.2">
      <c r="B1033" s="36">
        <v>805</v>
      </c>
      <c r="C1033" s="37" t="s">
        <v>3321</v>
      </c>
      <c r="D1033" s="37" t="s">
        <v>3322</v>
      </c>
      <c r="E1033" s="38" t="s">
        <v>3323</v>
      </c>
      <c r="F1033" s="39"/>
      <c r="G1033" s="40"/>
      <c r="H1033" s="41">
        <v>64</v>
      </c>
      <c r="I1033" s="40"/>
      <c r="J1033" s="50">
        <v>1020</v>
      </c>
      <c r="K1033" s="36">
        <v>14</v>
      </c>
      <c r="L1033" s="42">
        <f>(52*(1-O3/100))/0.75</f>
        <v>69.333333333333329</v>
      </c>
      <c r="M1033" s="12"/>
      <c r="N1033" s="40">
        <f>L1033*M1033</f>
        <v>0</v>
      </c>
      <c r="O1033" s="48">
        <f>0.06*M1033</f>
        <v>0</v>
      </c>
      <c r="P1033" s="47">
        <f>0.00046*M1033</f>
        <v>0</v>
      </c>
      <c r="Q1033" s="44"/>
      <c r="R1033" s="45" t="s">
        <v>3324</v>
      </c>
      <c r="S1033" s="45" t="s">
        <v>29</v>
      </c>
      <c r="T1033" s="37" t="str">
        <f>HYPERLINK("https://kanzpp.ru/api/getInfo/image/26a85b97-a3e0-11ea-a248-ac1f6b442184")</f>
        <v>https://kanzpp.ru/api/getInfo/image/26a85b97-a3e0-11ea-a248-ac1f6b442184</v>
      </c>
      <c r="U1033" s="37"/>
    </row>
    <row r="1034" spans="2:22" ht="21" customHeight="1" outlineLevel="4" x14ac:dyDescent="0.2">
      <c r="B1034" s="36">
        <v>806</v>
      </c>
      <c r="C1034" s="37" t="s">
        <v>3325</v>
      </c>
      <c r="D1034" s="37" t="s">
        <v>3326</v>
      </c>
      <c r="E1034" s="38" t="s">
        <v>3327</v>
      </c>
      <c r="F1034" s="39"/>
      <c r="G1034" s="40"/>
      <c r="H1034" s="41">
        <v>64</v>
      </c>
      <c r="I1034" s="40"/>
      <c r="J1034" s="41">
        <v>69</v>
      </c>
      <c r="K1034" s="36">
        <v>14</v>
      </c>
      <c r="L1034" s="42">
        <f>(52*(1-O3/100))/0.75</f>
        <v>69.333333333333329</v>
      </c>
      <c r="M1034" s="12"/>
      <c r="N1034" s="40">
        <f>L1034*M1034</f>
        <v>0</v>
      </c>
      <c r="O1034" s="48">
        <f>0.06*M1034</f>
        <v>0</v>
      </c>
      <c r="P1034" s="47">
        <f>0.00046*M1034</f>
        <v>0</v>
      </c>
      <c r="Q1034" s="44"/>
      <c r="R1034" s="45" t="s">
        <v>3328</v>
      </c>
      <c r="S1034" s="45" t="s">
        <v>29</v>
      </c>
      <c r="T1034" s="37" t="str">
        <f>HYPERLINK("https://kanzpp.ru/api/getInfo/image/30a73512-aa1c-11ea-a248-ac1f6b442184")</f>
        <v>https://kanzpp.ru/api/getInfo/image/30a73512-aa1c-11ea-a248-ac1f6b442184</v>
      </c>
      <c r="U1034" s="37"/>
    </row>
    <row r="1035" spans="2:22" ht="22.95" customHeight="1" outlineLevel="3" x14ac:dyDescent="0.2">
      <c r="B1035" s="81" t="s">
        <v>3329</v>
      </c>
      <c r="C1035" s="81"/>
      <c r="D1035" s="81"/>
      <c r="L1035">
        <v>0</v>
      </c>
    </row>
    <row r="1036" spans="2:22" ht="21" customHeight="1" outlineLevel="4" x14ac:dyDescent="0.2">
      <c r="B1036" s="2">
        <v>807</v>
      </c>
      <c r="C1036" s="3" t="s">
        <v>3330</v>
      </c>
      <c r="D1036" s="3" t="s">
        <v>3331</v>
      </c>
      <c r="E1036" s="4" t="s">
        <v>3332</v>
      </c>
      <c r="F1036" s="8"/>
      <c r="G1036" s="9"/>
      <c r="H1036" s="10">
        <v>50</v>
      </c>
      <c r="I1036" s="9"/>
      <c r="J1036" s="10">
        <v>1</v>
      </c>
      <c r="K1036" s="2">
        <v>1</v>
      </c>
      <c r="L1036" s="54">
        <v>9.0133333333333336</v>
      </c>
      <c r="M1036" s="12"/>
      <c r="N1036" s="9">
        <f t="shared" ref="N1036:N1043" si="50">L1036*M1036</f>
        <v>0</v>
      </c>
      <c r="O1036" s="11">
        <f>0.02*M1036</f>
        <v>0</v>
      </c>
      <c r="P1036" s="30">
        <f>0.00044*M1036</f>
        <v>0</v>
      </c>
      <c r="Q1036" s="21"/>
      <c r="R1036" s="22" t="s">
        <v>3333</v>
      </c>
      <c r="S1036" s="22" t="s">
        <v>29</v>
      </c>
      <c r="T1036" s="3" t="str">
        <f>HYPERLINK("https://kanzpp.ru/api/getInfo/image/ed344477-0186-11eb-a255-ac1f6b442184")</f>
        <v>https://kanzpp.ru/api/getInfo/image/ed344477-0186-11eb-a255-ac1f6b442184</v>
      </c>
      <c r="U1036" s="3"/>
      <c r="V1036" s="32" t="s">
        <v>30</v>
      </c>
    </row>
    <row r="1037" spans="2:22" ht="21" customHeight="1" outlineLevel="4" x14ac:dyDescent="0.2">
      <c r="B1037" s="36">
        <v>808</v>
      </c>
      <c r="C1037" s="37" t="s">
        <v>3334</v>
      </c>
      <c r="D1037" s="37" t="s">
        <v>3335</v>
      </c>
      <c r="E1037" s="38" t="s">
        <v>3336</v>
      </c>
      <c r="F1037" s="39"/>
      <c r="G1037" s="40"/>
      <c r="H1037" s="41">
        <v>50</v>
      </c>
      <c r="I1037" s="40"/>
      <c r="J1037" s="40" t="s">
        <v>144</v>
      </c>
      <c r="K1037" s="36">
        <v>30</v>
      </c>
      <c r="L1037" s="42">
        <f>(23.07*(1-O3/100))/0.75</f>
        <v>30.76</v>
      </c>
      <c r="M1037" s="12"/>
      <c r="N1037" s="40">
        <f t="shared" si="50"/>
        <v>0</v>
      </c>
      <c r="O1037" s="48">
        <f>0.03*M1037</f>
        <v>0</v>
      </c>
      <c r="P1037" s="47">
        <f>0.00034*M1037</f>
        <v>0</v>
      </c>
      <c r="Q1037" s="44"/>
      <c r="R1037" s="45" t="s">
        <v>3337</v>
      </c>
      <c r="S1037" s="45" t="s">
        <v>29</v>
      </c>
      <c r="T1037" s="37" t="str">
        <f>HYPERLINK("https://kanzpp.ru/api/getInfo/image/d71e9f58-b4f7-11e8-a209-ac1f6b442184")</f>
        <v>https://kanzpp.ru/api/getInfo/image/d71e9f58-b4f7-11e8-a209-ac1f6b442184</v>
      </c>
      <c r="U1037" s="37"/>
    </row>
    <row r="1038" spans="2:22" ht="21" customHeight="1" outlineLevel="4" x14ac:dyDescent="0.2">
      <c r="B1038" s="5">
        <v>809</v>
      </c>
      <c r="C1038" s="6" t="s">
        <v>3338</v>
      </c>
      <c r="D1038" s="6" t="s">
        <v>3339</v>
      </c>
      <c r="E1038" s="7" t="s">
        <v>3340</v>
      </c>
      <c r="F1038" s="13"/>
      <c r="G1038" s="14"/>
      <c r="H1038" s="15">
        <v>50</v>
      </c>
      <c r="I1038" s="14"/>
      <c r="J1038" s="14" t="s">
        <v>144</v>
      </c>
      <c r="K1038" s="5">
        <v>30</v>
      </c>
      <c r="L1038" s="16">
        <v>23.066666666666666</v>
      </c>
      <c r="M1038" s="12"/>
      <c r="N1038" s="14">
        <f t="shared" si="50"/>
        <v>0</v>
      </c>
      <c r="O1038" s="23">
        <f>0.028*M1038</f>
        <v>0</v>
      </c>
      <c r="P1038" s="24">
        <f>0.00047*M1038</f>
        <v>0</v>
      </c>
      <c r="Q1038" s="25"/>
      <c r="R1038" s="26" t="s">
        <v>3341</v>
      </c>
      <c r="S1038" s="26" t="s">
        <v>29</v>
      </c>
      <c r="T1038" s="6" t="str">
        <f>HYPERLINK("https://kanzpp.ru/api/getInfo/image/0b960a23-b4f8-11e8-a209-ac1f6b442184")</f>
        <v>https://kanzpp.ru/api/getInfo/image/0b960a23-b4f8-11e8-a209-ac1f6b442184</v>
      </c>
      <c r="U1038" s="6"/>
      <c r="V1038" s="33" t="s">
        <v>35</v>
      </c>
    </row>
    <row r="1039" spans="2:22" ht="21" customHeight="1" outlineLevel="4" x14ac:dyDescent="0.2">
      <c r="B1039" s="36">
        <v>810</v>
      </c>
      <c r="C1039" s="37" t="s">
        <v>3342</v>
      </c>
      <c r="D1039" s="37" t="s">
        <v>3343</v>
      </c>
      <c r="E1039" s="38" t="s">
        <v>3344</v>
      </c>
      <c r="F1039" s="39"/>
      <c r="G1039" s="40"/>
      <c r="H1039" s="41">
        <v>50</v>
      </c>
      <c r="I1039" s="40"/>
      <c r="J1039" s="40" t="s">
        <v>144</v>
      </c>
      <c r="K1039" s="36">
        <v>30</v>
      </c>
      <c r="L1039" s="42">
        <f>(23.71*(1-O3/100))/0.75</f>
        <v>31.613333333333333</v>
      </c>
      <c r="M1039" s="12"/>
      <c r="N1039" s="40">
        <f t="shared" si="50"/>
        <v>0</v>
      </c>
      <c r="O1039" s="43">
        <f>0.026*M1039</f>
        <v>0</v>
      </c>
      <c r="P1039" s="47">
        <f>0.00034*M1039</f>
        <v>0</v>
      </c>
      <c r="Q1039" s="44"/>
      <c r="R1039" s="45" t="s">
        <v>3345</v>
      </c>
      <c r="S1039" s="45" t="s">
        <v>29</v>
      </c>
      <c r="T1039" s="37" t="str">
        <f>HYPERLINK("https://kanzpp.ru/api/getInfo/image/6e28a85b-b4f7-11e8-a209-ac1f6b442184")</f>
        <v>https://kanzpp.ru/api/getInfo/image/6e28a85b-b4f7-11e8-a209-ac1f6b442184</v>
      </c>
      <c r="U1039" s="37"/>
    </row>
    <row r="1040" spans="2:22" ht="21" customHeight="1" outlineLevel="4" x14ac:dyDescent="0.2">
      <c r="B1040" s="36">
        <v>811</v>
      </c>
      <c r="C1040" s="37" t="s">
        <v>3346</v>
      </c>
      <c r="D1040" s="37" t="s">
        <v>3347</v>
      </c>
      <c r="E1040" s="38" t="s">
        <v>3348</v>
      </c>
      <c r="F1040" s="39"/>
      <c r="G1040" s="40"/>
      <c r="H1040" s="41">
        <v>50</v>
      </c>
      <c r="I1040" s="40"/>
      <c r="J1040" s="40" t="s">
        <v>144</v>
      </c>
      <c r="K1040" s="36">
        <v>30</v>
      </c>
      <c r="L1040" s="42">
        <f>(23.71*(1-O3/100))/0.75</f>
        <v>31.613333333333333</v>
      </c>
      <c r="M1040" s="12"/>
      <c r="N1040" s="40">
        <f t="shared" si="50"/>
        <v>0</v>
      </c>
      <c r="O1040" s="43">
        <f>0.026*M1040</f>
        <v>0</v>
      </c>
      <c r="P1040" s="47">
        <f>0.00034*M1040</f>
        <v>0</v>
      </c>
      <c r="Q1040" s="44"/>
      <c r="R1040" s="45" t="s">
        <v>3349</v>
      </c>
      <c r="S1040" s="45" t="s">
        <v>29</v>
      </c>
      <c r="T1040" s="37" t="str">
        <f>HYPERLINK("https://kanzpp.ru/api/getInfo/image/3021d379-9eb6-11eb-a201-ac1f6b442185")</f>
        <v>https://kanzpp.ru/api/getInfo/image/3021d379-9eb6-11eb-a201-ac1f6b442185</v>
      </c>
      <c r="U1040" s="37"/>
    </row>
    <row r="1041" spans="2:22" ht="21" customHeight="1" outlineLevel="4" x14ac:dyDescent="0.2">
      <c r="B1041" s="36">
        <v>812</v>
      </c>
      <c r="C1041" s="37" t="s">
        <v>3350</v>
      </c>
      <c r="D1041" s="37" t="s">
        <v>3351</v>
      </c>
      <c r="E1041" s="38" t="s">
        <v>3352</v>
      </c>
      <c r="F1041" s="39"/>
      <c r="G1041" s="40"/>
      <c r="H1041" s="41">
        <v>50</v>
      </c>
      <c r="I1041" s="40"/>
      <c r="J1041" s="41">
        <v>213</v>
      </c>
      <c r="K1041" s="36">
        <v>25</v>
      </c>
      <c r="L1041" s="42">
        <f>(24.77*(1-O3/100))/0.75</f>
        <v>33.026666666666664</v>
      </c>
      <c r="M1041" s="12"/>
      <c r="N1041" s="40">
        <f t="shared" si="50"/>
        <v>0</v>
      </c>
      <c r="O1041" s="48">
        <f>0.03*M1041</f>
        <v>0</v>
      </c>
      <c r="P1041" s="47">
        <f>0.00033*M1041</f>
        <v>0</v>
      </c>
      <c r="Q1041" s="44"/>
      <c r="R1041" s="45" t="s">
        <v>3353</v>
      </c>
      <c r="S1041" s="45" t="s">
        <v>29</v>
      </c>
      <c r="T1041" s="37" t="str">
        <f>HYPERLINK("https://kanzpp.ru/api/getInfo/image/e6d45795-a3e0-11ea-a248-ac1f6b442184")</f>
        <v>https://kanzpp.ru/api/getInfo/image/e6d45795-a3e0-11ea-a248-ac1f6b442184</v>
      </c>
      <c r="U1041" s="37"/>
    </row>
    <row r="1042" spans="2:22" ht="21" customHeight="1" outlineLevel="4" x14ac:dyDescent="0.2">
      <c r="B1042" s="36">
        <v>813</v>
      </c>
      <c r="C1042" s="37" t="s">
        <v>3354</v>
      </c>
      <c r="D1042" s="37" t="s">
        <v>3355</v>
      </c>
      <c r="E1042" s="38" t="s">
        <v>3356</v>
      </c>
      <c r="F1042" s="39"/>
      <c r="G1042" s="40"/>
      <c r="H1042" s="41">
        <v>50</v>
      </c>
      <c r="I1042" s="40"/>
      <c r="J1042" s="40" t="s">
        <v>144</v>
      </c>
      <c r="K1042" s="36">
        <v>25</v>
      </c>
      <c r="L1042" s="42">
        <f>(25.59*(1-O3/100))/0.75</f>
        <v>34.119999999999997</v>
      </c>
      <c r="M1042" s="12"/>
      <c r="N1042" s="40">
        <f t="shared" si="50"/>
        <v>0</v>
      </c>
      <c r="O1042" s="48">
        <f>0.03*M1042</f>
        <v>0</v>
      </c>
      <c r="P1042" s="47">
        <f>0.00034*M1042</f>
        <v>0</v>
      </c>
      <c r="Q1042" s="44"/>
      <c r="R1042" s="45" t="s">
        <v>3357</v>
      </c>
      <c r="S1042" s="45" t="s">
        <v>29</v>
      </c>
      <c r="T1042" s="37" t="str">
        <f>HYPERLINK("https://kanzpp.ru/api/getInfo/image/c5ebee7b-aa1c-11ea-a248-ac1f6b442184")</f>
        <v>https://kanzpp.ru/api/getInfo/image/c5ebee7b-aa1c-11ea-a248-ac1f6b442184</v>
      </c>
      <c r="U1042" s="37"/>
    </row>
    <row r="1043" spans="2:22" ht="21" customHeight="1" outlineLevel="4" x14ac:dyDescent="0.2">
      <c r="B1043" s="36">
        <v>814</v>
      </c>
      <c r="C1043" s="37" t="s">
        <v>3358</v>
      </c>
      <c r="D1043" s="37" t="s">
        <v>3359</v>
      </c>
      <c r="E1043" s="38" t="s">
        <v>3360</v>
      </c>
      <c r="F1043" s="39"/>
      <c r="G1043" s="40"/>
      <c r="H1043" s="41">
        <v>50</v>
      </c>
      <c r="I1043" s="40"/>
      <c r="J1043" s="40" t="s">
        <v>144</v>
      </c>
      <c r="K1043" s="36">
        <v>25</v>
      </c>
      <c r="L1043" s="42">
        <f>(24.77*(1-O3/100))/0.75</f>
        <v>33.026666666666664</v>
      </c>
      <c r="M1043" s="12"/>
      <c r="N1043" s="40">
        <f t="shared" si="50"/>
        <v>0</v>
      </c>
      <c r="O1043" s="43">
        <f>0.031*M1043</f>
        <v>0</v>
      </c>
      <c r="P1043" s="47">
        <f>0.00049*M1043</f>
        <v>0</v>
      </c>
      <c r="Q1043" s="44"/>
      <c r="R1043" s="45" t="s">
        <v>3361</v>
      </c>
      <c r="S1043" s="45" t="s">
        <v>29</v>
      </c>
      <c r="T1043" s="37" t="str">
        <f>HYPERLINK("https://kanzpp.ru/api/getInfo/image/93b3995e-a3e0-11ea-a248-ac1f6b442184")</f>
        <v>https://kanzpp.ru/api/getInfo/image/93b3995e-a3e0-11ea-a248-ac1f6b442184</v>
      </c>
      <c r="U1043" s="37"/>
    </row>
    <row r="1044" spans="2:22" ht="22.95" customHeight="1" outlineLevel="3" x14ac:dyDescent="0.2">
      <c r="B1044" s="81" t="s">
        <v>3362</v>
      </c>
      <c r="C1044" s="81"/>
      <c r="D1044" s="81"/>
      <c r="L1044">
        <v>0</v>
      </c>
    </row>
    <row r="1045" spans="2:22" ht="21" customHeight="1" outlineLevel="4" x14ac:dyDescent="0.2">
      <c r="B1045" s="36">
        <v>815</v>
      </c>
      <c r="C1045" s="37" t="s">
        <v>3363</v>
      </c>
      <c r="D1045" s="37" t="s">
        <v>3364</v>
      </c>
      <c r="E1045" s="38" t="s">
        <v>3365</v>
      </c>
      <c r="F1045" s="39"/>
      <c r="G1045" s="40"/>
      <c r="H1045" s="41">
        <v>24</v>
      </c>
      <c r="I1045" s="41">
        <v>12</v>
      </c>
      <c r="J1045" s="40" t="s">
        <v>144</v>
      </c>
      <c r="K1045" s="36">
        <v>10</v>
      </c>
      <c r="L1045" s="42">
        <f>(56.47*(1-O3/100))/0.75</f>
        <v>75.293333333333337</v>
      </c>
      <c r="M1045" s="12"/>
      <c r="N1045" s="40">
        <f t="shared" ref="N1045:N1055" si="51">L1045*M1045</f>
        <v>0</v>
      </c>
      <c r="O1045" s="43">
        <f>0.073*M1045</f>
        <v>0</v>
      </c>
      <c r="P1045" s="47">
        <f>0.00052*M1045</f>
        <v>0</v>
      </c>
      <c r="Q1045" s="44"/>
      <c r="R1045" s="45" t="s">
        <v>3366</v>
      </c>
      <c r="S1045" s="45" t="s">
        <v>93</v>
      </c>
      <c r="T1045" s="37" t="str">
        <f>HYPERLINK("https://kanzpp.ru/api/getInfo/image/7410e458-d50b-11e7-b2c3-5cf3fc4a2490")</f>
        <v>https://kanzpp.ru/api/getInfo/image/7410e458-d50b-11e7-b2c3-5cf3fc4a2490</v>
      </c>
      <c r="U1045" s="37"/>
    </row>
    <row r="1046" spans="2:22" ht="21" customHeight="1" outlineLevel="4" x14ac:dyDescent="0.2">
      <c r="B1046" s="36">
        <v>816</v>
      </c>
      <c r="C1046" s="37" t="s">
        <v>3367</v>
      </c>
      <c r="D1046" s="37" t="s">
        <v>3368</v>
      </c>
      <c r="E1046" s="38" t="s">
        <v>3369</v>
      </c>
      <c r="F1046" s="39"/>
      <c r="G1046" s="40"/>
      <c r="H1046" s="41">
        <v>24</v>
      </c>
      <c r="I1046" s="41">
        <v>12</v>
      </c>
      <c r="J1046" s="41">
        <v>8</v>
      </c>
      <c r="K1046" s="36">
        <v>8</v>
      </c>
      <c r="L1046" s="42">
        <f>(56.47*(1-O3/100))/0.75</f>
        <v>75.293333333333337</v>
      </c>
      <c r="M1046" s="12"/>
      <c r="N1046" s="40">
        <f t="shared" si="51"/>
        <v>0</v>
      </c>
      <c r="O1046" s="43">
        <f>0.032*M1046</f>
        <v>0</v>
      </c>
      <c r="P1046" s="47">
        <f>0.00382*M1046</f>
        <v>0</v>
      </c>
      <c r="Q1046" s="44"/>
      <c r="R1046" s="45" t="s">
        <v>3370</v>
      </c>
      <c r="S1046" s="45" t="s">
        <v>93</v>
      </c>
      <c r="T1046" s="37" t="str">
        <f>HYPERLINK("https://kanzpp.ru/api/getInfo/image/2d7b7eb7-d50b-11e7-b2c3-5cf3fc4a2490")</f>
        <v>https://kanzpp.ru/api/getInfo/image/2d7b7eb7-d50b-11e7-b2c3-5cf3fc4a2490</v>
      </c>
      <c r="U1046" s="37"/>
    </row>
    <row r="1047" spans="2:22" ht="21" customHeight="1" outlineLevel="4" x14ac:dyDescent="0.2">
      <c r="B1047" s="55">
        <v>817</v>
      </c>
      <c r="C1047" s="56" t="s">
        <v>3371</v>
      </c>
      <c r="D1047" s="56" t="s">
        <v>3372</v>
      </c>
      <c r="E1047" s="57" t="s">
        <v>3373</v>
      </c>
      <c r="F1047" s="58"/>
      <c r="G1047" s="59"/>
      <c r="H1047" s="60">
        <v>20</v>
      </c>
      <c r="I1047" s="59"/>
      <c r="J1047" s="60">
        <v>617</v>
      </c>
      <c r="K1047" s="55">
        <v>5</v>
      </c>
      <c r="L1047" s="61">
        <f>(146.53*(1-O3/100))/0.75</f>
        <v>195.37333333333333</v>
      </c>
      <c r="M1047" s="12"/>
      <c r="N1047" s="59">
        <f t="shared" si="51"/>
        <v>0</v>
      </c>
      <c r="O1047" s="62">
        <f>0.167*M1047</f>
        <v>0</v>
      </c>
      <c r="P1047" s="63">
        <f>0.00288*M1047</f>
        <v>0</v>
      </c>
      <c r="Q1047" s="64" t="s">
        <v>344</v>
      </c>
      <c r="R1047" s="65" t="s">
        <v>3374</v>
      </c>
      <c r="S1047" s="65" t="s">
        <v>93</v>
      </c>
      <c r="T1047" s="56" t="str">
        <f>HYPERLINK("https://kanzpp.ru/api/getInfo/image/2581a6e7-71cf-11f0-a284-00155d82e908")</f>
        <v>https://kanzpp.ru/api/getInfo/image/2581a6e7-71cf-11f0-a284-00155d82e908</v>
      </c>
      <c r="U1047" s="56"/>
      <c r="V1047" s="66"/>
    </row>
    <row r="1048" spans="2:22" ht="21" customHeight="1" outlineLevel="4" x14ac:dyDescent="0.2">
      <c r="B1048" s="55">
        <v>818</v>
      </c>
      <c r="C1048" s="56" t="s">
        <v>3375</v>
      </c>
      <c r="D1048" s="56" t="s">
        <v>3376</v>
      </c>
      <c r="E1048" s="57" t="s">
        <v>3377</v>
      </c>
      <c r="F1048" s="58"/>
      <c r="G1048" s="59"/>
      <c r="H1048" s="60">
        <v>20</v>
      </c>
      <c r="I1048" s="59"/>
      <c r="J1048" s="60">
        <v>653</v>
      </c>
      <c r="K1048" s="55">
        <v>5</v>
      </c>
      <c r="L1048" s="61">
        <f>(146.53*(1-O3/100))/0.75</f>
        <v>195.37333333333333</v>
      </c>
      <c r="M1048" s="12"/>
      <c r="N1048" s="59">
        <f t="shared" si="51"/>
        <v>0</v>
      </c>
      <c r="O1048" s="62">
        <f>0.163*M1048</f>
        <v>0</v>
      </c>
      <c r="P1048" s="63">
        <f>0.00045*M1048</f>
        <v>0</v>
      </c>
      <c r="Q1048" s="64" t="s">
        <v>344</v>
      </c>
      <c r="R1048" s="65" t="s">
        <v>3378</v>
      </c>
      <c r="S1048" s="65" t="s">
        <v>93</v>
      </c>
      <c r="T1048" s="56" t="str">
        <f>HYPERLINK("https://kanzpp.ru/api/getInfo/image/857a22ad-71cf-11f0-a284-00155d82e908")</f>
        <v>https://kanzpp.ru/api/getInfo/image/857a22ad-71cf-11f0-a284-00155d82e908</v>
      </c>
      <c r="U1048" s="56"/>
      <c r="V1048" s="66"/>
    </row>
    <row r="1049" spans="2:22" ht="21" customHeight="1" outlineLevel="4" x14ac:dyDescent="0.2">
      <c r="B1049" s="55">
        <v>819</v>
      </c>
      <c r="C1049" s="56" t="s">
        <v>3379</v>
      </c>
      <c r="D1049" s="56" t="s">
        <v>3380</v>
      </c>
      <c r="E1049" s="57" t="s">
        <v>3381</v>
      </c>
      <c r="F1049" s="58"/>
      <c r="G1049" s="59"/>
      <c r="H1049" s="60">
        <v>20</v>
      </c>
      <c r="I1049" s="59"/>
      <c r="J1049" s="60">
        <v>613</v>
      </c>
      <c r="K1049" s="55">
        <v>5</v>
      </c>
      <c r="L1049" s="61">
        <f>(146.53*(1-O3/100))/0.75</f>
        <v>195.37333333333333</v>
      </c>
      <c r="M1049" s="12"/>
      <c r="N1049" s="59">
        <f t="shared" si="51"/>
        <v>0</v>
      </c>
      <c r="O1049" s="62">
        <f>0.163*M1049</f>
        <v>0</v>
      </c>
      <c r="P1049" s="68">
        <f>0.0029*M1049</f>
        <v>0</v>
      </c>
      <c r="Q1049" s="64" t="s">
        <v>344</v>
      </c>
      <c r="R1049" s="65" t="s">
        <v>3382</v>
      </c>
      <c r="S1049" s="65" t="s">
        <v>93</v>
      </c>
      <c r="T1049" s="56" t="str">
        <f>HYPERLINK("https://kanzpp.ru/api/getInfo/image/58308a56-71d0-11f0-a284-00155d82e908")</f>
        <v>https://kanzpp.ru/api/getInfo/image/58308a56-71d0-11f0-a284-00155d82e908</v>
      </c>
      <c r="U1049" s="56"/>
      <c r="V1049" s="66"/>
    </row>
    <row r="1050" spans="2:22" ht="21" customHeight="1" outlineLevel="4" x14ac:dyDescent="0.2">
      <c r="B1050" s="55">
        <v>820</v>
      </c>
      <c r="C1050" s="56" t="s">
        <v>3383</v>
      </c>
      <c r="D1050" s="56" t="s">
        <v>3384</v>
      </c>
      <c r="E1050" s="57" t="s">
        <v>3385</v>
      </c>
      <c r="F1050" s="58"/>
      <c r="G1050" s="59"/>
      <c r="H1050" s="60">
        <v>20</v>
      </c>
      <c r="I1050" s="59"/>
      <c r="J1050" s="67">
        <v>1510</v>
      </c>
      <c r="K1050" s="55">
        <v>5</v>
      </c>
      <c r="L1050" s="61">
        <f>(146.53*(1-O3/100))/0.75</f>
        <v>195.37333333333333</v>
      </c>
      <c r="M1050" s="12"/>
      <c r="N1050" s="59">
        <f t="shared" si="51"/>
        <v>0</v>
      </c>
      <c r="O1050" s="62">
        <f>0.166*M1050</f>
        <v>0</v>
      </c>
      <c r="P1050" s="63">
        <f>0.00076*M1050</f>
        <v>0</v>
      </c>
      <c r="Q1050" s="64" t="s">
        <v>344</v>
      </c>
      <c r="R1050" s="65" t="s">
        <v>3386</v>
      </c>
      <c r="S1050" s="65" t="s">
        <v>93</v>
      </c>
      <c r="T1050" s="56" t="str">
        <f>HYPERLINK("https://kanzpp.ru/api/getInfo/image/6bcf822e-71cf-11f0-a284-00155d82e908")</f>
        <v>https://kanzpp.ru/api/getInfo/image/6bcf822e-71cf-11f0-a284-00155d82e908</v>
      </c>
      <c r="U1050" s="56"/>
      <c r="V1050" s="66"/>
    </row>
    <row r="1051" spans="2:22" ht="21" customHeight="1" outlineLevel="4" x14ac:dyDescent="0.2">
      <c r="B1051" s="36">
        <v>821</v>
      </c>
      <c r="C1051" s="37" t="s">
        <v>3387</v>
      </c>
      <c r="D1051" s="37" t="s">
        <v>3388</v>
      </c>
      <c r="E1051" s="38" t="s">
        <v>3389</v>
      </c>
      <c r="F1051" s="39"/>
      <c r="G1051" s="40"/>
      <c r="H1051" s="41">
        <v>25</v>
      </c>
      <c r="I1051" s="40"/>
      <c r="J1051" s="50">
        <v>2372</v>
      </c>
      <c r="K1051" s="36">
        <v>10</v>
      </c>
      <c r="L1051" s="42">
        <f>(61.23*(1-O3/100))/0.75</f>
        <v>81.64</v>
      </c>
      <c r="M1051" s="12"/>
      <c r="N1051" s="40">
        <f t="shared" si="51"/>
        <v>0</v>
      </c>
      <c r="O1051" s="43">
        <f>0.075*M1051</f>
        <v>0</v>
      </c>
      <c r="P1051" s="40">
        <v>0</v>
      </c>
      <c r="Q1051" s="44"/>
      <c r="R1051" s="45" t="s">
        <v>3390</v>
      </c>
      <c r="S1051" s="45" t="s">
        <v>93</v>
      </c>
      <c r="T1051" s="37" t="str">
        <f>HYPERLINK("https://kanzpp.ru/api/getInfo/image/3d861c8b-8c5b-11ef-a265-00155d82e908")</f>
        <v>https://kanzpp.ru/api/getInfo/image/3d861c8b-8c5b-11ef-a265-00155d82e908</v>
      </c>
      <c r="U1051" s="37"/>
    </row>
    <row r="1052" spans="2:22" ht="21" customHeight="1" outlineLevel="4" x14ac:dyDescent="0.2">
      <c r="B1052" s="36">
        <v>822</v>
      </c>
      <c r="C1052" s="37" t="s">
        <v>3391</v>
      </c>
      <c r="D1052" s="37" t="s">
        <v>3392</v>
      </c>
      <c r="E1052" s="38" t="s">
        <v>3393</v>
      </c>
      <c r="F1052" s="39"/>
      <c r="G1052" s="40"/>
      <c r="H1052" s="41">
        <v>25</v>
      </c>
      <c r="I1052" s="40"/>
      <c r="J1052" s="40" t="s">
        <v>144</v>
      </c>
      <c r="K1052" s="36">
        <v>10</v>
      </c>
      <c r="L1052" s="42">
        <f>(69.3*(1-O3/100))/0.75</f>
        <v>92.399999999999991</v>
      </c>
      <c r="M1052" s="12"/>
      <c r="N1052" s="40">
        <f t="shared" si="51"/>
        <v>0</v>
      </c>
      <c r="O1052" s="43">
        <f>0.057*M1052</f>
        <v>0</v>
      </c>
      <c r="P1052" s="47">
        <f>0.00062*M1052</f>
        <v>0</v>
      </c>
      <c r="Q1052" s="44"/>
      <c r="R1052" s="45" t="s">
        <v>3394</v>
      </c>
      <c r="S1052" s="45" t="s">
        <v>93</v>
      </c>
      <c r="T1052" s="37" t="str">
        <f>HYPERLINK("https://kanzpp.ru/api/getInfo/image/3e789238-a3e1-11ea-a248-ac1f6b442184")</f>
        <v>https://kanzpp.ru/api/getInfo/image/3e789238-a3e1-11ea-a248-ac1f6b442184</v>
      </c>
      <c r="U1052" s="37"/>
    </row>
    <row r="1053" spans="2:22" ht="21" customHeight="1" outlineLevel="4" x14ac:dyDescent="0.2">
      <c r="B1053" s="36">
        <v>823</v>
      </c>
      <c r="C1053" s="37" t="s">
        <v>3395</v>
      </c>
      <c r="D1053" s="37" t="s">
        <v>3396</v>
      </c>
      <c r="E1053" s="38" t="s">
        <v>3397</v>
      </c>
      <c r="F1053" s="39"/>
      <c r="G1053" s="40"/>
      <c r="H1053" s="41">
        <v>24</v>
      </c>
      <c r="I1053" s="40"/>
      <c r="J1053" s="40" t="s">
        <v>144</v>
      </c>
      <c r="K1053" s="36">
        <v>10</v>
      </c>
      <c r="L1053" s="42">
        <f>(69.3*(1-O3/100))/0.75</f>
        <v>92.399999999999991</v>
      </c>
      <c r="M1053" s="12"/>
      <c r="N1053" s="40">
        <f t="shared" si="51"/>
        <v>0</v>
      </c>
      <c r="O1053" s="43">
        <f>0.083*M1053</f>
        <v>0</v>
      </c>
      <c r="P1053" s="43">
        <f>0.001*M1053</f>
        <v>0</v>
      </c>
      <c r="Q1053" s="44"/>
      <c r="R1053" s="45" t="s">
        <v>3398</v>
      </c>
      <c r="S1053" s="45" t="s">
        <v>93</v>
      </c>
      <c r="T1053" s="37" t="str">
        <f>HYPERLINK("https://kanzpp.ru/api/getInfo/image/670d9981-aa1d-11ea-a248-ac1f6b442184")</f>
        <v>https://kanzpp.ru/api/getInfo/image/670d9981-aa1d-11ea-a248-ac1f6b442184</v>
      </c>
      <c r="U1053" s="37"/>
    </row>
    <row r="1054" spans="2:22" ht="21" customHeight="1" outlineLevel="4" x14ac:dyDescent="0.2">
      <c r="B1054" s="5">
        <v>824</v>
      </c>
      <c r="C1054" s="6" t="s">
        <v>3399</v>
      </c>
      <c r="D1054" s="6" t="s">
        <v>3400</v>
      </c>
      <c r="E1054" s="7" t="s">
        <v>3401</v>
      </c>
      <c r="F1054" s="13"/>
      <c r="G1054" s="14"/>
      <c r="H1054" s="15">
        <v>25</v>
      </c>
      <c r="I1054" s="14"/>
      <c r="J1054" s="14" t="s">
        <v>144</v>
      </c>
      <c r="K1054" s="5">
        <v>10</v>
      </c>
      <c r="L1054" s="16">
        <v>63.066666666666663</v>
      </c>
      <c r="M1054" s="12"/>
      <c r="N1054" s="14">
        <f t="shared" si="51"/>
        <v>0</v>
      </c>
      <c r="O1054" s="23">
        <f>0.078*M1054</f>
        <v>0</v>
      </c>
      <c r="P1054" s="24">
        <f>0.00057*M1054</f>
        <v>0</v>
      </c>
      <c r="Q1054" s="25"/>
      <c r="R1054" s="26" t="s">
        <v>3402</v>
      </c>
      <c r="S1054" s="26" t="s">
        <v>93</v>
      </c>
      <c r="T1054" s="6" t="str">
        <f>HYPERLINK("https://kanzpp.ru/api/getInfo/image/44e2e397-d50b-11e7-b2c3-5cf3fc4a2490")</f>
        <v>https://kanzpp.ru/api/getInfo/image/44e2e397-d50b-11e7-b2c3-5cf3fc4a2490</v>
      </c>
      <c r="U1054" s="6"/>
      <c r="V1054" s="33" t="s">
        <v>35</v>
      </c>
    </row>
    <row r="1055" spans="2:22" ht="21" customHeight="1" outlineLevel="4" x14ac:dyDescent="0.2">
      <c r="B1055" s="55">
        <v>825</v>
      </c>
      <c r="C1055" s="56" t="s">
        <v>3403</v>
      </c>
      <c r="D1055" s="56" t="s">
        <v>3404</v>
      </c>
      <c r="E1055" s="57" t="s">
        <v>3405</v>
      </c>
      <c r="F1055" s="58"/>
      <c r="G1055" s="59"/>
      <c r="H1055" s="60">
        <v>20</v>
      </c>
      <c r="I1055" s="59"/>
      <c r="J1055" s="67">
        <v>1513</v>
      </c>
      <c r="K1055" s="55">
        <v>5</v>
      </c>
      <c r="L1055" s="61">
        <f>(146.53*(1-O3/100))/0.75</f>
        <v>195.37333333333333</v>
      </c>
      <c r="M1055" s="12"/>
      <c r="N1055" s="59">
        <f t="shared" si="51"/>
        <v>0</v>
      </c>
      <c r="O1055" s="62">
        <f>0.162*M1055</f>
        <v>0</v>
      </c>
      <c r="P1055" s="63">
        <f>0.00271*M1055</f>
        <v>0</v>
      </c>
      <c r="Q1055" s="64" t="s">
        <v>344</v>
      </c>
      <c r="R1055" s="65" t="s">
        <v>3406</v>
      </c>
      <c r="S1055" s="65" t="s">
        <v>93</v>
      </c>
      <c r="T1055" s="56" t="str">
        <f>HYPERLINK("https://kanzpp.ru/api/getInfo/image/548e67e4-71cf-11f0-a284-00155d82e908")</f>
        <v>https://kanzpp.ru/api/getInfo/image/548e67e4-71cf-11f0-a284-00155d82e908</v>
      </c>
      <c r="U1055" s="56"/>
      <c r="V1055" s="66"/>
    </row>
    <row r="1056" spans="2:22" ht="22.95" customHeight="1" outlineLevel="3" x14ac:dyDescent="0.2">
      <c r="B1056" s="81" t="s">
        <v>3407</v>
      </c>
      <c r="C1056" s="81"/>
      <c r="D1056" s="81"/>
      <c r="L1056">
        <v>0</v>
      </c>
    </row>
    <row r="1057" spans="2:22" ht="21" customHeight="1" outlineLevel="4" x14ac:dyDescent="0.2">
      <c r="B1057" s="36">
        <v>826</v>
      </c>
      <c r="C1057" s="37" t="s">
        <v>3408</v>
      </c>
      <c r="D1057" s="37" t="s">
        <v>3409</v>
      </c>
      <c r="E1057" s="38" t="s">
        <v>3410</v>
      </c>
      <c r="F1057" s="39"/>
      <c r="G1057" s="40"/>
      <c r="H1057" s="41">
        <v>45</v>
      </c>
      <c r="I1057" s="40"/>
      <c r="J1057" s="40" t="s">
        <v>144</v>
      </c>
      <c r="K1057" s="36">
        <v>30</v>
      </c>
      <c r="L1057" s="42">
        <f>(20.67*(1-O3/100))/0.75</f>
        <v>27.560000000000002</v>
      </c>
      <c r="M1057" s="12"/>
      <c r="N1057" s="40">
        <f t="shared" ref="N1057:N1063" si="52">L1057*M1057</f>
        <v>0</v>
      </c>
      <c r="O1057" s="43">
        <f>0.032*M1057</f>
        <v>0</v>
      </c>
      <c r="P1057" s="47">
        <f>0.00044*M1057</f>
        <v>0</v>
      </c>
      <c r="Q1057" s="44"/>
      <c r="R1057" s="45" t="s">
        <v>3411</v>
      </c>
      <c r="S1057" s="45" t="s">
        <v>93</v>
      </c>
      <c r="T1057" s="37" t="str">
        <f>HYPERLINK("https://kanzpp.ru/api/getInfo/image/c912496e-8e29-11e7-8697-5cf3fc4a2490")</f>
        <v>https://kanzpp.ru/api/getInfo/image/c912496e-8e29-11e7-8697-5cf3fc4a2490</v>
      </c>
      <c r="U1057" s="37"/>
    </row>
    <row r="1058" spans="2:22" ht="21" customHeight="1" outlineLevel="4" x14ac:dyDescent="0.2">
      <c r="B1058" s="36">
        <v>827</v>
      </c>
      <c r="C1058" s="37" t="s">
        <v>3412</v>
      </c>
      <c r="D1058" s="37" t="s">
        <v>3413</v>
      </c>
      <c r="E1058" s="38" t="s">
        <v>3414</v>
      </c>
      <c r="F1058" s="39"/>
      <c r="G1058" s="40"/>
      <c r="H1058" s="41">
        <v>45</v>
      </c>
      <c r="I1058" s="40"/>
      <c r="J1058" s="40" t="s">
        <v>144</v>
      </c>
      <c r="K1058" s="36">
        <v>30</v>
      </c>
      <c r="L1058" s="42">
        <f>(20.67*(1-O3/100))/0.75</f>
        <v>27.560000000000002</v>
      </c>
      <c r="M1058" s="12"/>
      <c r="N1058" s="40">
        <f t="shared" si="52"/>
        <v>0</v>
      </c>
      <c r="O1058" s="43">
        <f>0.032*M1058</f>
        <v>0</v>
      </c>
      <c r="P1058" s="47">
        <f>0.00044*M1058</f>
        <v>0</v>
      </c>
      <c r="Q1058" s="44"/>
      <c r="R1058" s="45" t="s">
        <v>3415</v>
      </c>
      <c r="S1058" s="45" t="s">
        <v>93</v>
      </c>
      <c r="T1058" s="37" t="str">
        <f>HYPERLINK("https://kanzpp.ru/api/getInfo/image/dea2793c-8e29-11e7-8697-5cf3fc4a2490")</f>
        <v>https://kanzpp.ru/api/getInfo/image/dea2793c-8e29-11e7-8697-5cf3fc4a2490</v>
      </c>
      <c r="U1058" s="37"/>
    </row>
    <row r="1059" spans="2:22" ht="21" customHeight="1" outlineLevel="4" x14ac:dyDescent="0.2">
      <c r="B1059" s="36">
        <v>828</v>
      </c>
      <c r="C1059" s="37" t="s">
        <v>3416</v>
      </c>
      <c r="D1059" s="37" t="s">
        <v>453</v>
      </c>
      <c r="E1059" s="38" t="s">
        <v>454</v>
      </c>
      <c r="F1059" s="39"/>
      <c r="G1059" s="40"/>
      <c r="H1059" s="41">
        <v>45</v>
      </c>
      <c r="I1059" s="40"/>
      <c r="J1059" s="40" t="s">
        <v>144</v>
      </c>
      <c r="K1059" s="36">
        <v>30</v>
      </c>
      <c r="L1059" s="42">
        <f>(24.67*(1-O3/100))/0.75</f>
        <v>32.893333333333338</v>
      </c>
      <c r="M1059" s="12"/>
      <c r="N1059" s="40">
        <f t="shared" si="52"/>
        <v>0</v>
      </c>
      <c r="O1059" s="43">
        <f>0.032*M1059</f>
        <v>0</v>
      </c>
      <c r="P1059" s="47">
        <f>0.00044*M1059</f>
        <v>0</v>
      </c>
      <c r="Q1059" s="44"/>
      <c r="R1059" s="45" t="s">
        <v>455</v>
      </c>
      <c r="S1059" s="45" t="s">
        <v>93</v>
      </c>
      <c r="T1059" s="37" t="str">
        <f>HYPERLINK("https://kanzpp.ru/api/getInfo/image/c87ff14a-7c31-11e7-8697-5cf3fc4a2490")</f>
        <v>https://kanzpp.ru/api/getInfo/image/c87ff14a-7c31-11e7-8697-5cf3fc4a2490</v>
      </c>
      <c r="U1059" s="37"/>
    </row>
    <row r="1060" spans="2:22" ht="21" customHeight="1" outlineLevel="4" x14ac:dyDescent="0.2">
      <c r="B1060" s="5">
        <v>829</v>
      </c>
      <c r="C1060" s="6" t="s">
        <v>3417</v>
      </c>
      <c r="D1060" s="6" t="s">
        <v>3418</v>
      </c>
      <c r="E1060" s="7" t="s">
        <v>3419</v>
      </c>
      <c r="F1060" s="13"/>
      <c r="G1060" s="14"/>
      <c r="H1060" s="15">
        <v>45</v>
      </c>
      <c r="I1060" s="14"/>
      <c r="J1060" s="14" t="s">
        <v>144</v>
      </c>
      <c r="K1060" s="5">
        <v>30</v>
      </c>
      <c r="L1060" s="16">
        <v>15.986666666666666</v>
      </c>
      <c r="M1060" s="12"/>
      <c r="N1060" s="14">
        <f t="shared" si="52"/>
        <v>0</v>
      </c>
      <c r="O1060" s="23">
        <f>0.024*M1060</f>
        <v>0</v>
      </c>
      <c r="P1060" s="24">
        <f>0.00044*M1060</f>
        <v>0</v>
      </c>
      <c r="Q1060" s="25"/>
      <c r="R1060" s="26" t="s">
        <v>3420</v>
      </c>
      <c r="S1060" s="26" t="s">
        <v>93</v>
      </c>
      <c r="T1060" s="6" t="str">
        <f>HYPERLINK("https://kanzpp.ru/api/getInfo/image/a8e3afdc-94a3-11e7-96c0-5cf3fc4a2490")</f>
        <v>https://kanzpp.ru/api/getInfo/image/a8e3afdc-94a3-11e7-96c0-5cf3fc4a2490</v>
      </c>
      <c r="U1060" s="6"/>
      <c r="V1060" s="33" t="s">
        <v>35</v>
      </c>
    </row>
    <row r="1061" spans="2:22" ht="21" customHeight="1" outlineLevel="4" x14ac:dyDescent="0.2">
      <c r="B1061" s="36">
        <v>830</v>
      </c>
      <c r="C1061" s="37" t="s">
        <v>3421</v>
      </c>
      <c r="D1061" s="37" t="s">
        <v>3422</v>
      </c>
      <c r="E1061" s="38" t="s">
        <v>3423</v>
      </c>
      <c r="F1061" s="39"/>
      <c r="G1061" s="40"/>
      <c r="H1061" s="41">
        <v>45</v>
      </c>
      <c r="I1061" s="40"/>
      <c r="J1061" s="40" t="s">
        <v>144</v>
      </c>
      <c r="K1061" s="36">
        <v>30</v>
      </c>
      <c r="L1061" s="42">
        <f>(29.47*(1-O3/100))/0.75</f>
        <v>39.293333333333329</v>
      </c>
      <c r="M1061" s="12"/>
      <c r="N1061" s="40">
        <f t="shared" si="52"/>
        <v>0</v>
      </c>
      <c r="O1061" s="43">
        <f>0.106*M1061</f>
        <v>0</v>
      </c>
      <c r="P1061" s="47">
        <f>0.00031*M1061</f>
        <v>0</v>
      </c>
      <c r="Q1061" s="44"/>
      <c r="R1061" s="45" t="s">
        <v>3424</v>
      </c>
      <c r="S1061" s="45" t="s">
        <v>93</v>
      </c>
      <c r="T1061" s="37" t="str">
        <f>HYPERLINK("https://kanzpp.ru/api/getInfo/image/92ba9404-94ef-11ea-a247-ac1f6b442184")</f>
        <v>https://kanzpp.ru/api/getInfo/image/92ba9404-94ef-11ea-a247-ac1f6b442184</v>
      </c>
      <c r="U1061" s="37"/>
    </row>
    <row r="1062" spans="2:22" ht="21" customHeight="1" outlineLevel="4" x14ac:dyDescent="0.2">
      <c r="B1062" s="36">
        <v>831</v>
      </c>
      <c r="C1062" s="37" t="s">
        <v>3425</v>
      </c>
      <c r="D1062" s="37" t="s">
        <v>3426</v>
      </c>
      <c r="E1062" s="38" t="s">
        <v>3427</v>
      </c>
      <c r="F1062" s="39"/>
      <c r="G1062" s="40"/>
      <c r="H1062" s="41">
        <v>45</v>
      </c>
      <c r="I1062" s="40"/>
      <c r="J1062" s="40" t="s">
        <v>144</v>
      </c>
      <c r="K1062" s="36">
        <v>25</v>
      </c>
      <c r="L1062" s="42">
        <f>(28.27*(1-O3/100))/0.75</f>
        <v>37.693333333333335</v>
      </c>
      <c r="M1062" s="12"/>
      <c r="N1062" s="40">
        <f t="shared" si="52"/>
        <v>0</v>
      </c>
      <c r="O1062" s="43">
        <f>0.032*M1062</f>
        <v>0</v>
      </c>
      <c r="P1062" s="47">
        <f>0.00044*M1062</f>
        <v>0</v>
      </c>
      <c r="Q1062" s="44"/>
      <c r="R1062" s="45" t="s">
        <v>3428</v>
      </c>
      <c r="S1062" s="45" t="s">
        <v>93</v>
      </c>
      <c r="T1062" s="37" t="str">
        <f>HYPERLINK("https://kanzpp.ru/api/getInfo/image/1757c861-4610-11e7-977d-5cf3fc4a2490")</f>
        <v>https://kanzpp.ru/api/getInfo/image/1757c861-4610-11e7-977d-5cf3fc4a2490</v>
      </c>
      <c r="U1062" s="37"/>
    </row>
    <row r="1063" spans="2:22" ht="21" customHeight="1" outlineLevel="4" x14ac:dyDescent="0.2">
      <c r="B1063" s="36">
        <v>832</v>
      </c>
      <c r="C1063" s="37" t="s">
        <v>3429</v>
      </c>
      <c r="D1063" s="37" t="s">
        <v>3430</v>
      </c>
      <c r="E1063" s="38" t="s">
        <v>3431</v>
      </c>
      <c r="F1063" s="39"/>
      <c r="G1063" s="40"/>
      <c r="H1063" s="41">
        <v>45</v>
      </c>
      <c r="I1063" s="40"/>
      <c r="J1063" s="40" t="s">
        <v>144</v>
      </c>
      <c r="K1063" s="36">
        <v>30</v>
      </c>
      <c r="L1063" s="42">
        <f>(29.47*(1-O3/100))/0.75</f>
        <v>39.293333333333329</v>
      </c>
      <c r="M1063" s="12"/>
      <c r="N1063" s="40">
        <f t="shared" si="52"/>
        <v>0</v>
      </c>
      <c r="O1063" s="43">
        <f>0.032*M1063</f>
        <v>0</v>
      </c>
      <c r="P1063" s="47">
        <f>0.00044*M1063</f>
        <v>0</v>
      </c>
      <c r="Q1063" s="44"/>
      <c r="R1063" s="45" t="s">
        <v>3432</v>
      </c>
      <c r="S1063" s="45" t="s">
        <v>93</v>
      </c>
      <c r="T1063" s="37" t="str">
        <f>HYPERLINK("https://kanzpp.ru/api/getInfo/image/b5ea129c-aa1d-11ea-a248-ac1f6b442184")</f>
        <v>https://kanzpp.ru/api/getInfo/image/b5ea129c-aa1d-11ea-a248-ac1f6b442184</v>
      </c>
      <c r="U1063" s="37"/>
    </row>
    <row r="1064" spans="2:22" ht="22.95" customHeight="1" outlineLevel="3" x14ac:dyDescent="0.2">
      <c r="B1064" s="81" t="s">
        <v>451</v>
      </c>
      <c r="C1064" s="81"/>
      <c r="D1064" s="81"/>
      <c r="L1064">
        <v>0</v>
      </c>
    </row>
    <row r="1065" spans="2:22" ht="22.95" customHeight="1" outlineLevel="4" x14ac:dyDescent="0.2">
      <c r="B1065" s="82" t="s">
        <v>3433</v>
      </c>
      <c r="C1065" s="82"/>
      <c r="D1065" s="82"/>
      <c r="L1065">
        <v>0</v>
      </c>
    </row>
    <row r="1066" spans="2:22" ht="22.95" customHeight="1" outlineLevel="5" x14ac:dyDescent="0.2">
      <c r="B1066" s="83" t="s">
        <v>3434</v>
      </c>
      <c r="C1066" s="83"/>
      <c r="D1066" s="83"/>
      <c r="L1066">
        <v>0</v>
      </c>
    </row>
    <row r="1067" spans="2:22" ht="21" customHeight="1" outlineLevel="6" x14ac:dyDescent="0.2">
      <c r="B1067" s="36">
        <v>833</v>
      </c>
      <c r="C1067" s="37" t="s">
        <v>3435</v>
      </c>
      <c r="D1067" s="37" t="s">
        <v>3436</v>
      </c>
      <c r="E1067" s="38" t="s">
        <v>3437</v>
      </c>
      <c r="F1067" s="39"/>
      <c r="G1067" s="40"/>
      <c r="H1067" s="41">
        <v>200</v>
      </c>
      <c r="I1067" s="41">
        <v>10</v>
      </c>
      <c r="J1067" s="41">
        <v>462</v>
      </c>
      <c r="K1067" s="36">
        <v>40</v>
      </c>
      <c r="L1067" s="42">
        <f>(13.23*(1-O3/100))/0.75</f>
        <v>17.64</v>
      </c>
      <c r="M1067" s="12"/>
      <c r="N1067" s="40">
        <f>L1067*M1067</f>
        <v>0</v>
      </c>
      <c r="O1067" s="43">
        <f>0.017*M1067</f>
        <v>0</v>
      </c>
      <c r="P1067" s="47">
        <f>0.00051*M1067</f>
        <v>0</v>
      </c>
      <c r="Q1067" s="44"/>
      <c r="R1067" s="45" t="s">
        <v>3438</v>
      </c>
      <c r="S1067" s="45" t="s">
        <v>29</v>
      </c>
      <c r="T1067" s="37" t="str">
        <f>HYPERLINK("https://kanzpp.ru/api/getInfo/image/8301f646-cb76-11e6-a6d3-5cf3fc4a2490")</f>
        <v>https://kanzpp.ru/api/getInfo/image/8301f646-cb76-11e6-a6d3-5cf3fc4a2490</v>
      </c>
      <c r="U1067" s="37"/>
    </row>
    <row r="1068" spans="2:22" ht="21" customHeight="1" outlineLevel="6" x14ac:dyDescent="0.2">
      <c r="B1068" s="36">
        <v>834</v>
      </c>
      <c r="C1068" s="37" t="s">
        <v>3439</v>
      </c>
      <c r="D1068" s="37" t="s">
        <v>3440</v>
      </c>
      <c r="E1068" s="38" t="s">
        <v>3441</v>
      </c>
      <c r="F1068" s="39"/>
      <c r="G1068" s="40"/>
      <c r="H1068" s="41">
        <v>200</v>
      </c>
      <c r="I1068" s="41">
        <v>10</v>
      </c>
      <c r="J1068" s="41">
        <v>600</v>
      </c>
      <c r="K1068" s="36">
        <v>40</v>
      </c>
      <c r="L1068" s="42">
        <f>(19.15*(1-O3/100))/0.75</f>
        <v>25.533333333333331</v>
      </c>
      <c r="M1068" s="12"/>
      <c r="N1068" s="40">
        <f>L1068*M1068</f>
        <v>0</v>
      </c>
      <c r="O1068" s="43">
        <f>0.017*M1068</f>
        <v>0</v>
      </c>
      <c r="P1068" s="47">
        <f>0.00051*M1068</f>
        <v>0</v>
      </c>
      <c r="Q1068" s="44"/>
      <c r="R1068" s="45" t="s">
        <v>3442</v>
      </c>
      <c r="S1068" s="45" t="s">
        <v>29</v>
      </c>
      <c r="T1068" s="37" t="str">
        <f>HYPERLINK("https://kanzpp.ru/api/getInfo/image/9e3d2753-a3e1-11ea-a248-ac1f6b442184")</f>
        <v>https://kanzpp.ru/api/getInfo/image/9e3d2753-a3e1-11ea-a248-ac1f6b442184</v>
      </c>
      <c r="U1068" s="37"/>
    </row>
    <row r="1069" spans="2:22" ht="21" customHeight="1" outlineLevel="6" x14ac:dyDescent="0.2">
      <c r="B1069" s="36">
        <v>835</v>
      </c>
      <c r="C1069" s="37" t="s">
        <v>3443</v>
      </c>
      <c r="D1069" s="37" t="s">
        <v>3444</v>
      </c>
      <c r="E1069" s="38" t="s">
        <v>3445</v>
      </c>
      <c r="F1069" s="39"/>
      <c r="G1069" s="40"/>
      <c r="H1069" s="41">
        <v>200</v>
      </c>
      <c r="I1069" s="41">
        <v>10</v>
      </c>
      <c r="J1069" s="41">
        <v>30</v>
      </c>
      <c r="K1069" s="36">
        <v>30</v>
      </c>
      <c r="L1069" s="42">
        <f>(15.95*(1-O3/100))/0.75</f>
        <v>21.266666666666666</v>
      </c>
      <c r="M1069" s="12"/>
      <c r="N1069" s="40">
        <f>L1069*M1069</f>
        <v>0</v>
      </c>
      <c r="O1069" s="43">
        <f>0.017*M1069</f>
        <v>0</v>
      </c>
      <c r="P1069" s="47">
        <f>0.00051*M1069</f>
        <v>0</v>
      </c>
      <c r="Q1069" s="44"/>
      <c r="R1069" s="45" t="s">
        <v>3446</v>
      </c>
      <c r="S1069" s="45" t="s">
        <v>29</v>
      </c>
      <c r="T1069" s="37" t="str">
        <f>HYPERLINK("https://kanzpp.ru/api/getInfo/image/4024eba6-a589-11e5-9e78-5cf3fc4a2490")</f>
        <v>https://kanzpp.ru/api/getInfo/image/4024eba6-a589-11e5-9e78-5cf3fc4a2490</v>
      </c>
      <c r="U1069" s="37"/>
    </row>
    <row r="1070" spans="2:22" ht="21" customHeight="1" outlineLevel="6" x14ac:dyDescent="0.2">
      <c r="B1070" s="36">
        <v>836</v>
      </c>
      <c r="C1070" s="37" t="s">
        <v>3447</v>
      </c>
      <c r="D1070" s="37" t="s">
        <v>3448</v>
      </c>
      <c r="E1070" s="38" t="s">
        <v>3449</v>
      </c>
      <c r="F1070" s="39"/>
      <c r="G1070" s="40"/>
      <c r="H1070" s="41">
        <v>200</v>
      </c>
      <c r="I1070" s="41">
        <v>10</v>
      </c>
      <c r="J1070" s="41">
        <v>517</v>
      </c>
      <c r="K1070" s="36">
        <v>40</v>
      </c>
      <c r="L1070" s="42">
        <f>(15.95*(1-O3/100))/0.75</f>
        <v>21.266666666666666</v>
      </c>
      <c r="M1070" s="12"/>
      <c r="N1070" s="40">
        <f>L1070*M1070</f>
        <v>0</v>
      </c>
      <c r="O1070" s="43">
        <f>0.017*M1070</f>
        <v>0</v>
      </c>
      <c r="P1070" s="47">
        <f>0.00051*M1070</f>
        <v>0</v>
      </c>
      <c r="Q1070" s="44"/>
      <c r="R1070" s="45" t="s">
        <v>3450</v>
      </c>
      <c r="S1070" s="45" t="s">
        <v>29</v>
      </c>
      <c r="T1070" s="37" t="str">
        <f>HYPERLINK("https://kanzpp.ru/api/getInfo/image/43eb976e-cec6-11e7-9263-5cf3fc4a2490")</f>
        <v>https://kanzpp.ru/api/getInfo/image/43eb976e-cec6-11e7-9263-5cf3fc4a2490</v>
      </c>
      <c r="U1070" s="37"/>
    </row>
    <row r="1071" spans="2:22" ht="21" customHeight="1" outlineLevel="6" x14ac:dyDescent="0.2">
      <c r="B1071" s="36">
        <v>837</v>
      </c>
      <c r="C1071" s="37" t="s">
        <v>3451</v>
      </c>
      <c r="D1071" s="37" t="s">
        <v>3452</v>
      </c>
      <c r="E1071" s="38" t="s">
        <v>3453</v>
      </c>
      <c r="F1071" s="39"/>
      <c r="G1071" s="40"/>
      <c r="H1071" s="41">
        <v>200</v>
      </c>
      <c r="I1071" s="41">
        <v>10</v>
      </c>
      <c r="J1071" s="40" t="s">
        <v>144</v>
      </c>
      <c r="K1071" s="36">
        <v>40</v>
      </c>
      <c r="L1071" s="42">
        <f>(18.45*(1-O3/100))/0.75</f>
        <v>24.599999999999998</v>
      </c>
      <c r="M1071" s="12"/>
      <c r="N1071" s="40">
        <f>L1071*M1071</f>
        <v>0</v>
      </c>
      <c r="O1071" s="43">
        <f>0.016*M1071</f>
        <v>0</v>
      </c>
      <c r="P1071" s="47">
        <f>0.00062*M1071</f>
        <v>0</v>
      </c>
      <c r="Q1071" s="44"/>
      <c r="R1071" s="45" t="s">
        <v>3454</v>
      </c>
      <c r="S1071" s="45" t="s">
        <v>29</v>
      </c>
      <c r="T1071" s="37" t="str">
        <f>HYPERLINK("https://kanzpp.ru/api/getInfo/image/a6bfafd5-a588-11e5-9e78-5cf3fc4a2490")</f>
        <v>https://kanzpp.ru/api/getInfo/image/a6bfafd5-a588-11e5-9e78-5cf3fc4a2490</v>
      </c>
      <c r="U1071" s="37"/>
    </row>
    <row r="1072" spans="2:22" ht="22.95" customHeight="1" outlineLevel="5" x14ac:dyDescent="0.2">
      <c r="B1072" s="83" t="s">
        <v>3455</v>
      </c>
      <c r="C1072" s="83"/>
      <c r="D1072" s="83"/>
      <c r="L1072">
        <v>0</v>
      </c>
    </row>
    <row r="1073" spans="2:22" ht="22.95" customHeight="1" outlineLevel="6" x14ac:dyDescent="0.2">
      <c r="B1073" s="84" t="s">
        <v>3456</v>
      </c>
      <c r="C1073" s="84"/>
      <c r="D1073" s="84"/>
      <c r="L1073">
        <v>0</v>
      </c>
    </row>
    <row r="1074" spans="2:22" ht="21" customHeight="1" outlineLevel="7" x14ac:dyDescent="0.2">
      <c r="B1074" s="36">
        <v>838</v>
      </c>
      <c r="C1074" s="37" t="s">
        <v>3457</v>
      </c>
      <c r="D1074" s="37" t="s">
        <v>3458</v>
      </c>
      <c r="E1074" s="38" t="s">
        <v>3459</v>
      </c>
      <c r="F1074" s="39"/>
      <c r="G1074" s="40"/>
      <c r="H1074" s="41">
        <v>200</v>
      </c>
      <c r="I1074" s="41">
        <v>10</v>
      </c>
      <c r="J1074" s="41">
        <v>465</v>
      </c>
      <c r="K1074" s="36">
        <v>30</v>
      </c>
      <c r="L1074" s="42">
        <f>(26.46*(1-O3/100))/0.75</f>
        <v>35.28</v>
      </c>
      <c r="M1074" s="12"/>
      <c r="N1074" s="40">
        <f t="shared" ref="N1074:N1082" si="53">L1074*M1074</f>
        <v>0</v>
      </c>
      <c r="O1074" s="43">
        <f>0.016*M1074</f>
        <v>0</v>
      </c>
      <c r="P1074" s="47">
        <f>0.00052*M1074</f>
        <v>0</v>
      </c>
      <c r="Q1074" s="44"/>
      <c r="R1074" s="45" t="s">
        <v>3460</v>
      </c>
      <c r="S1074" s="45" t="s">
        <v>29</v>
      </c>
      <c r="T1074" s="37" t="str">
        <f>HYPERLINK("https://kanzpp.ru/api/getInfo/image/353e4339-f0b8-11ed-a236-00155d82e902")</f>
        <v>https://kanzpp.ru/api/getInfo/image/353e4339-f0b8-11ed-a236-00155d82e902</v>
      </c>
      <c r="U1074" s="37"/>
    </row>
    <row r="1075" spans="2:22" ht="21" customHeight="1" outlineLevel="7" x14ac:dyDescent="0.2">
      <c r="B1075" s="36">
        <v>839</v>
      </c>
      <c r="C1075" s="37" t="s">
        <v>3461</v>
      </c>
      <c r="D1075" s="37" t="s">
        <v>3462</v>
      </c>
      <c r="E1075" s="38" t="s">
        <v>3463</v>
      </c>
      <c r="F1075" s="39"/>
      <c r="G1075" s="40"/>
      <c r="H1075" s="41">
        <v>200</v>
      </c>
      <c r="I1075" s="41">
        <v>10</v>
      </c>
      <c r="J1075" s="41">
        <v>800</v>
      </c>
      <c r="K1075" s="36">
        <v>30</v>
      </c>
      <c r="L1075" s="42">
        <f>(26.47*(1-O3/100))/0.75</f>
        <v>35.293333333333329</v>
      </c>
      <c r="M1075" s="12"/>
      <c r="N1075" s="40">
        <f t="shared" si="53"/>
        <v>0</v>
      </c>
      <c r="O1075" s="43">
        <f>0.021*M1075</f>
        <v>0</v>
      </c>
      <c r="P1075" s="47">
        <f>0.00051*M1075</f>
        <v>0</v>
      </c>
      <c r="Q1075" s="44"/>
      <c r="R1075" s="45" t="s">
        <v>3464</v>
      </c>
      <c r="S1075" s="45" t="s">
        <v>29</v>
      </c>
      <c r="T1075" s="37" t="str">
        <f>HYPERLINK("https://kanzpp.ru/api/getInfo/image/94fed760-f74f-11f0-a28d-00155d82e908")</f>
        <v>https://kanzpp.ru/api/getInfo/image/94fed760-f74f-11f0-a28d-00155d82e908</v>
      </c>
      <c r="U1075" s="37"/>
    </row>
    <row r="1076" spans="2:22" ht="21" customHeight="1" outlineLevel="7" x14ac:dyDescent="0.2">
      <c r="B1076" s="36">
        <v>840</v>
      </c>
      <c r="C1076" s="37" t="s">
        <v>3465</v>
      </c>
      <c r="D1076" s="37" t="s">
        <v>3466</v>
      </c>
      <c r="E1076" s="38" t="s">
        <v>3467</v>
      </c>
      <c r="F1076" s="39"/>
      <c r="G1076" s="40"/>
      <c r="H1076" s="41">
        <v>200</v>
      </c>
      <c r="I1076" s="41">
        <v>10</v>
      </c>
      <c r="J1076" s="41">
        <v>140</v>
      </c>
      <c r="K1076" s="36">
        <v>30</v>
      </c>
      <c r="L1076" s="42">
        <f>(26.47*(1-O3/100))/0.75</f>
        <v>35.293333333333329</v>
      </c>
      <c r="M1076" s="12"/>
      <c r="N1076" s="40">
        <f t="shared" si="53"/>
        <v>0</v>
      </c>
      <c r="O1076" s="43">
        <f>0.029*M1076</f>
        <v>0</v>
      </c>
      <c r="P1076" s="47">
        <f>0.00083*M1076</f>
        <v>0</v>
      </c>
      <c r="Q1076" s="44"/>
      <c r="R1076" s="45" t="s">
        <v>3468</v>
      </c>
      <c r="S1076" s="45" t="s">
        <v>29</v>
      </c>
      <c r="T1076" s="37" t="str">
        <f>HYPERLINK("https://kanzpp.ru/api/getInfo/image/d2b7e058-f74f-11f0-a28d-00155d82e908")</f>
        <v>https://kanzpp.ru/api/getInfo/image/d2b7e058-f74f-11f0-a28d-00155d82e908</v>
      </c>
      <c r="U1076" s="37"/>
    </row>
    <row r="1077" spans="2:22" ht="21" customHeight="1" outlineLevel="7" x14ac:dyDescent="0.2">
      <c r="B1077" s="36">
        <v>841</v>
      </c>
      <c r="C1077" s="37" t="s">
        <v>3469</v>
      </c>
      <c r="D1077" s="37" t="s">
        <v>3470</v>
      </c>
      <c r="E1077" s="38" t="s">
        <v>3471</v>
      </c>
      <c r="F1077" s="39"/>
      <c r="G1077" s="40"/>
      <c r="H1077" s="41">
        <v>200</v>
      </c>
      <c r="I1077" s="41">
        <v>10</v>
      </c>
      <c r="J1077" s="41">
        <v>360</v>
      </c>
      <c r="K1077" s="36">
        <v>30</v>
      </c>
      <c r="L1077" s="42">
        <f>(26.47*(1-O3/100))/0.75</f>
        <v>35.293333333333329</v>
      </c>
      <c r="M1077" s="12"/>
      <c r="N1077" s="40">
        <f t="shared" si="53"/>
        <v>0</v>
      </c>
      <c r="O1077" s="43">
        <f>0.015*M1077</f>
        <v>0</v>
      </c>
      <c r="P1077" s="47">
        <f>0.00047*M1077</f>
        <v>0</v>
      </c>
      <c r="Q1077" s="44"/>
      <c r="R1077" s="45" t="s">
        <v>3472</v>
      </c>
      <c r="S1077" s="45" t="s">
        <v>29</v>
      </c>
      <c r="T1077" s="37" t="str">
        <f>HYPERLINK("https://kanzpp.ru/api/getInfo/image/f846a748-f74f-11f0-a28d-00155d82e908")</f>
        <v>https://kanzpp.ru/api/getInfo/image/f846a748-f74f-11f0-a28d-00155d82e908</v>
      </c>
      <c r="U1077" s="37"/>
    </row>
    <row r="1078" spans="2:22" ht="21" customHeight="1" outlineLevel="7" x14ac:dyDescent="0.2">
      <c r="B1078" s="36">
        <v>842</v>
      </c>
      <c r="C1078" s="37" t="s">
        <v>3473</v>
      </c>
      <c r="D1078" s="37" t="s">
        <v>3474</v>
      </c>
      <c r="E1078" s="38" t="s">
        <v>3475</v>
      </c>
      <c r="F1078" s="39"/>
      <c r="G1078" s="40"/>
      <c r="H1078" s="41">
        <v>200</v>
      </c>
      <c r="I1078" s="41">
        <v>10</v>
      </c>
      <c r="J1078" s="41">
        <v>120</v>
      </c>
      <c r="K1078" s="36">
        <v>30</v>
      </c>
      <c r="L1078" s="42">
        <f>(26.47*(1-O3/100))/0.75</f>
        <v>35.293333333333329</v>
      </c>
      <c r="M1078" s="12"/>
      <c r="N1078" s="40">
        <f t="shared" si="53"/>
        <v>0</v>
      </c>
      <c r="O1078" s="48">
        <f>0.02*M1078</f>
        <v>0</v>
      </c>
      <c r="P1078" s="47">
        <f>0.00055*M1078</f>
        <v>0</v>
      </c>
      <c r="Q1078" s="44"/>
      <c r="R1078" s="45" t="s">
        <v>3476</v>
      </c>
      <c r="S1078" s="45" t="s">
        <v>29</v>
      </c>
      <c r="T1078" s="37" t="str">
        <f>HYPERLINK("https://kanzpp.ru/api/getInfo/image/1118c312-f751-11f0-a28d-00155d82e908")</f>
        <v>https://kanzpp.ru/api/getInfo/image/1118c312-f751-11f0-a28d-00155d82e908</v>
      </c>
      <c r="U1078" s="37"/>
    </row>
    <row r="1079" spans="2:22" ht="21" customHeight="1" outlineLevel="7" x14ac:dyDescent="0.2">
      <c r="B1079" s="36">
        <v>843</v>
      </c>
      <c r="C1079" s="37" t="s">
        <v>3477</v>
      </c>
      <c r="D1079" s="37" t="s">
        <v>3478</v>
      </c>
      <c r="E1079" s="38" t="s">
        <v>3479</v>
      </c>
      <c r="F1079" s="39"/>
      <c r="G1079" s="40"/>
      <c r="H1079" s="41">
        <v>200</v>
      </c>
      <c r="I1079" s="41">
        <v>10</v>
      </c>
      <c r="J1079" s="50">
        <v>1050</v>
      </c>
      <c r="K1079" s="36">
        <v>30</v>
      </c>
      <c r="L1079" s="42">
        <f>(26.47*(1-O3/100))/0.75</f>
        <v>35.293333333333329</v>
      </c>
      <c r="M1079" s="12"/>
      <c r="N1079" s="40">
        <f t="shared" si="53"/>
        <v>0</v>
      </c>
      <c r="O1079" s="43">
        <f>0.021*M1079</f>
        <v>0</v>
      </c>
      <c r="P1079" s="47">
        <f>0.00056*M1079</f>
        <v>0</v>
      </c>
      <c r="Q1079" s="44"/>
      <c r="R1079" s="45" t="s">
        <v>3480</v>
      </c>
      <c r="S1079" s="45" t="s">
        <v>29</v>
      </c>
      <c r="T1079" s="37" t="str">
        <f>HYPERLINK("https://kanzpp.ru/api/getInfo/image/45228881-f751-11f0-a28d-00155d82e908")</f>
        <v>https://kanzpp.ru/api/getInfo/image/45228881-f751-11f0-a28d-00155d82e908</v>
      </c>
      <c r="U1079" s="37"/>
    </row>
    <row r="1080" spans="2:22" ht="21" customHeight="1" outlineLevel="7" x14ac:dyDescent="0.2">
      <c r="B1080" s="36">
        <v>844</v>
      </c>
      <c r="C1080" s="37" t="s">
        <v>3481</v>
      </c>
      <c r="D1080" s="37" t="s">
        <v>3482</v>
      </c>
      <c r="E1080" s="38" t="s">
        <v>3483</v>
      </c>
      <c r="F1080" s="39"/>
      <c r="G1080" s="40"/>
      <c r="H1080" s="41">
        <v>200</v>
      </c>
      <c r="I1080" s="41">
        <v>10</v>
      </c>
      <c r="J1080" s="41">
        <v>760</v>
      </c>
      <c r="K1080" s="36">
        <v>30</v>
      </c>
      <c r="L1080" s="42">
        <f>(26.47*(1-O3/100))/0.75</f>
        <v>35.293333333333329</v>
      </c>
      <c r="M1080" s="12"/>
      <c r="N1080" s="40">
        <f t="shared" si="53"/>
        <v>0</v>
      </c>
      <c r="O1080" s="48">
        <f>0.02*M1080</f>
        <v>0</v>
      </c>
      <c r="P1080" s="47">
        <f>0.00055*M1080</f>
        <v>0</v>
      </c>
      <c r="Q1080" s="44"/>
      <c r="R1080" s="45" t="s">
        <v>3484</v>
      </c>
      <c r="S1080" s="45" t="s">
        <v>29</v>
      </c>
      <c r="T1080" s="37" t="str">
        <f>HYPERLINK("https://kanzpp.ru/api/getInfo/image/68fe94f9-f750-11f0-a28d-00155d82e908")</f>
        <v>https://kanzpp.ru/api/getInfo/image/68fe94f9-f750-11f0-a28d-00155d82e908</v>
      </c>
      <c r="U1080" s="37"/>
    </row>
    <row r="1081" spans="2:22" ht="21" customHeight="1" outlineLevel="7" x14ac:dyDescent="0.2">
      <c r="B1081" s="36">
        <v>845</v>
      </c>
      <c r="C1081" s="37" t="s">
        <v>3485</v>
      </c>
      <c r="D1081" s="37" t="s">
        <v>3486</v>
      </c>
      <c r="E1081" s="38" t="s">
        <v>3487</v>
      </c>
      <c r="F1081" s="39"/>
      <c r="G1081" s="40"/>
      <c r="H1081" s="41">
        <v>200</v>
      </c>
      <c r="I1081" s="41">
        <v>10</v>
      </c>
      <c r="J1081" s="41">
        <v>450</v>
      </c>
      <c r="K1081" s="36">
        <v>70</v>
      </c>
      <c r="L1081" s="42">
        <f>(8.17*(1-O3/100))/0.75</f>
        <v>10.893333333333333</v>
      </c>
      <c r="M1081" s="12"/>
      <c r="N1081" s="40">
        <f t="shared" si="53"/>
        <v>0</v>
      </c>
      <c r="O1081" s="43">
        <f>0.016*M1081</f>
        <v>0</v>
      </c>
      <c r="P1081" s="47">
        <f>0.00052*M1081</f>
        <v>0</v>
      </c>
      <c r="Q1081" s="44"/>
      <c r="R1081" s="45" t="s">
        <v>3488</v>
      </c>
      <c r="S1081" s="45" t="s">
        <v>29</v>
      </c>
      <c r="T1081" s="37" t="str">
        <f>HYPERLINK("https://kanzpp.ru/api/getInfo/image/1aebb706-f0b5-11ed-a236-00155d82e902")</f>
        <v>https://kanzpp.ru/api/getInfo/image/1aebb706-f0b5-11ed-a236-00155d82e902</v>
      </c>
      <c r="U1081" s="37"/>
    </row>
    <row r="1082" spans="2:22" ht="21" customHeight="1" outlineLevel="7" x14ac:dyDescent="0.2">
      <c r="B1082" s="36">
        <v>846</v>
      </c>
      <c r="C1082" s="37" t="s">
        <v>3489</v>
      </c>
      <c r="D1082" s="37" t="s">
        <v>3490</v>
      </c>
      <c r="E1082" s="38" t="s">
        <v>3491</v>
      </c>
      <c r="F1082" s="39"/>
      <c r="G1082" s="40"/>
      <c r="H1082" s="41">
        <v>200</v>
      </c>
      <c r="I1082" s="41">
        <v>10</v>
      </c>
      <c r="J1082" s="41">
        <v>270</v>
      </c>
      <c r="K1082" s="36">
        <v>30</v>
      </c>
      <c r="L1082" s="42">
        <f>(26.47*(1-O3/100))/0.75</f>
        <v>35.293333333333329</v>
      </c>
      <c r="M1082" s="12"/>
      <c r="N1082" s="40">
        <f t="shared" si="53"/>
        <v>0</v>
      </c>
      <c r="O1082" s="48">
        <f>0.02*M1082</f>
        <v>0</v>
      </c>
      <c r="P1082" s="47">
        <f>0.00055*M1082</f>
        <v>0</v>
      </c>
      <c r="Q1082" s="44"/>
      <c r="R1082" s="45" t="s">
        <v>3492</v>
      </c>
      <c r="S1082" s="45" t="s">
        <v>29</v>
      </c>
      <c r="T1082" s="37" t="str">
        <f>HYPERLINK("https://kanzpp.ru/api/getInfo/image/8101eea9-f751-11f0-a28d-00155d82e908")</f>
        <v>https://kanzpp.ru/api/getInfo/image/8101eea9-f751-11f0-a28d-00155d82e908</v>
      </c>
      <c r="U1082" s="37"/>
    </row>
    <row r="1083" spans="2:22" ht="22.95" customHeight="1" outlineLevel="6" x14ac:dyDescent="0.2">
      <c r="B1083" s="84" t="s">
        <v>3493</v>
      </c>
      <c r="C1083" s="84"/>
      <c r="D1083" s="84"/>
      <c r="L1083">
        <v>0</v>
      </c>
    </row>
    <row r="1084" spans="2:22" ht="21" customHeight="1" outlineLevel="7" x14ac:dyDescent="0.2">
      <c r="B1084" s="2">
        <v>847</v>
      </c>
      <c r="C1084" s="3" t="s">
        <v>3494</v>
      </c>
      <c r="D1084" s="3" t="s">
        <v>3495</v>
      </c>
      <c r="E1084" s="4" t="s">
        <v>3496</v>
      </c>
      <c r="F1084" s="8"/>
      <c r="G1084" s="9"/>
      <c r="H1084" s="10">
        <v>200</v>
      </c>
      <c r="I1084" s="10">
        <v>10</v>
      </c>
      <c r="J1084" s="10">
        <v>160</v>
      </c>
      <c r="K1084" s="2">
        <v>20</v>
      </c>
      <c r="L1084" s="54">
        <v>12.586666666666666</v>
      </c>
      <c r="M1084" s="12"/>
      <c r="N1084" s="9">
        <f>L1084*M1084</f>
        <v>0</v>
      </c>
      <c r="O1084" s="29">
        <f>0.016*M1084</f>
        <v>0</v>
      </c>
      <c r="P1084" s="30">
        <f>0.00055*M1084</f>
        <v>0</v>
      </c>
      <c r="Q1084" s="21"/>
      <c r="R1084" s="22" t="s">
        <v>3497</v>
      </c>
      <c r="S1084" s="22" t="s">
        <v>29</v>
      </c>
      <c r="T1084" s="3" t="str">
        <f>HYPERLINK("https://kanzpp.ru/api/getInfo/image/f5fbc081-f0c5-11ed-a236-00155d82e902")</f>
        <v>https://kanzpp.ru/api/getInfo/image/f5fbc081-f0c5-11ed-a236-00155d82e902</v>
      </c>
      <c r="U1084" s="3"/>
      <c r="V1084" s="32" t="s">
        <v>30</v>
      </c>
    </row>
    <row r="1085" spans="2:22" ht="22.95" customHeight="1" outlineLevel="4" x14ac:dyDescent="0.2">
      <c r="B1085" s="82" t="s">
        <v>3498</v>
      </c>
      <c r="C1085" s="82"/>
      <c r="D1085" s="82"/>
      <c r="L1085">
        <v>0</v>
      </c>
    </row>
    <row r="1086" spans="2:22" ht="22.95" customHeight="1" outlineLevel="5" x14ac:dyDescent="0.2">
      <c r="B1086" s="83" t="s">
        <v>3499</v>
      </c>
      <c r="C1086" s="83"/>
      <c r="D1086" s="83"/>
      <c r="L1086">
        <v>0</v>
      </c>
    </row>
    <row r="1087" spans="2:22" ht="21" customHeight="1" outlineLevel="6" x14ac:dyDescent="0.2">
      <c r="B1087" s="36">
        <v>848</v>
      </c>
      <c r="C1087" s="37" t="s">
        <v>3500</v>
      </c>
      <c r="D1087" s="37" t="s">
        <v>3501</v>
      </c>
      <c r="E1087" s="38" t="s">
        <v>3502</v>
      </c>
      <c r="F1087" s="39"/>
      <c r="G1087" s="40"/>
      <c r="H1087" s="41">
        <v>100</v>
      </c>
      <c r="I1087" s="41">
        <v>10</v>
      </c>
      <c r="J1087" s="41">
        <v>40</v>
      </c>
      <c r="K1087" s="36">
        <v>20</v>
      </c>
      <c r="L1087" s="42">
        <f>(39.3*(1-O3/100))/0.75</f>
        <v>52.4</v>
      </c>
      <c r="M1087" s="12"/>
      <c r="N1087" s="40">
        <f>L1087*M1087</f>
        <v>0</v>
      </c>
      <c r="O1087" s="48">
        <f>0.03*M1087</f>
        <v>0</v>
      </c>
      <c r="P1087" s="47">
        <f>0.00055*M1087</f>
        <v>0</v>
      </c>
      <c r="Q1087" s="44"/>
      <c r="R1087" s="45" t="s">
        <v>3503</v>
      </c>
      <c r="S1087" s="45" t="s">
        <v>29</v>
      </c>
      <c r="T1087" s="37" t="str">
        <f>HYPERLINK("https://kanzpp.ru/api/getInfo/image/7e3cbcf7-7aae-11ec-a211-ac1f6b442185")</f>
        <v>https://kanzpp.ru/api/getInfo/image/7e3cbcf7-7aae-11ec-a211-ac1f6b442185</v>
      </c>
      <c r="U1087" s="37"/>
    </row>
    <row r="1088" spans="2:22" ht="21" customHeight="1" outlineLevel="6" x14ac:dyDescent="0.2">
      <c r="B1088" s="36">
        <v>849</v>
      </c>
      <c r="C1088" s="37" t="s">
        <v>3504</v>
      </c>
      <c r="D1088" s="37" t="s">
        <v>3505</v>
      </c>
      <c r="E1088" s="38" t="s">
        <v>3506</v>
      </c>
      <c r="F1088" s="39"/>
      <c r="G1088" s="40"/>
      <c r="H1088" s="41">
        <v>100</v>
      </c>
      <c r="I1088" s="41">
        <v>10</v>
      </c>
      <c r="J1088" s="50">
        <v>1100</v>
      </c>
      <c r="K1088" s="36">
        <v>20</v>
      </c>
      <c r="L1088" s="42">
        <f>(39.3*(1-O3/100))/0.75</f>
        <v>52.4</v>
      </c>
      <c r="M1088" s="12"/>
      <c r="N1088" s="40">
        <f>L1088*M1088</f>
        <v>0</v>
      </c>
      <c r="O1088" s="48">
        <f>0.03*M1088</f>
        <v>0</v>
      </c>
      <c r="P1088" s="47">
        <f>0.00055*M1088</f>
        <v>0</v>
      </c>
      <c r="Q1088" s="44"/>
      <c r="R1088" s="45" t="s">
        <v>3507</v>
      </c>
      <c r="S1088" s="45" t="s">
        <v>29</v>
      </c>
      <c r="T1088" s="37" t="str">
        <f>HYPERLINK("https://kanzpp.ru/api/getInfo/image/ba65d774-7aad-11ec-a211-ac1f6b442185")</f>
        <v>https://kanzpp.ru/api/getInfo/image/ba65d774-7aad-11ec-a211-ac1f6b442185</v>
      </c>
      <c r="U1088" s="37"/>
    </row>
    <row r="1089" spans="2:22" ht="22.95" customHeight="1" outlineLevel="3" x14ac:dyDescent="0.2">
      <c r="B1089" s="81" t="s">
        <v>3508</v>
      </c>
      <c r="C1089" s="81"/>
      <c r="D1089" s="81"/>
      <c r="L1089">
        <v>0</v>
      </c>
    </row>
    <row r="1090" spans="2:22" ht="21" customHeight="1" outlineLevel="4" x14ac:dyDescent="0.2">
      <c r="B1090" s="36">
        <v>850</v>
      </c>
      <c r="C1090" s="37" t="s">
        <v>3509</v>
      </c>
      <c r="D1090" s="37" t="s">
        <v>3510</v>
      </c>
      <c r="E1090" s="38" t="s">
        <v>3511</v>
      </c>
      <c r="F1090" s="39"/>
      <c r="G1090" s="40"/>
      <c r="H1090" s="41">
        <v>500</v>
      </c>
      <c r="I1090" s="41">
        <v>20</v>
      </c>
      <c r="J1090" s="50">
        <v>4360</v>
      </c>
      <c r="K1090" s="36">
        <v>80</v>
      </c>
      <c r="L1090" s="42">
        <f>(8.39*(1-O3/100))/0.75</f>
        <v>11.186666666666667</v>
      </c>
      <c r="M1090" s="12"/>
      <c r="N1090" s="40">
        <f t="shared" ref="N1090:N1095" si="54">L1090*M1090</f>
        <v>0</v>
      </c>
      <c r="O1090" s="43">
        <f>0.005*M1090</f>
        <v>0</v>
      </c>
      <c r="P1090" s="47">
        <f>0.00001*M1090</f>
        <v>0</v>
      </c>
      <c r="Q1090" s="44"/>
      <c r="R1090" s="45" t="s">
        <v>3512</v>
      </c>
      <c r="S1090" s="45" t="s">
        <v>93</v>
      </c>
      <c r="T1090" s="37" t="str">
        <f>HYPERLINK("https://kanzpp.ru/api/getInfo/image/c5116294-8992-11e7-8697-5cf3fc4a2490")</f>
        <v>https://kanzpp.ru/api/getInfo/image/c5116294-8992-11e7-8697-5cf3fc4a2490</v>
      </c>
      <c r="U1090" s="37"/>
    </row>
    <row r="1091" spans="2:22" ht="21" customHeight="1" outlineLevel="4" x14ac:dyDescent="0.2">
      <c r="B1091" s="36">
        <v>851</v>
      </c>
      <c r="C1091" s="37" t="s">
        <v>3513</v>
      </c>
      <c r="D1091" s="37" t="s">
        <v>3514</v>
      </c>
      <c r="E1091" s="38" t="s">
        <v>3515</v>
      </c>
      <c r="F1091" s="39"/>
      <c r="G1091" s="40"/>
      <c r="H1091" s="41">
        <v>500</v>
      </c>
      <c r="I1091" s="41">
        <v>20</v>
      </c>
      <c r="J1091" s="50">
        <v>4277</v>
      </c>
      <c r="K1091" s="36">
        <v>80</v>
      </c>
      <c r="L1091" s="42">
        <f>(8.39*(1-O3/100))/0.75</f>
        <v>11.186666666666667</v>
      </c>
      <c r="M1091" s="12"/>
      <c r="N1091" s="40">
        <f t="shared" si="54"/>
        <v>0</v>
      </c>
      <c r="O1091" s="43">
        <f>0.005*M1091</f>
        <v>0</v>
      </c>
      <c r="P1091" s="47">
        <f>0.00001*M1091</f>
        <v>0</v>
      </c>
      <c r="Q1091" s="44"/>
      <c r="R1091" s="45" t="s">
        <v>3516</v>
      </c>
      <c r="S1091" s="45" t="s">
        <v>93</v>
      </c>
      <c r="T1091" s="37" t="str">
        <f>HYPERLINK("https://kanzpp.ru/api/getInfo/image/19a0e565-8993-11e7-8697-5cf3fc4a2490")</f>
        <v>https://kanzpp.ru/api/getInfo/image/19a0e565-8993-11e7-8697-5cf3fc4a2490</v>
      </c>
      <c r="U1091" s="37"/>
    </row>
    <row r="1092" spans="2:22" ht="21" customHeight="1" outlineLevel="4" x14ac:dyDescent="0.2">
      <c r="B1092" s="36">
        <v>852</v>
      </c>
      <c r="C1092" s="37" t="s">
        <v>3517</v>
      </c>
      <c r="D1092" s="37" t="s">
        <v>3518</v>
      </c>
      <c r="E1092" s="38" t="s">
        <v>3519</v>
      </c>
      <c r="F1092" s="39"/>
      <c r="G1092" s="40"/>
      <c r="H1092" s="41">
        <v>500</v>
      </c>
      <c r="I1092" s="41">
        <v>20</v>
      </c>
      <c r="J1092" s="40" t="s">
        <v>144</v>
      </c>
      <c r="K1092" s="36">
        <v>80</v>
      </c>
      <c r="L1092" s="42">
        <f>(8.69*(1-O3/100))/0.75</f>
        <v>11.586666666666666</v>
      </c>
      <c r="M1092" s="12"/>
      <c r="N1092" s="40">
        <f t="shared" si="54"/>
        <v>0</v>
      </c>
      <c r="O1092" s="43">
        <f>0.005*M1092</f>
        <v>0</v>
      </c>
      <c r="P1092" s="47">
        <f>0.00001*M1092</f>
        <v>0</v>
      </c>
      <c r="Q1092" s="44"/>
      <c r="R1092" s="45" t="s">
        <v>3520</v>
      </c>
      <c r="S1092" s="45" t="s">
        <v>93</v>
      </c>
      <c r="T1092" s="37" t="str">
        <f>HYPERLINK("https://kanzpp.ru/api/getInfo/image/4d26c934-8993-11e7-8697-5cf3fc4a2490")</f>
        <v>https://kanzpp.ru/api/getInfo/image/4d26c934-8993-11e7-8697-5cf3fc4a2490</v>
      </c>
      <c r="U1092" s="37"/>
    </row>
    <row r="1093" spans="2:22" ht="21" customHeight="1" outlineLevel="4" x14ac:dyDescent="0.2">
      <c r="B1093" s="36">
        <v>853</v>
      </c>
      <c r="C1093" s="37" t="s">
        <v>3521</v>
      </c>
      <c r="D1093" s="37" t="s">
        <v>3522</v>
      </c>
      <c r="E1093" s="38" t="s">
        <v>3523</v>
      </c>
      <c r="F1093" s="39"/>
      <c r="G1093" s="40"/>
      <c r="H1093" s="41">
        <v>500</v>
      </c>
      <c r="I1093" s="41">
        <v>20</v>
      </c>
      <c r="J1093" s="50">
        <v>3320</v>
      </c>
      <c r="K1093" s="36">
        <v>60</v>
      </c>
      <c r="L1093" s="42">
        <f>(11.53*(1-O3/100))/0.75</f>
        <v>15.373333333333333</v>
      </c>
      <c r="M1093" s="12"/>
      <c r="N1093" s="40">
        <f t="shared" si="54"/>
        <v>0</v>
      </c>
      <c r="O1093" s="43">
        <f>0.006*M1093</f>
        <v>0</v>
      </c>
      <c r="P1093" s="47">
        <f>0.00001*M1093</f>
        <v>0</v>
      </c>
      <c r="Q1093" s="44"/>
      <c r="R1093" s="45" t="s">
        <v>3524</v>
      </c>
      <c r="S1093" s="45" t="s">
        <v>93</v>
      </c>
      <c r="T1093" s="37" t="str">
        <f>HYPERLINK("https://kanzpp.ru/api/getInfo/image/2defb9fd-8993-11e7-8697-5cf3fc4a2490")</f>
        <v>https://kanzpp.ru/api/getInfo/image/2defb9fd-8993-11e7-8697-5cf3fc4a2490</v>
      </c>
      <c r="U1093" s="37"/>
    </row>
    <row r="1094" spans="2:22" ht="21" customHeight="1" outlineLevel="4" x14ac:dyDescent="0.2">
      <c r="B1094" s="36">
        <v>854</v>
      </c>
      <c r="C1094" s="37" t="s">
        <v>3525</v>
      </c>
      <c r="D1094" s="37" t="s">
        <v>3526</v>
      </c>
      <c r="E1094" s="38" t="s">
        <v>3527</v>
      </c>
      <c r="F1094" s="39"/>
      <c r="G1094" s="40"/>
      <c r="H1094" s="41">
        <v>500</v>
      </c>
      <c r="I1094" s="41">
        <v>20</v>
      </c>
      <c r="J1094" s="40" t="s">
        <v>144</v>
      </c>
      <c r="K1094" s="36">
        <v>60</v>
      </c>
      <c r="L1094" s="42">
        <f>(12.13*(1-O3/100))/0.75</f>
        <v>16.173333333333336</v>
      </c>
      <c r="M1094" s="12"/>
      <c r="N1094" s="40">
        <f t="shared" si="54"/>
        <v>0</v>
      </c>
      <c r="O1094" s="43">
        <f>0.006*M1094</f>
        <v>0</v>
      </c>
      <c r="P1094" s="47">
        <f>0.00001*M1094</f>
        <v>0</v>
      </c>
      <c r="Q1094" s="44"/>
      <c r="R1094" s="45" t="s">
        <v>3528</v>
      </c>
      <c r="S1094" s="45" t="s">
        <v>93</v>
      </c>
      <c r="T1094" s="37" t="str">
        <f>HYPERLINK("https://kanzpp.ru/api/getInfo/image/62df7094-8993-11e7-8697-5cf3fc4a2490")</f>
        <v>https://kanzpp.ru/api/getInfo/image/62df7094-8993-11e7-8697-5cf3fc4a2490</v>
      </c>
      <c r="U1094" s="37"/>
    </row>
    <row r="1095" spans="2:22" ht="21" customHeight="1" outlineLevel="4" x14ac:dyDescent="0.2">
      <c r="B1095" s="5">
        <v>855</v>
      </c>
      <c r="C1095" s="6" t="s">
        <v>3529</v>
      </c>
      <c r="D1095" s="6" t="s">
        <v>3530</v>
      </c>
      <c r="E1095" s="7" t="s">
        <v>3531</v>
      </c>
      <c r="F1095" s="13"/>
      <c r="G1095" s="14"/>
      <c r="H1095" s="15">
        <v>500</v>
      </c>
      <c r="I1095" s="15">
        <v>20</v>
      </c>
      <c r="J1095" s="15">
        <v>576</v>
      </c>
      <c r="K1095" s="5">
        <v>60</v>
      </c>
      <c r="L1095" s="16">
        <v>7.9866666666666672</v>
      </c>
      <c r="M1095" s="12"/>
      <c r="N1095" s="14">
        <f t="shared" si="54"/>
        <v>0</v>
      </c>
      <c r="O1095" s="28">
        <f>0.17*M1095</f>
        <v>0</v>
      </c>
      <c r="P1095" s="24">
        <f>0.00029*M1095</f>
        <v>0</v>
      </c>
      <c r="Q1095" s="25"/>
      <c r="R1095" s="26" t="s">
        <v>3532</v>
      </c>
      <c r="S1095" s="26" t="s">
        <v>93</v>
      </c>
      <c r="T1095" s="6" t="str">
        <f>HYPERLINK("https://kanzpp.ru/api/getInfo/image/a89e0ee4-95e8-11ef-a267-00155d82e908")</f>
        <v>https://kanzpp.ru/api/getInfo/image/a89e0ee4-95e8-11ef-a267-00155d82e908</v>
      </c>
      <c r="U1095" s="6"/>
      <c r="V1095" s="33" t="s">
        <v>35</v>
      </c>
    </row>
    <row r="1096" spans="2:22" ht="22.95" customHeight="1" outlineLevel="3" x14ac:dyDescent="0.2">
      <c r="B1096" s="81" t="s">
        <v>3533</v>
      </c>
      <c r="C1096" s="81"/>
      <c r="D1096" s="81"/>
      <c r="L1096">
        <v>0</v>
      </c>
    </row>
    <row r="1097" spans="2:22" ht="21" customHeight="1" outlineLevel="4" x14ac:dyDescent="0.2">
      <c r="B1097" s="36">
        <v>856</v>
      </c>
      <c r="C1097" s="37" t="s">
        <v>3534</v>
      </c>
      <c r="D1097" s="37" t="s">
        <v>3535</v>
      </c>
      <c r="E1097" s="38" t="s">
        <v>3536</v>
      </c>
      <c r="F1097" s="39"/>
      <c r="G1097" s="40"/>
      <c r="H1097" s="41">
        <v>100</v>
      </c>
      <c r="I1097" s="40"/>
      <c r="J1097" s="41">
        <v>552</v>
      </c>
      <c r="K1097" s="36">
        <v>30</v>
      </c>
      <c r="L1097" s="42">
        <f>(22.63*(1-O3/100))/0.75</f>
        <v>30.173333333333332</v>
      </c>
      <c r="M1097" s="12"/>
      <c r="N1097" s="40">
        <f t="shared" ref="N1097:N1106" si="55">L1097*M1097</f>
        <v>0</v>
      </c>
      <c r="O1097" s="43">
        <f t="shared" ref="O1097:O1103" si="56">0.025*M1097</f>
        <v>0</v>
      </c>
      <c r="P1097" s="47">
        <f t="shared" ref="P1097:P1103" si="57">0.00006*M1097</f>
        <v>0</v>
      </c>
      <c r="Q1097" s="44"/>
      <c r="R1097" s="45" t="s">
        <v>3537</v>
      </c>
      <c r="S1097" s="45" t="s">
        <v>93</v>
      </c>
      <c r="T1097" s="37" t="str">
        <f>HYPERLINK("https://kanzpp.ru/api/getInfo/image/25827314-629c-11e9-a224-ac1f6b442184")</f>
        <v>https://kanzpp.ru/api/getInfo/image/25827314-629c-11e9-a224-ac1f6b442184</v>
      </c>
      <c r="U1097" s="37"/>
    </row>
    <row r="1098" spans="2:22" ht="21" customHeight="1" outlineLevel="4" x14ac:dyDescent="0.2">
      <c r="B1098" s="36">
        <v>857</v>
      </c>
      <c r="C1098" s="37" t="s">
        <v>3538</v>
      </c>
      <c r="D1098" s="37" t="s">
        <v>3539</v>
      </c>
      <c r="E1098" s="38" t="s">
        <v>3540</v>
      </c>
      <c r="F1098" s="39"/>
      <c r="G1098" s="40"/>
      <c r="H1098" s="41">
        <v>100</v>
      </c>
      <c r="I1098" s="40"/>
      <c r="J1098" s="50">
        <v>1204</v>
      </c>
      <c r="K1098" s="36">
        <v>30</v>
      </c>
      <c r="L1098" s="42">
        <f>(22.63*(1-O3/100))/0.75</f>
        <v>30.173333333333332</v>
      </c>
      <c r="M1098" s="12"/>
      <c r="N1098" s="40">
        <f t="shared" si="55"/>
        <v>0</v>
      </c>
      <c r="O1098" s="43">
        <f t="shared" si="56"/>
        <v>0</v>
      </c>
      <c r="P1098" s="47">
        <f t="shared" si="57"/>
        <v>0</v>
      </c>
      <c r="Q1098" s="44"/>
      <c r="R1098" s="45" t="s">
        <v>3541</v>
      </c>
      <c r="S1098" s="45" t="s">
        <v>93</v>
      </c>
      <c r="T1098" s="37" t="str">
        <f>HYPERLINK("https://kanzpp.ru/api/getInfo/image/dc32949b-629a-11e9-a224-ac1f6b442184")</f>
        <v>https://kanzpp.ru/api/getInfo/image/dc32949b-629a-11e9-a224-ac1f6b442184</v>
      </c>
      <c r="U1098" s="37"/>
    </row>
    <row r="1099" spans="2:22" ht="21" customHeight="1" outlineLevel="4" x14ac:dyDescent="0.2">
      <c r="B1099" s="36">
        <v>858</v>
      </c>
      <c r="C1099" s="37" t="s">
        <v>3542</v>
      </c>
      <c r="D1099" s="37" t="s">
        <v>3543</v>
      </c>
      <c r="E1099" s="38" t="s">
        <v>3544</v>
      </c>
      <c r="F1099" s="39"/>
      <c r="G1099" s="40"/>
      <c r="H1099" s="41">
        <v>100</v>
      </c>
      <c r="I1099" s="40"/>
      <c r="J1099" s="50">
        <v>1176</v>
      </c>
      <c r="K1099" s="36">
        <v>30</v>
      </c>
      <c r="L1099" s="42">
        <f>(22.63*(1-O3/100))/0.75</f>
        <v>30.173333333333332</v>
      </c>
      <c r="M1099" s="12"/>
      <c r="N1099" s="40">
        <f t="shared" si="55"/>
        <v>0</v>
      </c>
      <c r="O1099" s="43">
        <f t="shared" si="56"/>
        <v>0</v>
      </c>
      <c r="P1099" s="47">
        <f t="shared" si="57"/>
        <v>0</v>
      </c>
      <c r="Q1099" s="44"/>
      <c r="R1099" s="45" t="s">
        <v>3545</v>
      </c>
      <c r="S1099" s="45" t="s">
        <v>93</v>
      </c>
      <c r="T1099" s="37" t="str">
        <f>HYPERLINK("https://kanzpp.ru/api/getInfo/image/329d4597-629b-11e9-a224-ac1f6b442184")</f>
        <v>https://kanzpp.ru/api/getInfo/image/329d4597-629b-11e9-a224-ac1f6b442184</v>
      </c>
      <c r="U1099" s="37"/>
    </row>
    <row r="1100" spans="2:22" ht="21" customHeight="1" outlineLevel="4" x14ac:dyDescent="0.2">
      <c r="B1100" s="36">
        <v>859</v>
      </c>
      <c r="C1100" s="37" t="s">
        <v>3546</v>
      </c>
      <c r="D1100" s="37" t="s">
        <v>3547</v>
      </c>
      <c r="E1100" s="38" t="s">
        <v>3548</v>
      </c>
      <c r="F1100" s="39"/>
      <c r="G1100" s="40"/>
      <c r="H1100" s="41">
        <v>100</v>
      </c>
      <c r="I1100" s="40"/>
      <c r="J1100" s="41">
        <v>699</v>
      </c>
      <c r="K1100" s="36">
        <v>30</v>
      </c>
      <c r="L1100" s="42">
        <f>(22.63*(1-O3/100))/0.75</f>
        <v>30.173333333333332</v>
      </c>
      <c r="M1100" s="12"/>
      <c r="N1100" s="40">
        <f t="shared" si="55"/>
        <v>0</v>
      </c>
      <c r="O1100" s="43">
        <f t="shared" si="56"/>
        <v>0</v>
      </c>
      <c r="P1100" s="47">
        <f t="shared" si="57"/>
        <v>0</v>
      </c>
      <c r="Q1100" s="44"/>
      <c r="R1100" s="45" t="s">
        <v>3549</v>
      </c>
      <c r="S1100" s="45" t="s">
        <v>93</v>
      </c>
      <c r="T1100" s="37" t="str">
        <f>HYPERLINK("https://kanzpp.ru/api/getInfo/image/a5f36510-629b-11e9-a224-ac1f6b442184")</f>
        <v>https://kanzpp.ru/api/getInfo/image/a5f36510-629b-11e9-a224-ac1f6b442184</v>
      </c>
      <c r="U1100" s="37"/>
    </row>
    <row r="1101" spans="2:22" ht="21" customHeight="1" outlineLevel="4" x14ac:dyDescent="0.2">
      <c r="B1101" s="36">
        <v>860</v>
      </c>
      <c r="C1101" s="37" t="s">
        <v>3550</v>
      </c>
      <c r="D1101" s="37" t="s">
        <v>3551</v>
      </c>
      <c r="E1101" s="38" t="s">
        <v>3552</v>
      </c>
      <c r="F1101" s="39"/>
      <c r="G1101" s="40"/>
      <c r="H1101" s="41">
        <v>100</v>
      </c>
      <c r="I1101" s="40"/>
      <c r="J1101" s="50">
        <v>1025</v>
      </c>
      <c r="K1101" s="36">
        <v>30</v>
      </c>
      <c r="L1101" s="42">
        <f>(22.63*(1-O3/100))/0.75</f>
        <v>30.173333333333332</v>
      </c>
      <c r="M1101" s="12"/>
      <c r="N1101" s="40">
        <f t="shared" si="55"/>
        <v>0</v>
      </c>
      <c r="O1101" s="43">
        <f t="shared" si="56"/>
        <v>0</v>
      </c>
      <c r="P1101" s="47">
        <f t="shared" si="57"/>
        <v>0</v>
      </c>
      <c r="Q1101" s="44"/>
      <c r="R1101" s="45" t="s">
        <v>3553</v>
      </c>
      <c r="S1101" s="45" t="s">
        <v>93</v>
      </c>
      <c r="T1101" s="37" t="str">
        <f>HYPERLINK("https://kanzpp.ru/api/getInfo/image/c7bfc174-629b-11e9-a224-ac1f6b442184")</f>
        <v>https://kanzpp.ru/api/getInfo/image/c7bfc174-629b-11e9-a224-ac1f6b442184</v>
      </c>
      <c r="U1101" s="37"/>
    </row>
    <row r="1102" spans="2:22" ht="21" customHeight="1" outlineLevel="4" x14ac:dyDescent="0.2">
      <c r="B1102" s="36">
        <v>861</v>
      </c>
      <c r="C1102" s="37" t="s">
        <v>3554</v>
      </c>
      <c r="D1102" s="37" t="s">
        <v>3555</v>
      </c>
      <c r="E1102" s="38" t="s">
        <v>3556</v>
      </c>
      <c r="F1102" s="39"/>
      <c r="G1102" s="40"/>
      <c r="H1102" s="41">
        <v>100</v>
      </c>
      <c r="I1102" s="40"/>
      <c r="J1102" s="41">
        <v>20</v>
      </c>
      <c r="K1102" s="36">
        <v>20</v>
      </c>
      <c r="L1102" s="42">
        <f>(22.63*(1-O3/100))/0.75</f>
        <v>30.173333333333332</v>
      </c>
      <c r="M1102" s="12"/>
      <c r="N1102" s="40">
        <f t="shared" si="55"/>
        <v>0</v>
      </c>
      <c r="O1102" s="43">
        <f t="shared" si="56"/>
        <v>0</v>
      </c>
      <c r="P1102" s="47">
        <f t="shared" si="57"/>
        <v>0</v>
      </c>
      <c r="Q1102" s="44"/>
      <c r="R1102" s="45" t="s">
        <v>3557</v>
      </c>
      <c r="S1102" s="45" t="s">
        <v>93</v>
      </c>
      <c r="T1102" s="37" t="str">
        <f>HYPERLINK("https://kanzpp.ru/api/getInfo/image/def37974-629c-11e9-a224-ac1f6b442184")</f>
        <v>https://kanzpp.ru/api/getInfo/image/def37974-629c-11e9-a224-ac1f6b442184</v>
      </c>
      <c r="U1102" s="37"/>
    </row>
    <row r="1103" spans="2:22" ht="21" customHeight="1" outlineLevel="4" x14ac:dyDescent="0.2">
      <c r="B1103" s="5">
        <v>862</v>
      </c>
      <c r="C1103" s="6" t="s">
        <v>3558</v>
      </c>
      <c r="D1103" s="6" t="s">
        <v>3559</v>
      </c>
      <c r="E1103" s="7" t="s">
        <v>3556</v>
      </c>
      <c r="F1103" s="13"/>
      <c r="G1103" s="14"/>
      <c r="H1103" s="15">
        <v>69</v>
      </c>
      <c r="I1103" s="14"/>
      <c r="J1103" s="15">
        <v>878</v>
      </c>
      <c r="K1103" s="5">
        <v>69</v>
      </c>
      <c r="L1103" s="16">
        <v>22.626666666666665</v>
      </c>
      <c r="M1103" s="12"/>
      <c r="N1103" s="14">
        <f t="shared" si="55"/>
        <v>0</v>
      </c>
      <c r="O1103" s="23">
        <f t="shared" si="56"/>
        <v>0</v>
      </c>
      <c r="P1103" s="24">
        <f t="shared" si="57"/>
        <v>0</v>
      </c>
      <c r="Q1103" s="25"/>
      <c r="R1103" s="26"/>
      <c r="S1103" s="26" t="s">
        <v>93</v>
      </c>
      <c r="T1103" s="6" t="str">
        <f>HYPERLINK("https://kanzpp.ru/api/getInfo/image/1ffe3656-d9ef-11e9-a234-ac1f6b442184")</f>
        <v>https://kanzpp.ru/api/getInfo/image/1ffe3656-d9ef-11e9-a234-ac1f6b442184</v>
      </c>
      <c r="U1103" s="6" t="s">
        <v>3560</v>
      </c>
      <c r="V1103" s="33" t="s">
        <v>35</v>
      </c>
    </row>
    <row r="1104" spans="2:22" ht="21" customHeight="1" outlineLevel="4" x14ac:dyDescent="0.2">
      <c r="B1104" s="36">
        <v>863</v>
      </c>
      <c r="C1104" s="37" t="s">
        <v>3561</v>
      </c>
      <c r="D1104" s="37" t="s">
        <v>3562</v>
      </c>
      <c r="E1104" s="38" t="s">
        <v>3563</v>
      </c>
      <c r="F1104" s="39"/>
      <c r="G1104" s="40"/>
      <c r="H1104" s="41">
        <v>100</v>
      </c>
      <c r="I1104" s="40"/>
      <c r="J1104" s="41">
        <v>253</v>
      </c>
      <c r="K1104" s="36">
        <v>30</v>
      </c>
      <c r="L1104" s="42">
        <f>(22.63*(1-O3/100))/0.75</f>
        <v>30.173333333333332</v>
      </c>
      <c r="M1104" s="12"/>
      <c r="N1104" s="40">
        <f t="shared" si="55"/>
        <v>0</v>
      </c>
      <c r="O1104" s="43">
        <f>0.206*M1104</f>
        <v>0</v>
      </c>
      <c r="P1104" s="46">
        <f>0.0009*M1104</f>
        <v>0</v>
      </c>
      <c r="Q1104" s="44"/>
      <c r="R1104" s="45" t="s">
        <v>3564</v>
      </c>
      <c r="S1104" s="45" t="s">
        <v>93</v>
      </c>
      <c r="T1104" s="37" t="str">
        <f>HYPERLINK("https://kanzpp.ru/api/getInfo/image/80a7d1b3-629b-11e9-a224-ac1f6b442184")</f>
        <v>https://kanzpp.ru/api/getInfo/image/80a7d1b3-629b-11e9-a224-ac1f6b442184</v>
      </c>
      <c r="U1104" s="37"/>
    </row>
    <row r="1105" spans="2:21" ht="21" customHeight="1" outlineLevel="4" x14ac:dyDescent="0.2">
      <c r="B1105" s="36">
        <v>864</v>
      </c>
      <c r="C1105" s="37" t="s">
        <v>3565</v>
      </c>
      <c r="D1105" s="37" t="s">
        <v>3566</v>
      </c>
      <c r="E1105" s="38" t="s">
        <v>3567</v>
      </c>
      <c r="F1105" s="39"/>
      <c r="G1105" s="40"/>
      <c r="H1105" s="41">
        <v>100</v>
      </c>
      <c r="I1105" s="40"/>
      <c r="J1105" s="50">
        <v>1089</v>
      </c>
      <c r="K1105" s="36">
        <v>30</v>
      </c>
      <c r="L1105" s="42">
        <f>(22.63*(1-O3/100))/0.75</f>
        <v>30.173333333333332</v>
      </c>
      <c r="M1105" s="12"/>
      <c r="N1105" s="40">
        <f t="shared" si="55"/>
        <v>0</v>
      </c>
      <c r="O1105" s="43">
        <f>0.029*M1105</f>
        <v>0</v>
      </c>
      <c r="P1105" s="47">
        <f>0.00023*M1105</f>
        <v>0</v>
      </c>
      <c r="Q1105" s="44"/>
      <c r="R1105" s="45" t="s">
        <v>3568</v>
      </c>
      <c r="S1105" s="45" t="s">
        <v>93</v>
      </c>
      <c r="T1105" s="37" t="str">
        <f>HYPERLINK("https://kanzpp.ru/api/getInfo/image/57b189c5-629c-11e9-a224-ac1f6b442184")</f>
        <v>https://kanzpp.ru/api/getInfo/image/57b189c5-629c-11e9-a224-ac1f6b442184</v>
      </c>
      <c r="U1105" s="37"/>
    </row>
    <row r="1106" spans="2:21" ht="21" customHeight="1" outlineLevel="4" x14ac:dyDescent="0.2">
      <c r="B1106" s="36">
        <v>865</v>
      </c>
      <c r="C1106" s="37" t="s">
        <v>3569</v>
      </c>
      <c r="D1106" s="37" t="s">
        <v>3570</v>
      </c>
      <c r="E1106" s="38" t="s">
        <v>3571</v>
      </c>
      <c r="F1106" s="39"/>
      <c r="G1106" s="40"/>
      <c r="H1106" s="41">
        <v>100</v>
      </c>
      <c r="I1106" s="40"/>
      <c r="J1106" s="41">
        <v>187</v>
      </c>
      <c r="K1106" s="36">
        <v>30</v>
      </c>
      <c r="L1106" s="42">
        <f>(22.63*(1-O3/100))/0.75</f>
        <v>30.173333333333332</v>
      </c>
      <c r="M1106" s="12"/>
      <c r="N1106" s="40">
        <f t="shared" si="55"/>
        <v>0</v>
      </c>
      <c r="O1106" s="43">
        <f>0.025*M1106</f>
        <v>0</v>
      </c>
      <c r="P1106" s="47">
        <f>0.00006*M1106</f>
        <v>0</v>
      </c>
      <c r="Q1106" s="44"/>
      <c r="R1106" s="45" t="s">
        <v>3572</v>
      </c>
      <c r="S1106" s="45" t="s">
        <v>93</v>
      </c>
      <c r="T1106" s="37" t="str">
        <f>HYPERLINK("https://kanzpp.ru/api/getInfo/image/818c0305-629c-11e9-a224-ac1f6b442184")</f>
        <v>https://kanzpp.ru/api/getInfo/image/818c0305-629c-11e9-a224-ac1f6b442184</v>
      </c>
      <c r="U1106" s="37"/>
    </row>
    <row r="1107" spans="2:21" ht="22.95" customHeight="1" outlineLevel="3" x14ac:dyDescent="0.2">
      <c r="B1107" s="81" t="s">
        <v>456</v>
      </c>
      <c r="C1107" s="81"/>
      <c r="D1107" s="81"/>
      <c r="L1107">
        <v>0</v>
      </c>
    </row>
    <row r="1108" spans="2:21" ht="21" customHeight="1" outlineLevel="4" x14ac:dyDescent="0.2">
      <c r="B1108" s="36">
        <v>866</v>
      </c>
      <c r="C1108" s="37" t="s">
        <v>3573</v>
      </c>
      <c r="D1108" s="37" t="s">
        <v>3574</v>
      </c>
      <c r="E1108" s="38" t="s">
        <v>3575</v>
      </c>
      <c r="F1108" s="39"/>
      <c r="G1108" s="40"/>
      <c r="H1108" s="41">
        <v>480</v>
      </c>
      <c r="I1108" s="41">
        <v>20</v>
      </c>
      <c r="J1108" s="40" t="s">
        <v>144</v>
      </c>
      <c r="K1108" s="36">
        <v>60</v>
      </c>
      <c r="L1108" s="42">
        <f>(12.17*(1-O3/100))/0.75</f>
        <v>16.226666666666667</v>
      </c>
      <c r="M1108" s="12"/>
      <c r="N1108" s="40">
        <f t="shared" ref="N1108:N1124" si="58">L1108*M1108</f>
        <v>0</v>
      </c>
      <c r="O1108" s="43">
        <f>0.005*M1108</f>
        <v>0</v>
      </c>
      <c r="P1108" s="47">
        <f>0.00002*M1108</f>
        <v>0</v>
      </c>
      <c r="Q1108" s="44"/>
      <c r="R1108" s="45" t="s">
        <v>3576</v>
      </c>
      <c r="S1108" s="45" t="s">
        <v>93</v>
      </c>
      <c r="T1108" s="37" t="str">
        <f>HYPERLINK("https://kanzpp.ru/api/getInfo/image/8944272f-8c5d-11ef-a265-00155d82e908")</f>
        <v>https://kanzpp.ru/api/getInfo/image/8944272f-8c5d-11ef-a265-00155d82e908</v>
      </c>
      <c r="U1108" s="37"/>
    </row>
    <row r="1109" spans="2:21" ht="21" customHeight="1" outlineLevel="4" x14ac:dyDescent="0.2">
      <c r="B1109" s="36">
        <v>867</v>
      </c>
      <c r="C1109" s="37" t="s">
        <v>3577</v>
      </c>
      <c r="D1109" s="37" t="s">
        <v>3578</v>
      </c>
      <c r="E1109" s="38" t="s">
        <v>3579</v>
      </c>
      <c r="F1109" s="39"/>
      <c r="G1109" s="40"/>
      <c r="H1109" s="41">
        <v>400</v>
      </c>
      <c r="I1109" s="41">
        <v>20</v>
      </c>
      <c r="J1109" s="40" t="s">
        <v>144</v>
      </c>
      <c r="K1109" s="36">
        <v>40</v>
      </c>
      <c r="L1109" s="42">
        <f>(14.19*(1-O3/100))/0.75</f>
        <v>18.919999999999998</v>
      </c>
      <c r="M1109" s="12"/>
      <c r="N1109" s="40">
        <f t="shared" si="58"/>
        <v>0</v>
      </c>
      <c r="O1109" s="48">
        <f>0.01*M1109</f>
        <v>0</v>
      </c>
      <c r="P1109" s="47">
        <f>0.00003*M1109</f>
        <v>0</v>
      </c>
      <c r="Q1109" s="44"/>
      <c r="R1109" s="45" t="s">
        <v>3580</v>
      </c>
      <c r="S1109" s="45" t="s">
        <v>93</v>
      </c>
      <c r="T1109" s="37" t="str">
        <f>HYPERLINK("https://kanzpp.ru/api/getInfo/image/d707cfe6-8c5d-11ef-a265-00155d82e908")</f>
        <v>https://kanzpp.ru/api/getInfo/image/d707cfe6-8c5d-11ef-a265-00155d82e908</v>
      </c>
      <c r="U1109" s="37"/>
    </row>
    <row r="1110" spans="2:21" ht="21" customHeight="1" outlineLevel="4" x14ac:dyDescent="0.2">
      <c r="B1110" s="36">
        <v>868</v>
      </c>
      <c r="C1110" s="37" t="s">
        <v>3581</v>
      </c>
      <c r="D1110" s="37" t="s">
        <v>3582</v>
      </c>
      <c r="E1110" s="38" t="s">
        <v>3583</v>
      </c>
      <c r="F1110" s="39"/>
      <c r="G1110" s="40"/>
      <c r="H1110" s="41">
        <v>320</v>
      </c>
      <c r="I1110" s="41">
        <v>20</v>
      </c>
      <c r="J1110" s="40" t="s">
        <v>144</v>
      </c>
      <c r="K1110" s="36">
        <v>40</v>
      </c>
      <c r="L1110" s="42">
        <f>(19.13*(1-O3/100))/0.75</f>
        <v>25.506666666666664</v>
      </c>
      <c r="M1110" s="12"/>
      <c r="N1110" s="40">
        <f t="shared" si="58"/>
        <v>0</v>
      </c>
      <c r="O1110" s="43">
        <f>0.021*M1110</f>
        <v>0</v>
      </c>
      <c r="P1110" s="47">
        <f>0.00003*M1110</f>
        <v>0</v>
      </c>
      <c r="Q1110" s="44"/>
      <c r="R1110" s="45" t="s">
        <v>3584</v>
      </c>
      <c r="S1110" s="45" t="s">
        <v>93</v>
      </c>
      <c r="T1110" s="37" t="str">
        <f>HYPERLINK("https://kanzpp.ru/api/getInfo/image/69fbae7e-8c5e-11ef-a265-00155d82e908")</f>
        <v>https://kanzpp.ru/api/getInfo/image/69fbae7e-8c5e-11ef-a265-00155d82e908</v>
      </c>
      <c r="U1110" s="37"/>
    </row>
    <row r="1111" spans="2:21" ht="21" customHeight="1" outlineLevel="4" x14ac:dyDescent="0.2">
      <c r="B1111" s="36">
        <v>869</v>
      </c>
      <c r="C1111" s="37" t="s">
        <v>3585</v>
      </c>
      <c r="D1111" s="37" t="s">
        <v>3586</v>
      </c>
      <c r="E1111" s="38" t="s">
        <v>3587</v>
      </c>
      <c r="F1111" s="39"/>
      <c r="G1111" s="40"/>
      <c r="H1111" s="41">
        <v>320</v>
      </c>
      <c r="I1111" s="41">
        <v>20</v>
      </c>
      <c r="J1111" s="40" t="s">
        <v>144</v>
      </c>
      <c r="K1111" s="36">
        <v>20</v>
      </c>
      <c r="L1111" s="42">
        <f>(20.45*(1-O3/100))/0.75</f>
        <v>27.266666666666666</v>
      </c>
      <c r="M1111" s="12"/>
      <c r="N1111" s="40">
        <f t="shared" si="58"/>
        <v>0</v>
      </c>
      <c r="O1111" s="43">
        <f>0.016*M1111</f>
        <v>0</v>
      </c>
      <c r="P1111" s="47">
        <f>0.00003*M1111</f>
        <v>0</v>
      </c>
      <c r="Q1111" s="44"/>
      <c r="R1111" s="45" t="s">
        <v>3588</v>
      </c>
      <c r="S1111" s="45" t="s">
        <v>93</v>
      </c>
      <c r="T1111" s="37" t="str">
        <f>HYPERLINK("https://kanzpp.ru/api/getInfo/image/cf0666fb-8c5e-11ef-a265-00155d82e908")</f>
        <v>https://kanzpp.ru/api/getInfo/image/cf0666fb-8c5e-11ef-a265-00155d82e908</v>
      </c>
      <c r="U1111" s="37"/>
    </row>
    <row r="1112" spans="2:21" ht="21" customHeight="1" outlineLevel="4" x14ac:dyDescent="0.2">
      <c r="B1112" s="36">
        <v>870</v>
      </c>
      <c r="C1112" s="37" t="s">
        <v>3589</v>
      </c>
      <c r="D1112" s="37" t="s">
        <v>3590</v>
      </c>
      <c r="E1112" s="38" t="s">
        <v>3591</v>
      </c>
      <c r="F1112" s="39"/>
      <c r="G1112" s="40"/>
      <c r="H1112" s="41">
        <v>480</v>
      </c>
      <c r="I1112" s="41">
        <v>20</v>
      </c>
      <c r="J1112" s="40" t="s">
        <v>144</v>
      </c>
      <c r="K1112" s="36">
        <v>40</v>
      </c>
      <c r="L1112" s="42">
        <f>(15.66*(1-O3/100))/0.75</f>
        <v>20.88</v>
      </c>
      <c r="M1112" s="12"/>
      <c r="N1112" s="40">
        <f t="shared" si="58"/>
        <v>0</v>
      </c>
      <c r="O1112" s="43">
        <f>0.045*M1112</f>
        <v>0</v>
      </c>
      <c r="P1112" s="47">
        <f>0.00001*M1112</f>
        <v>0</v>
      </c>
      <c r="Q1112" s="44"/>
      <c r="R1112" s="45" t="s">
        <v>3592</v>
      </c>
      <c r="S1112" s="45" t="s">
        <v>93</v>
      </c>
      <c r="T1112" s="37" t="str">
        <f>HYPERLINK("https://kanzpp.ru/api/getInfo/image/9ac368dc-a961-11e9-a22d-ac1f6b442184")</f>
        <v>https://kanzpp.ru/api/getInfo/image/9ac368dc-a961-11e9-a22d-ac1f6b442184</v>
      </c>
      <c r="U1112" s="37"/>
    </row>
    <row r="1113" spans="2:21" ht="21" customHeight="1" outlineLevel="4" x14ac:dyDescent="0.2">
      <c r="B1113" s="36">
        <v>871</v>
      </c>
      <c r="C1113" s="37" t="s">
        <v>3593</v>
      </c>
      <c r="D1113" s="37" t="s">
        <v>3594</v>
      </c>
      <c r="E1113" s="38" t="s">
        <v>3595</v>
      </c>
      <c r="F1113" s="39"/>
      <c r="G1113" s="40"/>
      <c r="H1113" s="41">
        <v>400</v>
      </c>
      <c r="I1113" s="41">
        <v>20</v>
      </c>
      <c r="J1113" s="40" t="s">
        <v>144</v>
      </c>
      <c r="K1113" s="36">
        <v>40</v>
      </c>
      <c r="L1113" s="42">
        <f>(21.98*(1-O3/100))/0.75</f>
        <v>29.306666666666668</v>
      </c>
      <c r="M1113" s="12"/>
      <c r="N1113" s="40">
        <f t="shared" si="58"/>
        <v>0</v>
      </c>
      <c r="O1113" s="48">
        <f>0.01*M1113</f>
        <v>0</v>
      </c>
      <c r="P1113" s="47">
        <f>0.00002*M1113</f>
        <v>0</v>
      </c>
      <c r="Q1113" s="44"/>
      <c r="R1113" s="45" t="s">
        <v>3596</v>
      </c>
      <c r="S1113" s="45" t="s">
        <v>93</v>
      </c>
      <c r="T1113" s="37" t="str">
        <f>HYPERLINK("https://kanzpp.ru/api/getInfo/image/a111f050-a962-11e9-a22d-ac1f6b442184")</f>
        <v>https://kanzpp.ru/api/getInfo/image/a111f050-a962-11e9-a22d-ac1f6b442184</v>
      </c>
      <c r="U1113" s="37"/>
    </row>
    <row r="1114" spans="2:21" ht="21" customHeight="1" outlineLevel="4" x14ac:dyDescent="0.2">
      <c r="B1114" s="36">
        <v>872</v>
      </c>
      <c r="C1114" s="37" t="s">
        <v>3597</v>
      </c>
      <c r="D1114" s="37" t="s">
        <v>3598</v>
      </c>
      <c r="E1114" s="38" t="s">
        <v>3599</v>
      </c>
      <c r="F1114" s="39"/>
      <c r="G1114" s="40"/>
      <c r="H1114" s="41">
        <v>320</v>
      </c>
      <c r="I1114" s="41">
        <v>20</v>
      </c>
      <c r="J1114" s="40" t="s">
        <v>144</v>
      </c>
      <c r="K1114" s="36">
        <v>20</v>
      </c>
      <c r="L1114" s="42">
        <f>(27.16*(1-O3/100))/0.75</f>
        <v>36.213333333333331</v>
      </c>
      <c r="M1114" s="12"/>
      <c r="N1114" s="40">
        <f t="shared" si="58"/>
        <v>0</v>
      </c>
      <c r="O1114" s="48">
        <f>0.02*M1114</f>
        <v>0</v>
      </c>
      <c r="P1114" s="47">
        <f>0.00002*M1114</f>
        <v>0</v>
      </c>
      <c r="Q1114" s="44"/>
      <c r="R1114" s="45" t="s">
        <v>3600</v>
      </c>
      <c r="S1114" s="45" t="s">
        <v>93</v>
      </c>
      <c r="T1114" s="37" t="str">
        <f>HYPERLINK("https://kanzpp.ru/api/getInfo/image/748f136b-a964-11e9-a22d-ac1f6b442184")</f>
        <v>https://kanzpp.ru/api/getInfo/image/748f136b-a964-11e9-a22d-ac1f6b442184</v>
      </c>
      <c r="U1114" s="37"/>
    </row>
    <row r="1115" spans="2:21" ht="21" customHeight="1" outlineLevel="4" x14ac:dyDescent="0.2">
      <c r="B1115" s="36">
        <v>873</v>
      </c>
      <c r="C1115" s="37" t="s">
        <v>3601</v>
      </c>
      <c r="D1115" s="37" t="s">
        <v>3602</v>
      </c>
      <c r="E1115" s="38" t="s">
        <v>459</v>
      </c>
      <c r="F1115" s="39"/>
      <c r="G1115" s="40"/>
      <c r="H1115" s="41">
        <v>360</v>
      </c>
      <c r="I1115" s="41">
        <v>20</v>
      </c>
      <c r="J1115" s="40" t="s">
        <v>144</v>
      </c>
      <c r="K1115" s="36">
        <v>20</v>
      </c>
      <c r="L1115" s="42">
        <f>(26.55*(1-O3/100))/0.75</f>
        <v>35.4</v>
      </c>
      <c r="M1115" s="12"/>
      <c r="N1115" s="40">
        <f t="shared" si="58"/>
        <v>0</v>
      </c>
      <c r="O1115" s="43">
        <f>0.015*M1115</f>
        <v>0</v>
      </c>
      <c r="P1115" s="47">
        <f>0.00003*M1115</f>
        <v>0</v>
      </c>
      <c r="Q1115" s="44"/>
      <c r="R1115" s="45" t="s">
        <v>460</v>
      </c>
      <c r="S1115" s="45" t="s">
        <v>93</v>
      </c>
      <c r="T1115" s="37" t="str">
        <f>HYPERLINK("https://kanzpp.ru/api/getInfo/image/2c5e1743-a9e6-11e9-a22d-ac1f6b442184")</f>
        <v>https://kanzpp.ru/api/getInfo/image/2c5e1743-a9e6-11e9-a22d-ac1f6b442184</v>
      </c>
      <c r="U1115" s="37"/>
    </row>
    <row r="1116" spans="2:21" ht="21" customHeight="1" outlineLevel="4" x14ac:dyDescent="0.2">
      <c r="B1116" s="36">
        <v>874</v>
      </c>
      <c r="C1116" s="37" t="s">
        <v>3603</v>
      </c>
      <c r="D1116" s="37" t="s">
        <v>3604</v>
      </c>
      <c r="E1116" s="38" t="s">
        <v>463</v>
      </c>
      <c r="F1116" s="39"/>
      <c r="G1116" s="40"/>
      <c r="H1116" s="41">
        <v>360</v>
      </c>
      <c r="I1116" s="41">
        <v>20</v>
      </c>
      <c r="J1116" s="41">
        <v>287</v>
      </c>
      <c r="K1116" s="36">
        <v>40</v>
      </c>
      <c r="L1116" s="42">
        <f>(21.95*(1-O3/100))/0.75</f>
        <v>29.266666666666666</v>
      </c>
      <c r="M1116" s="12"/>
      <c r="N1116" s="40">
        <f t="shared" si="58"/>
        <v>0</v>
      </c>
      <c r="O1116" s="48">
        <f>0.22*M1116</f>
        <v>0</v>
      </c>
      <c r="P1116" s="47">
        <f>0.00055*M1116</f>
        <v>0</v>
      </c>
      <c r="Q1116" s="44"/>
      <c r="R1116" s="45" t="s">
        <v>464</v>
      </c>
      <c r="S1116" s="45" t="s">
        <v>93</v>
      </c>
      <c r="T1116" s="37" t="str">
        <f>HYPERLINK("https://kanzpp.ru/api/getInfo/image/733b55bf-a963-11e9-a22d-ac1f6b442184")</f>
        <v>https://kanzpp.ru/api/getInfo/image/733b55bf-a963-11e9-a22d-ac1f6b442184</v>
      </c>
      <c r="U1116" s="37"/>
    </row>
    <row r="1117" spans="2:21" ht="21" customHeight="1" outlineLevel="4" x14ac:dyDescent="0.2">
      <c r="B1117" s="36">
        <v>875</v>
      </c>
      <c r="C1117" s="37" t="s">
        <v>3605</v>
      </c>
      <c r="D1117" s="37" t="s">
        <v>3606</v>
      </c>
      <c r="E1117" s="38" t="s">
        <v>467</v>
      </c>
      <c r="F1117" s="39"/>
      <c r="G1117" s="40"/>
      <c r="H1117" s="41">
        <v>480</v>
      </c>
      <c r="I1117" s="41">
        <v>20</v>
      </c>
      <c r="J1117" s="40" t="s">
        <v>144</v>
      </c>
      <c r="K1117" s="36">
        <v>40</v>
      </c>
      <c r="L1117" s="42">
        <f>(15.67*(1-O3/100))/0.75</f>
        <v>20.893333333333334</v>
      </c>
      <c r="M1117" s="12"/>
      <c r="N1117" s="40">
        <f t="shared" si="58"/>
        <v>0</v>
      </c>
      <c r="O1117" s="48">
        <f>0.09*M1117</f>
        <v>0</v>
      </c>
      <c r="P1117" s="47">
        <f>0.00022*M1117</f>
        <v>0</v>
      </c>
      <c r="Q1117" s="44"/>
      <c r="R1117" s="45" t="s">
        <v>3607</v>
      </c>
      <c r="S1117" s="45" t="s">
        <v>93</v>
      </c>
      <c r="T1117" s="37" t="str">
        <f>HYPERLINK("https://kanzpp.ru/api/getInfo/image/1603859a-a961-11e9-a22d-ac1f6b442184")</f>
        <v>https://kanzpp.ru/api/getInfo/image/1603859a-a961-11e9-a22d-ac1f6b442184</v>
      </c>
      <c r="U1117" s="37"/>
    </row>
    <row r="1118" spans="2:21" ht="21" customHeight="1" outlineLevel="4" x14ac:dyDescent="0.2">
      <c r="B1118" s="36">
        <v>876</v>
      </c>
      <c r="C1118" s="37" t="s">
        <v>3608</v>
      </c>
      <c r="D1118" s="37" t="s">
        <v>3609</v>
      </c>
      <c r="E1118" s="38" t="s">
        <v>3610</v>
      </c>
      <c r="F1118" s="39"/>
      <c r="G1118" s="40"/>
      <c r="H1118" s="41">
        <v>400</v>
      </c>
      <c r="I1118" s="41">
        <v>20</v>
      </c>
      <c r="J1118" s="50">
        <v>2100</v>
      </c>
      <c r="K1118" s="36">
        <v>40</v>
      </c>
      <c r="L1118" s="42">
        <f>(21.99*(1-O3/100))/0.75</f>
        <v>29.319999999999997</v>
      </c>
      <c r="M1118" s="12"/>
      <c r="N1118" s="40">
        <f t="shared" si="58"/>
        <v>0</v>
      </c>
      <c r="O1118" s="48">
        <f>0.21*M1118</f>
        <v>0</v>
      </c>
      <c r="P1118" s="47">
        <f>0.00046*M1118</f>
        <v>0</v>
      </c>
      <c r="Q1118" s="44"/>
      <c r="R1118" s="45" t="s">
        <v>3611</v>
      </c>
      <c r="S1118" s="45" t="s">
        <v>93</v>
      </c>
      <c r="T1118" s="37" t="str">
        <f>HYPERLINK("https://kanzpp.ru/api/getInfo/image/6b1abb3b-a962-11e9-a22d-ac1f6b442184")</f>
        <v>https://kanzpp.ru/api/getInfo/image/6b1abb3b-a962-11e9-a22d-ac1f6b442184</v>
      </c>
      <c r="U1118" s="37"/>
    </row>
    <row r="1119" spans="2:21" ht="21" customHeight="1" outlineLevel="4" x14ac:dyDescent="0.2">
      <c r="B1119" s="36">
        <v>877</v>
      </c>
      <c r="C1119" s="37" t="s">
        <v>3612</v>
      </c>
      <c r="D1119" s="37" t="s">
        <v>3613</v>
      </c>
      <c r="E1119" s="38" t="s">
        <v>470</v>
      </c>
      <c r="F1119" s="39"/>
      <c r="G1119" s="40"/>
      <c r="H1119" s="41">
        <v>320</v>
      </c>
      <c r="I1119" s="41">
        <v>20</v>
      </c>
      <c r="J1119" s="40" t="s">
        <v>144</v>
      </c>
      <c r="K1119" s="36">
        <v>20</v>
      </c>
      <c r="L1119" s="42">
        <f>(26.12*(1-O3/100))/0.75</f>
        <v>34.826666666666668</v>
      </c>
      <c r="M1119" s="12"/>
      <c r="N1119" s="40">
        <f t="shared" si="58"/>
        <v>0</v>
      </c>
      <c r="O1119" s="43">
        <f>0.045*M1119</f>
        <v>0</v>
      </c>
      <c r="P1119" s="47">
        <f>0.00003*M1119</f>
        <v>0</v>
      </c>
      <c r="Q1119" s="44"/>
      <c r="R1119" s="45" t="s">
        <v>471</v>
      </c>
      <c r="S1119" s="45" t="s">
        <v>93</v>
      </c>
      <c r="T1119" s="37" t="str">
        <f>HYPERLINK("https://kanzpp.ru/api/getInfo/image/f85707b0-a962-11e9-a22d-ac1f6b442184")</f>
        <v>https://kanzpp.ru/api/getInfo/image/f85707b0-a962-11e9-a22d-ac1f6b442184</v>
      </c>
      <c r="U1119" s="37"/>
    </row>
    <row r="1120" spans="2:21" ht="21" customHeight="1" outlineLevel="4" x14ac:dyDescent="0.2">
      <c r="B1120" s="36">
        <v>878</v>
      </c>
      <c r="C1120" s="37" t="s">
        <v>3614</v>
      </c>
      <c r="D1120" s="37" t="s">
        <v>3615</v>
      </c>
      <c r="E1120" s="38" t="s">
        <v>474</v>
      </c>
      <c r="F1120" s="39"/>
      <c r="G1120" s="40"/>
      <c r="H1120" s="41">
        <v>320</v>
      </c>
      <c r="I1120" s="41">
        <v>20</v>
      </c>
      <c r="J1120" s="50">
        <v>4000</v>
      </c>
      <c r="K1120" s="36">
        <v>20</v>
      </c>
      <c r="L1120" s="42">
        <f>(27.16*(1-O3/100))/0.75</f>
        <v>36.213333333333331</v>
      </c>
      <c r="M1120" s="12"/>
      <c r="N1120" s="40">
        <f t="shared" si="58"/>
        <v>0</v>
      </c>
      <c r="O1120" s="48">
        <f>0.02*M1120</f>
        <v>0</v>
      </c>
      <c r="P1120" s="47">
        <f>0.00002*M1120</f>
        <v>0</v>
      </c>
      <c r="Q1120" s="44"/>
      <c r="R1120" s="45" t="s">
        <v>3616</v>
      </c>
      <c r="S1120" s="45" t="s">
        <v>93</v>
      </c>
      <c r="T1120" s="37" t="str">
        <f>HYPERLINK("https://kanzpp.ru/api/getInfo/image/434f2841-a964-11e9-a22d-ac1f6b442184")</f>
        <v>https://kanzpp.ru/api/getInfo/image/434f2841-a964-11e9-a22d-ac1f6b442184</v>
      </c>
      <c r="U1120" s="37"/>
    </row>
    <row r="1121" spans="2:22" ht="21" customHeight="1" outlineLevel="4" x14ac:dyDescent="0.2">
      <c r="B1121" s="5">
        <v>879</v>
      </c>
      <c r="C1121" s="6" t="s">
        <v>3617</v>
      </c>
      <c r="D1121" s="6" t="s">
        <v>3618</v>
      </c>
      <c r="E1121" s="7" t="s">
        <v>3619</v>
      </c>
      <c r="F1121" s="13"/>
      <c r="G1121" s="14"/>
      <c r="H1121" s="15">
        <v>400</v>
      </c>
      <c r="I1121" s="15">
        <v>20</v>
      </c>
      <c r="J1121" s="17">
        <v>1780</v>
      </c>
      <c r="K1121" s="5">
        <v>60</v>
      </c>
      <c r="L1121" s="16">
        <v>9.2000000000000011</v>
      </c>
      <c r="M1121" s="12"/>
      <c r="N1121" s="14">
        <f t="shared" si="58"/>
        <v>0</v>
      </c>
      <c r="O1121" s="23">
        <f>0.001*M1121</f>
        <v>0</v>
      </c>
      <c r="P1121" s="24">
        <f>0.00004*M1121</f>
        <v>0</v>
      </c>
      <c r="Q1121" s="25"/>
      <c r="R1121" s="26" t="s">
        <v>3620</v>
      </c>
      <c r="S1121" s="26" t="s">
        <v>93</v>
      </c>
      <c r="T1121" s="6"/>
      <c r="U1121" s="6"/>
      <c r="V1121" s="33" t="s">
        <v>35</v>
      </c>
    </row>
    <row r="1122" spans="2:22" ht="21" customHeight="1" outlineLevel="4" x14ac:dyDescent="0.2">
      <c r="B1122" s="36">
        <v>880</v>
      </c>
      <c r="C1122" s="37" t="s">
        <v>3621</v>
      </c>
      <c r="D1122" s="37" t="s">
        <v>3622</v>
      </c>
      <c r="E1122" s="38" t="s">
        <v>3623</v>
      </c>
      <c r="F1122" s="39"/>
      <c r="G1122" s="40"/>
      <c r="H1122" s="41">
        <v>480</v>
      </c>
      <c r="I1122" s="41">
        <v>20</v>
      </c>
      <c r="J1122" s="40" t="s">
        <v>144</v>
      </c>
      <c r="K1122" s="36">
        <v>40</v>
      </c>
      <c r="L1122" s="42">
        <f>(15.67*(1-O3/100))/0.75</f>
        <v>20.893333333333334</v>
      </c>
      <c r="M1122" s="12"/>
      <c r="N1122" s="40">
        <f t="shared" si="58"/>
        <v>0</v>
      </c>
      <c r="O1122" s="43">
        <f>0.004*M1122</f>
        <v>0</v>
      </c>
      <c r="P1122" s="47">
        <f>0.00006*M1122</f>
        <v>0</v>
      </c>
      <c r="Q1122" s="44"/>
      <c r="R1122" s="45" t="s">
        <v>3624</v>
      </c>
      <c r="S1122" s="45" t="s">
        <v>93</v>
      </c>
      <c r="T1122" s="37" t="str">
        <f>HYPERLINK("https://kanzpp.ru/api/getInfo/image/8d34bac6-a960-11e9-a22d-ac1f6b442184")</f>
        <v>https://kanzpp.ru/api/getInfo/image/8d34bac6-a960-11e9-a22d-ac1f6b442184</v>
      </c>
      <c r="U1122" s="37"/>
    </row>
    <row r="1123" spans="2:22" ht="21" customHeight="1" outlineLevel="4" x14ac:dyDescent="0.2">
      <c r="B1123" s="36">
        <v>881</v>
      </c>
      <c r="C1123" s="37" t="s">
        <v>3625</v>
      </c>
      <c r="D1123" s="37" t="s">
        <v>3626</v>
      </c>
      <c r="E1123" s="38" t="s">
        <v>3627</v>
      </c>
      <c r="F1123" s="39"/>
      <c r="G1123" s="40"/>
      <c r="H1123" s="41">
        <v>320</v>
      </c>
      <c r="I1123" s="41">
        <v>20</v>
      </c>
      <c r="J1123" s="40" t="s">
        <v>144</v>
      </c>
      <c r="K1123" s="36">
        <v>20</v>
      </c>
      <c r="L1123" s="42">
        <f>(26.12*(1-O3/100))/0.75</f>
        <v>34.826666666666668</v>
      </c>
      <c r="M1123" s="12"/>
      <c r="N1123" s="40">
        <f t="shared" si="58"/>
        <v>0</v>
      </c>
      <c r="O1123" s="43">
        <f>0.045*M1123</f>
        <v>0</v>
      </c>
      <c r="P1123" s="47">
        <f>0.00003*M1123</f>
        <v>0</v>
      </c>
      <c r="Q1123" s="44"/>
      <c r="R1123" s="45" t="s">
        <v>3628</v>
      </c>
      <c r="S1123" s="45" t="s">
        <v>93</v>
      </c>
      <c r="T1123" s="37" t="str">
        <f>HYPERLINK("https://kanzpp.ru/api/getInfo/image/d2a3b615-a962-11e9-a22d-ac1f6b442184")</f>
        <v>https://kanzpp.ru/api/getInfo/image/d2a3b615-a962-11e9-a22d-ac1f6b442184</v>
      </c>
      <c r="U1123" s="37"/>
    </row>
    <row r="1124" spans="2:22" ht="21" customHeight="1" outlineLevel="4" x14ac:dyDescent="0.2">
      <c r="B1124" s="36">
        <v>882</v>
      </c>
      <c r="C1124" s="37" t="s">
        <v>3629</v>
      </c>
      <c r="D1124" s="37" t="s">
        <v>3630</v>
      </c>
      <c r="E1124" s="38" t="s">
        <v>3631</v>
      </c>
      <c r="F1124" s="39"/>
      <c r="G1124" s="40"/>
      <c r="H1124" s="41">
        <v>320</v>
      </c>
      <c r="I1124" s="41">
        <v>20</v>
      </c>
      <c r="J1124" s="41">
        <v>280</v>
      </c>
      <c r="K1124" s="36">
        <v>20</v>
      </c>
      <c r="L1124" s="42">
        <f>(27.16*(1-O3/100))/0.75</f>
        <v>36.213333333333331</v>
      </c>
      <c r="M1124" s="12"/>
      <c r="N1124" s="40">
        <f t="shared" si="58"/>
        <v>0</v>
      </c>
      <c r="O1124" s="48">
        <f>0.02*M1124</f>
        <v>0</v>
      </c>
      <c r="P1124" s="47">
        <f>0.00002*M1124</f>
        <v>0</v>
      </c>
      <c r="Q1124" s="44"/>
      <c r="R1124" s="45" t="s">
        <v>3632</v>
      </c>
      <c r="S1124" s="45" t="s">
        <v>93</v>
      </c>
      <c r="T1124" s="37" t="str">
        <f>HYPERLINK("https://kanzpp.ru/api/getInfo/image/19e36da3-a964-11e9-a22d-ac1f6b442184")</f>
        <v>https://kanzpp.ru/api/getInfo/image/19e36da3-a964-11e9-a22d-ac1f6b442184</v>
      </c>
      <c r="U1124" s="37"/>
    </row>
    <row r="1125" spans="2:22" ht="22.95" customHeight="1" outlineLevel="3" x14ac:dyDescent="0.2">
      <c r="B1125" s="81" t="s">
        <v>3633</v>
      </c>
      <c r="C1125" s="81"/>
      <c r="D1125" s="81"/>
      <c r="L1125">
        <v>0</v>
      </c>
    </row>
    <row r="1126" spans="2:22" ht="22.95" customHeight="1" outlineLevel="4" x14ac:dyDescent="0.2">
      <c r="B1126" s="82" t="s">
        <v>3634</v>
      </c>
      <c r="C1126" s="82"/>
      <c r="D1126" s="82"/>
      <c r="L1126">
        <v>0</v>
      </c>
    </row>
    <row r="1127" spans="2:22" ht="21" customHeight="1" outlineLevel="5" x14ac:dyDescent="0.2">
      <c r="B1127" s="5">
        <v>883</v>
      </c>
      <c r="C1127" s="6" t="s">
        <v>3635</v>
      </c>
      <c r="D1127" s="6" t="s">
        <v>3636</v>
      </c>
      <c r="E1127" s="7" t="s">
        <v>3637</v>
      </c>
      <c r="F1127" s="13"/>
      <c r="G1127" s="14"/>
      <c r="H1127" s="15">
        <v>100</v>
      </c>
      <c r="I1127" s="14"/>
      <c r="J1127" s="14" t="s">
        <v>144</v>
      </c>
      <c r="K1127" s="5">
        <v>1</v>
      </c>
      <c r="L1127" s="16">
        <v>17.64</v>
      </c>
      <c r="M1127" s="12"/>
      <c r="N1127" s="14">
        <f t="shared" ref="N1127:N1132" si="59">L1127*M1127</f>
        <v>0</v>
      </c>
      <c r="O1127" s="23">
        <f>0.013*M1127</f>
        <v>0</v>
      </c>
      <c r="P1127" s="24">
        <f>0.00005*M1127</f>
        <v>0</v>
      </c>
      <c r="Q1127" s="25"/>
      <c r="R1127" s="26" t="s">
        <v>3638</v>
      </c>
      <c r="S1127" s="26" t="s">
        <v>29</v>
      </c>
      <c r="T1127" s="6" t="str">
        <f>HYPERLINK("https://kanzpp.ru/api/getInfo/image/ff40f856-05ec-11ee-a23b-00155d82e902")</f>
        <v>https://kanzpp.ru/api/getInfo/image/ff40f856-05ec-11ee-a23b-00155d82e902</v>
      </c>
      <c r="U1127" s="6"/>
      <c r="V1127" s="33" t="s">
        <v>35</v>
      </c>
    </row>
    <row r="1128" spans="2:22" ht="21" customHeight="1" outlineLevel="5" x14ac:dyDescent="0.2">
      <c r="B1128" s="36">
        <v>884</v>
      </c>
      <c r="C1128" s="37" t="s">
        <v>3639</v>
      </c>
      <c r="D1128" s="37" t="s">
        <v>3640</v>
      </c>
      <c r="E1128" s="38" t="s">
        <v>3641</v>
      </c>
      <c r="F1128" s="39"/>
      <c r="G1128" s="40"/>
      <c r="H1128" s="41">
        <v>135</v>
      </c>
      <c r="I1128" s="40"/>
      <c r="J1128" s="40" t="s">
        <v>144</v>
      </c>
      <c r="K1128" s="36">
        <v>25</v>
      </c>
      <c r="L1128" s="42">
        <f>(27.33*(1-O3/100))/0.75</f>
        <v>36.44</v>
      </c>
      <c r="M1128" s="12"/>
      <c r="N1128" s="40">
        <f t="shared" si="59"/>
        <v>0</v>
      </c>
      <c r="O1128" s="43">
        <f>0.025*M1128</f>
        <v>0</v>
      </c>
      <c r="P1128" s="47">
        <f>0.00011*M1128</f>
        <v>0</v>
      </c>
      <c r="Q1128" s="44"/>
      <c r="R1128" s="45" t="s">
        <v>3642</v>
      </c>
      <c r="S1128" s="45" t="s">
        <v>29</v>
      </c>
      <c r="T1128" s="37" t="str">
        <f>HYPERLINK("https://kanzpp.ru/api/getInfo/image/cd3b8858-3f93-11e7-977d-5cf3fc4a2490")</f>
        <v>https://kanzpp.ru/api/getInfo/image/cd3b8858-3f93-11e7-977d-5cf3fc4a2490</v>
      </c>
      <c r="U1128" s="37"/>
    </row>
    <row r="1129" spans="2:22" ht="21" customHeight="1" outlineLevel="5" x14ac:dyDescent="0.2">
      <c r="B1129" s="36">
        <v>885</v>
      </c>
      <c r="C1129" s="37" t="s">
        <v>3643</v>
      </c>
      <c r="D1129" s="37" t="s">
        <v>3644</v>
      </c>
      <c r="E1129" s="38" t="s">
        <v>3645</v>
      </c>
      <c r="F1129" s="39"/>
      <c r="G1129" s="40"/>
      <c r="H1129" s="41">
        <v>135</v>
      </c>
      <c r="I1129" s="40"/>
      <c r="J1129" s="40" t="s">
        <v>144</v>
      </c>
      <c r="K1129" s="36">
        <v>25</v>
      </c>
      <c r="L1129" s="42">
        <f>(27.65*(1-O3/100))/0.75</f>
        <v>36.866666666666667</v>
      </c>
      <c r="M1129" s="12"/>
      <c r="N1129" s="40">
        <f t="shared" si="59"/>
        <v>0</v>
      </c>
      <c r="O1129" s="43">
        <f>0.021*M1129</f>
        <v>0</v>
      </c>
      <c r="P1129" s="47">
        <f>0.00007*M1129</f>
        <v>0</v>
      </c>
      <c r="Q1129" s="44"/>
      <c r="R1129" s="45" t="s">
        <v>3646</v>
      </c>
      <c r="S1129" s="45" t="s">
        <v>29</v>
      </c>
      <c r="T1129" s="37" t="str">
        <f>HYPERLINK("https://kanzpp.ru/api/getInfo/image/b8b39078-407b-11e7-977d-5cf3fc4a2490")</f>
        <v>https://kanzpp.ru/api/getInfo/image/b8b39078-407b-11e7-977d-5cf3fc4a2490</v>
      </c>
      <c r="U1129" s="37"/>
    </row>
    <row r="1130" spans="2:22" ht="21" customHeight="1" outlineLevel="5" x14ac:dyDescent="0.2">
      <c r="B1130" s="36">
        <v>886</v>
      </c>
      <c r="C1130" s="37" t="s">
        <v>3647</v>
      </c>
      <c r="D1130" s="37" t="s">
        <v>3648</v>
      </c>
      <c r="E1130" s="38" t="s">
        <v>3649</v>
      </c>
      <c r="F1130" s="39"/>
      <c r="G1130" s="40"/>
      <c r="H1130" s="41">
        <v>135</v>
      </c>
      <c r="I1130" s="40"/>
      <c r="J1130" s="40" t="s">
        <v>144</v>
      </c>
      <c r="K1130" s="36">
        <v>20</v>
      </c>
      <c r="L1130" s="42">
        <f>(32.11*(1-O3/100))/0.75</f>
        <v>42.813333333333333</v>
      </c>
      <c r="M1130" s="12"/>
      <c r="N1130" s="40">
        <f t="shared" si="59"/>
        <v>0</v>
      </c>
      <c r="O1130" s="43">
        <f>0.024*M1130</f>
        <v>0</v>
      </c>
      <c r="P1130" s="47">
        <f>0.00008*M1130</f>
        <v>0</v>
      </c>
      <c r="Q1130" s="44"/>
      <c r="R1130" s="45" t="s">
        <v>3650</v>
      </c>
      <c r="S1130" s="45" t="s">
        <v>29</v>
      </c>
      <c r="T1130" s="37" t="str">
        <f>HYPERLINK("https://kanzpp.ru/api/getInfo/image/92ff2481-407b-11e7-977d-5cf3fc4a2490")</f>
        <v>https://kanzpp.ru/api/getInfo/image/92ff2481-407b-11e7-977d-5cf3fc4a2490</v>
      </c>
      <c r="U1130" s="37"/>
    </row>
    <row r="1131" spans="2:22" ht="21" customHeight="1" outlineLevel="5" x14ac:dyDescent="0.2">
      <c r="B1131" s="36">
        <v>887</v>
      </c>
      <c r="C1131" s="37" t="s">
        <v>3651</v>
      </c>
      <c r="D1131" s="37" t="s">
        <v>3652</v>
      </c>
      <c r="E1131" s="38" t="s">
        <v>3653</v>
      </c>
      <c r="F1131" s="39"/>
      <c r="G1131" s="40"/>
      <c r="H1131" s="41">
        <v>135</v>
      </c>
      <c r="I1131" s="40"/>
      <c r="J1131" s="40" t="s">
        <v>144</v>
      </c>
      <c r="K1131" s="36">
        <v>20</v>
      </c>
      <c r="L1131" s="42">
        <f>(34.8*(1-O3/100))/0.75</f>
        <v>46.4</v>
      </c>
      <c r="M1131" s="12"/>
      <c r="N1131" s="40">
        <f t="shared" si="59"/>
        <v>0</v>
      </c>
      <c r="O1131" s="43">
        <f>0.027*M1131</f>
        <v>0</v>
      </c>
      <c r="P1131" s="47">
        <f>0.00007*M1131</f>
        <v>0</v>
      </c>
      <c r="Q1131" s="44"/>
      <c r="R1131" s="45" t="s">
        <v>3654</v>
      </c>
      <c r="S1131" s="45" t="s">
        <v>29</v>
      </c>
      <c r="T1131" s="37" t="str">
        <f>HYPERLINK("https://kanzpp.ru/api/getInfo/image/585c9885-3f93-11e7-977d-5cf3fc4a2490")</f>
        <v>https://kanzpp.ru/api/getInfo/image/585c9885-3f93-11e7-977d-5cf3fc4a2490</v>
      </c>
      <c r="U1131" s="37"/>
    </row>
    <row r="1132" spans="2:22" ht="21" customHeight="1" outlineLevel="5" x14ac:dyDescent="0.2">
      <c r="B1132" s="36">
        <v>888</v>
      </c>
      <c r="C1132" s="37" t="s">
        <v>3655</v>
      </c>
      <c r="D1132" s="37" t="s">
        <v>3656</v>
      </c>
      <c r="E1132" s="38" t="s">
        <v>3657</v>
      </c>
      <c r="F1132" s="39"/>
      <c r="G1132" s="40"/>
      <c r="H1132" s="41">
        <v>135</v>
      </c>
      <c r="I1132" s="40"/>
      <c r="J1132" s="40" t="s">
        <v>144</v>
      </c>
      <c r="K1132" s="36">
        <v>20</v>
      </c>
      <c r="L1132" s="42">
        <f>(37.6*(1-O3/100))/0.75</f>
        <v>50.133333333333333</v>
      </c>
      <c r="M1132" s="12"/>
      <c r="N1132" s="40">
        <f t="shared" si="59"/>
        <v>0</v>
      </c>
      <c r="O1132" s="43">
        <f>0.026*M1132</f>
        <v>0</v>
      </c>
      <c r="P1132" s="47">
        <f>0.00007*M1132</f>
        <v>0</v>
      </c>
      <c r="Q1132" s="44"/>
      <c r="R1132" s="45" t="s">
        <v>3658</v>
      </c>
      <c r="S1132" s="45" t="s">
        <v>29</v>
      </c>
      <c r="T1132" s="37" t="str">
        <f>HYPERLINK("https://kanzpp.ru/api/getInfo/image/9112812c-3f93-11e7-977d-5cf3fc4a2490")</f>
        <v>https://kanzpp.ru/api/getInfo/image/9112812c-3f93-11e7-977d-5cf3fc4a2490</v>
      </c>
      <c r="U1132" s="37"/>
    </row>
    <row r="1133" spans="2:22" ht="22.95" customHeight="1" outlineLevel="4" x14ac:dyDescent="0.2">
      <c r="B1133" s="82" t="s">
        <v>3659</v>
      </c>
      <c r="C1133" s="82"/>
      <c r="D1133" s="82"/>
      <c r="L1133">
        <v>0</v>
      </c>
    </row>
    <row r="1134" spans="2:22" ht="21" customHeight="1" outlineLevel="5" x14ac:dyDescent="0.2">
      <c r="B1134" s="5">
        <v>889</v>
      </c>
      <c r="C1134" s="6" t="s">
        <v>3660</v>
      </c>
      <c r="D1134" s="6" t="s">
        <v>3661</v>
      </c>
      <c r="E1134" s="7" t="s">
        <v>3662</v>
      </c>
      <c r="F1134" s="13"/>
      <c r="G1134" s="14"/>
      <c r="H1134" s="15">
        <v>30</v>
      </c>
      <c r="I1134" s="14"/>
      <c r="J1134" s="14" t="s">
        <v>144</v>
      </c>
      <c r="K1134" s="5">
        <v>10</v>
      </c>
      <c r="L1134" s="16">
        <v>69.306666666666658</v>
      </c>
      <c r="M1134" s="12"/>
      <c r="N1134" s="14">
        <f>L1134*M1134</f>
        <v>0</v>
      </c>
      <c r="O1134" s="23">
        <f>0.036*M1134</f>
        <v>0</v>
      </c>
      <c r="P1134" s="24">
        <f>0.00017*M1134</f>
        <v>0</v>
      </c>
      <c r="Q1134" s="25"/>
      <c r="R1134" s="26" t="s">
        <v>3663</v>
      </c>
      <c r="S1134" s="26" t="s">
        <v>29</v>
      </c>
      <c r="T1134" s="6" t="str">
        <f>HYPERLINK("https://kanzpp.ru/api/getInfo/image/801acfd0-3f94-11e7-977d-5cf3fc4a2490")</f>
        <v>https://kanzpp.ru/api/getInfo/image/801acfd0-3f94-11e7-977d-5cf3fc4a2490</v>
      </c>
      <c r="U1134" s="6"/>
      <c r="V1134" s="33" t="s">
        <v>35</v>
      </c>
    </row>
    <row r="1135" spans="2:22" ht="21" customHeight="1" outlineLevel="5" x14ac:dyDescent="0.2">
      <c r="B1135" s="36">
        <v>890</v>
      </c>
      <c r="C1135" s="37" t="s">
        <v>3664</v>
      </c>
      <c r="D1135" s="37" t="s">
        <v>3665</v>
      </c>
      <c r="E1135" s="38" t="s">
        <v>3666</v>
      </c>
      <c r="F1135" s="39"/>
      <c r="G1135" s="40"/>
      <c r="H1135" s="41">
        <v>10</v>
      </c>
      <c r="I1135" s="40"/>
      <c r="J1135" s="40" t="s">
        <v>144</v>
      </c>
      <c r="K1135" s="36">
        <v>3</v>
      </c>
      <c r="L1135" s="42">
        <f>(256.66*(1-O3/100))/0.75</f>
        <v>342.21333333333337</v>
      </c>
      <c r="M1135" s="12"/>
      <c r="N1135" s="40">
        <f>L1135*M1135</f>
        <v>0</v>
      </c>
      <c r="O1135" s="48">
        <f>0.23*M1135</f>
        <v>0</v>
      </c>
      <c r="P1135" s="47">
        <f>0.00043*M1135</f>
        <v>0</v>
      </c>
      <c r="Q1135" s="44"/>
      <c r="R1135" s="45" t="s">
        <v>3667</v>
      </c>
      <c r="S1135" s="45" t="s">
        <v>29</v>
      </c>
      <c r="T1135" s="37" t="str">
        <f>HYPERLINK("https://kanzpp.ru/api/getInfo/image/57d5680c-3f94-11e7-977d-5cf3fc4a2490")</f>
        <v>https://kanzpp.ru/api/getInfo/image/57d5680c-3f94-11e7-977d-5cf3fc4a2490</v>
      </c>
      <c r="U1135" s="37"/>
    </row>
    <row r="1136" spans="2:22" ht="22.95" customHeight="1" outlineLevel="1" x14ac:dyDescent="0.2">
      <c r="B1136" s="79" t="s">
        <v>3668</v>
      </c>
      <c r="C1136" s="79"/>
      <c r="D1136" s="79"/>
      <c r="L1136">
        <v>0</v>
      </c>
    </row>
    <row r="1137" spans="2:22" ht="22.95" customHeight="1" outlineLevel="2" x14ac:dyDescent="0.2">
      <c r="B1137" s="80" t="s">
        <v>3669</v>
      </c>
      <c r="C1137" s="80"/>
      <c r="D1137" s="80"/>
      <c r="L1137">
        <v>0</v>
      </c>
    </row>
    <row r="1138" spans="2:22" ht="22.95" customHeight="1" outlineLevel="3" x14ac:dyDescent="0.2">
      <c r="B1138" s="81" t="s">
        <v>3670</v>
      </c>
      <c r="C1138" s="81"/>
      <c r="D1138" s="81"/>
      <c r="L1138">
        <v>0</v>
      </c>
    </row>
    <row r="1139" spans="2:22" ht="22.95" customHeight="1" outlineLevel="4" x14ac:dyDescent="0.2">
      <c r="B1139" s="82" t="s">
        <v>3671</v>
      </c>
      <c r="C1139" s="82"/>
      <c r="D1139" s="82"/>
      <c r="L1139">
        <v>0</v>
      </c>
    </row>
    <row r="1140" spans="2:22" ht="22.95" customHeight="1" outlineLevel="5" x14ac:dyDescent="0.2">
      <c r="B1140" s="83" t="s">
        <v>3672</v>
      </c>
      <c r="C1140" s="83"/>
      <c r="D1140" s="83"/>
      <c r="L1140">
        <v>0</v>
      </c>
    </row>
    <row r="1141" spans="2:22" ht="21" customHeight="1" outlineLevel="6" x14ac:dyDescent="0.2">
      <c r="B1141" s="36">
        <v>891</v>
      </c>
      <c r="C1141" s="37" t="s">
        <v>3673</v>
      </c>
      <c r="D1141" s="37" t="s">
        <v>3674</v>
      </c>
      <c r="E1141" s="38" t="s">
        <v>3675</v>
      </c>
      <c r="F1141" s="39"/>
      <c r="G1141" s="40"/>
      <c r="H1141" s="40"/>
      <c r="I1141" s="41">
        <v>24</v>
      </c>
      <c r="J1141" s="41">
        <v>262</v>
      </c>
      <c r="K1141" s="36">
        <v>24</v>
      </c>
      <c r="L1141" s="42">
        <f>(18.03*(1-O3/100))/0.75</f>
        <v>24.040000000000003</v>
      </c>
      <c r="M1141" s="12"/>
      <c r="N1141" s="40">
        <f>L1141*M1141</f>
        <v>0</v>
      </c>
      <c r="O1141" s="43">
        <f>0.059*M1141</f>
        <v>0</v>
      </c>
      <c r="P1141" s="47">
        <f>0.00006*M1141</f>
        <v>0</v>
      </c>
      <c r="Q1141" s="44"/>
      <c r="R1141" s="45" t="s">
        <v>3676</v>
      </c>
      <c r="S1141" s="45" t="s">
        <v>29</v>
      </c>
      <c r="T1141" s="37" t="str">
        <f>HYPERLINK("https://kanzpp.ru/api/getInfo/image/1a495d79-05bb-11f1-a28f-00155d82e908")</f>
        <v>https://kanzpp.ru/api/getInfo/image/1a495d79-05bb-11f1-a28f-00155d82e908</v>
      </c>
      <c r="U1141" s="37"/>
    </row>
    <row r="1142" spans="2:22" ht="21" customHeight="1" outlineLevel="6" x14ac:dyDescent="0.2">
      <c r="B1142" s="36">
        <v>892</v>
      </c>
      <c r="C1142" s="37" t="s">
        <v>3677</v>
      </c>
      <c r="D1142" s="37" t="s">
        <v>3678</v>
      </c>
      <c r="E1142" s="38" t="s">
        <v>3679</v>
      </c>
      <c r="F1142" s="39"/>
      <c r="G1142" s="40"/>
      <c r="H1142" s="40"/>
      <c r="I1142" s="41">
        <v>24</v>
      </c>
      <c r="J1142" s="41">
        <v>368</v>
      </c>
      <c r="K1142" s="36">
        <v>24</v>
      </c>
      <c r="L1142" s="42">
        <f>(18.03*(1-O3/100))/0.75</f>
        <v>24.040000000000003</v>
      </c>
      <c r="M1142" s="12"/>
      <c r="N1142" s="40">
        <f>L1142*M1142</f>
        <v>0</v>
      </c>
      <c r="O1142" s="43">
        <f>0.058*M1142</f>
        <v>0</v>
      </c>
      <c r="P1142" s="47">
        <f>0.00012*M1142</f>
        <v>0</v>
      </c>
      <c r="Q1142" s="44"/>
      <c r="R1142" s="45" t="s">
        <v>3680</v>
      </c>
      <c r="S1142" s="45" t="s">
        <v>29</v>
      </c>
      <c r="T1142" s="37" t="str">
        <f>HYPERLINK("https://kanzpp.ru/api/getInfo/image/1b4e1fed-160e-11f0-a279-00155d82e908")</f>
        <v>https://kanzpp.ru/api/getInfo/image/1b4e1fed-160e-11f0-a279-00155d82e908</v>
      </c>
      <c r="U1142" s="37"/>
    </row>
    <row r="1143" spans="2:22" ht="21" customHeight="1" outlineLevel="6" x14ac:dyDescent="0.2">
      <c r="B1143" s="36">
        <v>893</v>
      </c>
      <c r="C1143" s="37" t="s">
        <v>3681</v>
      </c>
      <c r="D1143" s="37" t="s">
        <v>3682</v>
      </c>
      <c r="E1143" s="38" t="s">
        <v>3683</v>
      </c>
      <c r="F1143" s="39"/>
      <c r="G1143" s="40"/>
      <c r="H1143" s="40"/>
      <c r="I1143" s="41">
        <v>24</v>
      </c>
      <c r="J1143" s="50">
        <v>2231</v>
      </c>
      <c r="K1143" s="36">
        <v>24</v>
      </c>
      <c r="L1143" s="42">
        <f>(18.03*(1-O3/100))/0.75</f>
        <v>24.040000000000003</v>
      </c>
      <c r="M1143" s="12"/>
      <c r="N1143" s="40">
        <f>L1143*M1143</f>
        <v>0</v>
      </c>
      <c r="O1143" s="43">
        <f>0.146*M1143</f>
        <v>0</v>
      </c>
      <c r="P1143" s="47">
        <f>0.00022*M1143</f>
        <v>0</v>
      </c>
      <c r="Q1143" s="44"/>
      <c r="R1143" s="45" t="s">
        <v>3684</v>
      </c>
      <c r="S1143" s="45" t="s">
        <v>29</v>
      </c>
      <c r="T1143" s="37" t="str">
        <f>HYPERLINK("https://kanzpp.ru/api/getInfo/image/87303ce8-05bb-11f1-a28f-00155d82e908")</f>
        <v>https://kanzpp.ru/api/getInfo/image/87303ce8-05bb-11f1-a28f-00155d82e908</v>
      </c>
      <c r="U1143" s="37"/>
    </row>
    <row r="1144" spans="2:22" ht="22.95" customHeight="1" outlineLevel="5" x14ac:dyDescent="0.2">
      <c r="B1144" s="83" t="s">
        <v>3685</v>
      </c>
      <c r="C1144" s="83"/>
      <c r="D1144" s="83"/>
      <c r="L1144">
        <v>0</v>
      </c>
    </row>
    <row r="1145" spans="2:22" ht="21" customHeight="1" outlineLevel="6" x14ac:dyDescent="0.2">
      <c r="B1145" s="36">
        <v>894</v>
      </c>
      <c r="C1145" s="37" t="s">
        <v>3686</v>
      </c>
      <c r="D1145" s="37" t="s">
        <v>3687</v>
      </c>
      <c r="E1145" s="38" t="s">
        <v>3688</v>
      </c>
      <c r="F1145" s="39"/>
      <c r="G1145" s="40"/>
      <c r="H1145" s="40"/>
      <c r="I1145" s="41">
        <v>25</v>
      </c>
      <c r="J1145" s="50">
        <v>1829</v>
      </c>
      <c r="K1145" s="36">
        <v>25</v>
      </c>
      <c r="L1145" s="42">
        <f>(22.88*(1-O3/100))/0.75</f>
        <v>30.506666666666664</v>
      </c>
      <c r="M1145" s="12"/>
      <c r="N1145" s="40">
        <f>L1145*M1145</f>
        <v>0</v>
      </c>
      <c r="O1145" s="48">
        <f>0.07*M1145</f>
        <v>0</v>
      </c>
      <c r="P1145" s="47">
        <f>0.00012*M1145</f>
        <v>0</v>
      </c>
      <c r="Q1145" s="44"/>
      <c r="R1145" s="45" t="s">
        <v>3689</v>
      </c>
      <c r="S1145" s="45" t="s">
        <v>29</v>
      </c>
      <c r="T1145" s="37" t="str">
        <f>HYPERLINK("https://kanzpp.ru/api/getInfo/image/fe1b5d16-cb05-11ee-a25a-00155d82e908")</f>
        <v>https://kanzpp.ru/api/getInfo/image/fe1b5d16-cb05-11ee-a25a-00155d82e908</v>
      </c>
      <c r="U1145" s="37"/>
    </row>
    <row r="1146" spans="2:22" ht="21" customHeight="1" outlineLevel="6" x14ac:dyDescent="0.2">
      <c r="B1146" s="36">
        <v>895</v>
      </c>
      <c r="C1146" s="37" t="s">
        <v>3690</v>
      </c>
      <c r="D1146" s="37" t="s">
        <v>3691</v>
      </c>
      <c r="E1146" s="38" t="s">
        <v>3692</v>
      </c>
      <c r="F1146" s="39"/>
      <c r="G1146" s="40"/>
      <c r="H1146" s="40"/>
      <c r="I1146" s="41">
        <v>25</v>
      </c>
      <c r="J1146" s="41">
        <v>955</v>
      </c>
      <c r="K1146" s="36">
        <v>25</v>
      </c>
      <c r="L1146" s="42">
        <f>(22.88*(1-O3/100))/0.75</f>
        <v>30.506666666666664</v>
      </c>
      <c r="M1146" s="12"/>
      <c r="N1146" s="40">
        <f>L1146*M1146</f>
        <v>0</v>
      </c>
      <c r="O1146" s="48">
        <f>0.07*M1146</f>
        <v>0</v>
      </c>
      <c r="P1146" s="47">
        <f>0.00012*M1146</f>
        <v>0</v>
      </c>
      <c r="Q1146" s="44"/>
      <c r="R1146" s="45" t="s">
        <v>3693</v>
      </c>
      <c r="S1146" s="45" t="s">
        <v>29</v>
      </c>
      <c r="T1146" s="37" t="str">
        <f>HYPERLINK("https://kanzpp.ru/api/getInfo/image/f76647d4-1c15-11f0-a279-00155d82e908")</f>
        <v>https://kanzpp.ru/api/getInfo/image/f76647d4-1c15-11f0-a279-00155d82e908</v>
      </c>
      <c r="U1146" s="37"/>
    </row>
    <row r="1147" spans="2:22" ht="22.95" customHeight="1" outlineLevel="3" x14ac:dyDescent="0.2">
      <c r="B1147" s="81" t="s">
        <v>3694</v>
      </c>
      <c r="C1147" s="81"/>
      <c r="D1147" s="81"/>
      <c r="L1147">
        <v>0</v>
      </c>
    </row>
    <row r="1148" spans="2:22" ht="22.95" customHeight="1" outlineLevel="4" x14ac:dyDescent="0.2">
      <c r="B1148" s="82" t="s">
        <v>3671</v>
      </c>
      <c r="C1148" s="82"/>
      <c r="D1148" s="82"/>
      <c r="L1148">
        <v>0</v>
      </c>
    </row>
    <row r="1149" spans="2:22" ht="22.95" customHeight="1" outlineLevel="5" x14ac:dyDescent="0.2">
      <c r="B1149" s="83" t="s">
        <v>3695</v>
      </c>
      <c r="C1149" s="83"/>
      <c r="D1149" s="83"/>
      <c r="L1149">
        <v>0</v>
      </c>
    </row>
    <row r="1150" spans="2:22" ht="21" customHeight="1" outlineLevel="6" x14ac:dyDescent="0.2">
      <c r="B1150" s="5">
        <v>896</v>
      </c>
      <c r="C1150" s="6" t="s">
        <v>3696</v>
      </c>
      <c r="D1150" s="6" t="s">
        <v>3697</v>
      </c>
      <c r="E1150" s="7" t="s">
        <v>3698</v>
      </c>
      <c r="F1150" s="13"/>
      <c r="G1150" s="14"/>
      <c r="H1150" s="14"/>
      <c r="I1150" s="15">
        <v>20</v>
      </c>
      <c r="J1150" s="14" t="s">
        <v>144</v>
      </c>
      <c r="K1150" s="5">
        <v>20</v>
      </c>
      <c r="L1150" s="16">
        <v>22.653333333333332</v>
      </c>
      <c r="M1150" s="12"/>
      <c r="N1150" s="14">
        <f>L1150*M1150</f>
        <v>0</v>
      </c>
      <c r="O1150" s="23">
        <f>0.075*M1150</f>
        <v>0</v>
      </c>
      <c r="P1150" s="24">
        <f>0.00012*M1150</f>
        <v>0</v>
      </c>
      <c r="Q1150" s="25"/>
      <c r="R1150" s="26" t="s">
        <v>3699</v>
      </c>
      <c r="S1150" s="26" t="s">
        <v>29</v>
      </c>
      <c r="T1150" s="6" t="str">
        <f>HYPERLINK("https://kanzpp.ru/api/getInfo/image/7caf8cb7-1922-11f0-a279-00155d82e908")</f>
        <v>https://kanzpp.ru/api/getInfo/image/7caf8cb7-1922-11f0-a279-00155d82e908</v>
      </c>
      <c r="U1150" s="6"/>
      <c r="V1150" s="33" t="s">
        <v>35</v>
      </c>
    </row>
    <row r="1151" spans="2:22" ht="21" customHeight="1" outlineLevel="6" x14ac:dyDescent="0.2">
      <c r="B1151" s="36">
        <v>897</v>
      </c>
      <c r="C1151" s="37" t="s">
        <v>3700</v>
      </c>
      <c r="D1151" s="37" t="s">
        <v>3701</v>
      </c>
      <c r="E1151" s="38" t="s">
        <v>3702</v>
      </c>
      <c r="F1151" s="39"/>
      <c r="G1151" s="40"/>
      <c r="H1151" s="40"/>
      <c r="I1151" s="41">
        <v>20</v>
      </c>
      <c r="J1151" s="50">
        <v>1350</v>
      </c>
      <c r="K1151" s="36">
        <v>20</v>
      </c>
      <c r="L1151" s="42">
        <f>(23.3*(1-O3/100))/0.75</f>
        <v>31.066666666666666</v>
      </c>
      <c r="M1151" s="12"/>
      <c r="N1151" s="40">
        <f>L1151*M1151</f>
        <v>0</v>
      </c>
      <c r="O1151" s="43">
        <f>0.075*M1151</f>
        <v>0</v>
      </c>
      <c r="P1151" s="47">
        <f>0.00024*M1151</f>
        <v>0</v>
      </c>
      <c r="Q1151" s="44"/>
      <c r="R1151" s="45" t="s">
        <v>3703</v>
      </c>
      <c r="S1151" s="45" t="s">
        <v>29</v>
      </c>
      <c r="T1151" s="37" t="str">
        <f>HYPERLINK("https://kanzpp.ru/api/getInfo/image/b4dbd4e9-1921-11f0-a279-00155d82e908")</f>
        <v>https://kanzpp.ru/api/getInfo/image/b4dbd4e9-1921-11f0-a279-00155d82e908</v>
      </c>
      <c r="U1151" s="37"/>
    </row>
    <row r="1152" spans="2:22" ht="21" customHeight="1" outlineLevel="6" x14ac:dyDescent="0.2">
      <c r="B1152" s="36">
        <v>898</v>
      </c>
      <c r="C1152" s="37" t="s">
        <v>3704</v>
      </c>
      <c r="D1152" s="37" t="s">
        <v>3705</v>
      </c>
      <c r="E1152" s="38" t="s">
        <v>3706</v>
      </c>
      <c r="F1152" s="39"/>
      <c r="G1152" s="40"/>
      <c r="H1152" s="40"/>
      <c r="I1152" s="41">
        <v>20</v>
      </c>
      <c r="J1152" s="41">
        <v>20</v>
      </c>
      <c r="K1152" s="36">
        <v>20</v>
      </c>
      <c r="L1152" s="42">
        <f>(23.3*(1-O3/100))/0.75</f>
        <v>31.066666666666666</v>
      </c>
      <c r="M1152" s="12"/>
      <c r="N1152" s="40">
        <f>L1152*M1152</f>
        <v>0</v>
      </c>
      <c r="O1152" s="43">
        <f>0.083*M1152</f>
        <v>0</v>
      </c>
      <c r="P1152" s="47">
        <f>0.00023*M1152</f>
        <v>0</v>
      </c>
      <c r="Q1152" s="44"/>
      <c r="R1152" s="45" t="s">
        <v>3707</v>
      </c>
      <c r="S1152" s="45" t="s">
        <v>29</v>
      </c>
      <c r="T1152" s="37" t="str">
        <f>HYPERLINK("https://kanzpp.ru/api/getInfo/image/a651e19f-1922-11f0-a279-00155d82e908")</f>
        <v>https://kanzpp.ru/api/getInfo/image/a651e19f-1922-11f0-a279-00155d82e908</v>
      </c>
      <c r="U1152" s="37"/>
    </row>
    <row r="1153" spans="2:22" ht="22.95" customHeight="1" outlineLevel="5" x14ac:dyDescent="0.2">
      <c r="B1153" s="83" t="s">
        <v>3708</v>
      </c>
      <c r="C1153" s="83"/>
      <c r="D1153" s="83"/>
      <c r="L1153">
        <v>0</v>
      </c>
    </row>
    <row r="1154" spans="2:22" ht="21" customHeight="1" outlineLevel="6" x14ac:dyDescent="0.2">
      <c r="B1154" s="36">
        <v>899</v>
      </c>
      <c r="C1154" s="37" t="s">
        <v>3709</v>
      </c>
      <c r="D1154" s="37" t="s">
        <v>3710</v>
      </c>
      <c r="E1154" s="38" t="s">
        <v>3711</v>
      </c>
      <c r="F1154" s="39"/>
      <c r="G1154" s="40"/>
      <c r="H1154" s="40"/>
      <c r="I1154" s="41">
        <v>20</v>
      </c>
      <c r="J1154" s="41">
        <v>685</v>
      </c>
      <c r="K1154" s="36">
        <v>20</v>
      </c>
      <c r="L1154" s="42">
        <f>(30.14*(1-O3/100))/0.75</f>
        <v>40.186666666666667</v>
      </c>
      <c r="M1154" s="12"/>
      <c r="N1154" s="40">
        <f>L1154*M1154</f>
        <v>0</v>
      </c>
      <c r="O1154" s="43">
        <f>0.094*M1154</f>
        <v>0</v>
      </c>
      <c r="P1154" s="47">
        <f>0.00012*M1154</f>
        <v>0</v>
      </c>
      <c r="Q1154" s="44"/>
      <c r="R1154" s="45" t="s">
        <v>3712</v>
      </c>
      <c r="S1154" s="45" t="s">
        <v>29</v>
      </c>
      <c r="T1154" s="37" t="str">
        <f>HYPERLINK("https://kanzpp.ru/api/getInfo/image/28e4d818-2b3c-11f0-a27b-00155d82e908")</f>
        <v>https://kanzpp.ru/api/getInfo/image/28e4d818-2b3c-11f0-a27b-00155d82e908</v>
      </c>
      <c r="U1154" s="37"/>
    </row>
    <row r="1155" spans="2:22" ht="21" customHeight="1" outlineLevel="6" x14ac:dyDescent="0.2">
      <c r="B1155" s="36">
        <v>900</v>
      </c>
      <c r="C1155" s="37" t="s">
        <v>3713</v>
      </c>
      <c r="D1155" s="37" t="s">
        <v>3714</v>
      </c>
      <c r="E1155" s="38" t="s">
        <v>3715</v>
      </c>
      <c r="F1155" s="39"/>
      <c r="G1155" s="40"/>
      <c r="H1155" s="40"/>
      <c r="I1155" s="41">
        <v>20</v>
      </c>
      <c r="J1155" s="50">
        <v>3797</v>
      </c>
      <c r="K1155" s="36">
        <v>20</v>
      </c>
      <c r="L1155" s="42">
        <f>(30.14*(1-O3/100))/0.75</f>
        <v>40.186666666666667</v>
      </c>
      <c r="M1155" s="12"/>
      <c r="N1155" s="40">
        <f>L1155*M1155</f>
        <v>0</v>
      </c>
      <c r="O1155" s="43">
        <f>0.114*M1155</f>
        <v>0</v>
      </c>
      <c r="P1155" s="47">
        <f>0.00029*M1155</f>
        <v>0</v>
      </c>
      <c r="Q1155" s="44"/>
      <c r="R1155" s="45" t="s">
        <v>3716</v>
      </c>
      <c r="S1155" s="45" t="s">
        <v>29</v>
      </c>
      <c r="T1155" s="37" t="str">
        <f>HYPERLINK("https://kanzpp.ru/api/getInfo/image/1db7c02e-2b3d-11f0-a27b-00155d82e908")</f>
        <v>https://kanzpp.ru/api/getInfo/image/1db7c02e-2b3d-11f0-a27b-00155d82e908</v>
      </c>
      <c r="U1155" s="37"/>
    </row>
    <row r="1156" spans="2:22" ht="21" customHeight="1" outlineLevel="6" x14ac:dyDescent="0.2">
      <c r="B1156" s="36">
        <v>901</v>
      </c>
      <c r="C1156" s="37" t="s">
        <v>3717</v>
      </c>
      <c r="D1156" s="37" t="s">
        <v>3718</v>
      </c>
      <c r="E1156" s="38" t="s">
        <v>3719</v>
      </c>
      <c r="F1156" s="39"/>
      <c r="G1156" s="40"/>
      <c r="H1156" s="40"/>
      <c r="I1156" s="41">
        <v>20</v>
      </c>
      <c r="J1156" s="50">
        <v>1210</v>
      </c>
      <c r="K1156" s="36">
        <v>20</v>
      </c>
      <c r="L1156" s="42">
        <f>(30.14*(1-O3/100))/0.75</f>
        <v>40.186666666666667</v>
      </c>
      <c r="M1156" s="12"/>
      <c r="N1156" s="40">
        <f>L1156*M1156</f>
        <v>0</v>
      </c>
      <c r="O1156" s="43">
        <f>0.114*M1156</f>
        <v>0</v>
      </c>
      <c r="P1156" s="47">
        <f>0.00029*M1156</f>
        <v>0</v>
      </c>
      <c r="Q1156" s="44"/>
      <c r="R1156" s="45" t="s">
        <v>3720</v>
      </c>
      <c r="S1156" s="45" t="s">
        <v>29</v>
      </c>
      <c r="T1156" s="37" t="str">
        <f>HYPERLINK("https://kanzpp.ru/api/getInfo/image/c7da1423-2b3d-11f0-a27b-00155d82e908")</f>
        <v>https://kanzpp.ru/api/getInfo/image/c7da1423-2b3d-11f0-a27b-00155d82e908</v>
      </c>
      <c r="U1156" s="37"/>
    </row>
    <row r="1157" spans="2:22" ht="21" customHeight="1" outlineLevel="6" x14ac:dyDescent="0.2">
      <c r="B1157" s="5">
        <v>902</v>
      </c>
      <c r="C1157" s="6" t="s">
        <v>3721</v>
      </c>
      <c r="D1157" s="6" t="s">
        <v>3722</v>
      </c>
      <c r="E1157" s="7" t="s">
        <v>3723</v>
      </c>
      <c r="F1157" s="13"/>
      <c r="G1157" s="14"/>
      <c r="H1157" s="14"/>
      <c r="I1157" s="15">
        <v>20</v>
      </c>
      <c r="J1157" s="15">
        <v>775</v>
      </c>
      <c r="K1157" s="5">
        <v>20</v>
      </c>
      <c r="L1157" s="16">
        <v>18.533333333333335</v>
      </c>
      <c r="M1157" s="12"/>
      <c r="N1157" s="14">
        <f>L1157*M1157</f>
        <v>0</v>
      </c>
      <c r="O1157" s="23">
        <f>0.091*M1157</f>
        <v>0</v>
      </c>
      <c r="P1157" s="24">
        <f>0.00036*M1157</f>
        <v>0</v>
      </c>
      <c r="Q1157" s="25"/>
      <c r="R1157" s="26" t="s">
        <v>3724</v>
      </c>
      <c r="S1157" s="26" t="s">
        <v>29</v>
      </c>
      <c r="T1157" s="6" t="str">
        <f>HYPERLINK("https://kanzpp.ru/api/getInfo/image/ac7b4df2-95a0-11ed-a22d-00155d82e902")</f>
        <v>https://kanzpp.ru/api/getInfo/image/ac7b4df2-95a0-11ed-a22d-00155d82e902</v>
      </c>
      <c r="U1157" s="6"/>
      <c r="V1157" s="33" t="s">
        <v>35</v>
      </c>
    </row>
    <row r="1158" spans="2:22" ht="21" customHeight="1" outlineLevel="6" x14ac:dyDescent="0.2">
      <c r="B1158" s="36">
        <v>903</v>
      </c>
      <c r="C1158" s="37" t="s">
        <v>3725</v>
      </c>
      <c r="D1158" s="37" t="s">
        <v>3726</v>
      </c>
      <c r="E1158" s="38" t="s">
        <v>3727</v>
      </c>
      <c r="F1158" s="39"/>
      <c r="G1158" s="40"/>
      <c r="H1158" s="40"/>
      <c r="I1158" s="41">
        <v>20</v>
      </c>
      <c r="J1158" s="50">
        <v>1057</v>
      </c>
      <c r="K1158" s="36">
        <v>20</v>
      </c>
      <c r="L1158" s="42">
        <f>(30.14*(1-O3/100))/0.75</f>
        <v>40.186666666666667</v>
      </c>
      <c r="M1158" s="12"/>
      <c r="N1158" s="40">
        <f>L1158*M1158</f>
        <v>0</v>
      </c>
      <c r="O1158" s="43">
        <f>0.114*M1158</f>
        <v>0</v>
      </c>
      <c r="P1158" s="47">
        <f>0.00029*M1158</f>
        <v>0</v>
      </c>
      <c r="Q1158" s="44"/>
      <c r="R1158" s="45" t="s">
        <v>3728</v>
      </c>
      <c r="S1158" s="45" t="s">
        <v>29</v>
      </c>
      <c r="T1158" s="37" t="str">
        <f>HYPERLINK("https://kanzpp.ru/api/getInfo/image/f65ab75c-2b3c-11f0-a27b-00155d82e908")</f>
        <v>https://kanzpp.ru/api/getInfo/image/f65ab75c-2b3c-11f0-a27b-00155d82e908</v>
      </c>
      <c r="U1158" s="37"/>
    </row>
    <row r="1159" spans="2:22" ht="22.95" customHeight="1" outlineLevel="3" x14ac:dyDescent="0.2">
      <c r="B1159" s="81" t="s">
        <v>3729</v>
      </c>
      <c r="C1159" s="81"/>
      <c r="D1159" s="81"/>
      <c r="L1159">
        <v>0</v>
      </c>
    </row>
    <row r="1160" spans="2:22" ht="22.95" customHeight="1" outlineLevel="4" x14ac:dyDescent="0.2">
      <c r="B1160" s="82" t="s">
        <v>3671</v>
      </c>
      <c r="C1160" s="82"/>
      <c r="D1160" s="82"/>
      <c r="L1160">
        <v>0</v>
      </c>
    </row>
    <row r="1161" spans="2:22" ht="22.95" customHeight="1" outlineLevel="5" x14ac:dyDescent="0.2">
      <c r="B1161" s="83" t="s">
        <v>3730</v>
      </c>
      <c r="C1161" s="83"/>
      <c r="D1161" s="83"/>
      <c r="L1161">
        <v>0</v>
      </c>
    </row>
    <row r="1162" spans="2:22" ht="21" customHeight="1" outlineLevel="6" x14ac:dyDescent="0.2">
      <c r="B1162" s="5">
        <v>904</v>
      </c>
      <c r="C1162" s="6" t="s">
        <v>3731</v>
      </c>
      <c r="D1162" s="6" t="s">
        <v>3732</v>
      </c>
      <c r="E1162" s="7" t="s">
        <v>3733</v>
      </c>
      <c r="F1162" s="13"/>
      <c r="G1162" s="14"/>
      <c r="H1162" s="14"/>
      <c r="I1162" s="15">
        <v>20</v>
      </c>
      <c r="J1162" s="17">
        <v>1394</v>
      </c>
      <c r="K1162" s="5">
        <v>20</v>
      </c>
      <c r="L1162" s="16">
        <v>13.200000000000001</v>
      </c>
      <c r="M1162" s="12"/>
      <c r="N1162" s="14">
        <f>L1162*M1162</f>
        <v>0</v>
      </c>
      <c r="O1162" s="23">
        <f>0.113*M1162</f>
        <v>0</v>
      </c>
      <c r="P1162" s="24">
        <f>0.00041*M1162</f>
        <v>0</v>
      </c>
      <c r="Q1162" s="25"/>
      <c r="R1162" s="26" t="s">
        <v>3734</v>
      </c>
      <c r="S1162" s="26" t="s">
        <v>29</v>
      </c>
      <c r="T1162" s="6" t="str">
        <f>HYPERLINK("https://kanzpp.ru/api/getInfo/image/7c0e4508-cb13-11ee-a25a-00155d82e908")</f>
        <v>https://kanzpp.ru/api/getInfo/image/7c0e4508-cb13-11ee-a25a-00155d82e908</v>
      </c>
      <c r="U1162" s="6"/>
      <c r="V1162" s="33" t="s">
        <v>35</v>
      </c>
    </row>
    <row r="1163" spans="2:22" ht="21" customHeight="1" outlineLevel="6" x14ac:dyDescent="0.2">
      <c r="B1163" s="36">
        <v>905</v>
      </c>
      <c r="C1163" s="37" t="s">
        <v>3735</v>
      </c>
      <c r="D1163" s="37" t="s">
        <v>3736</v>
      </c>
      <c r="E1163" s="38" t="s">
        <v>3737</v>
      </c>
      <c r="F1163" s="39"/>
      <c r="G1163" s="40"/>
      <c r="H1163" s="40"/>
      <c r="I1163" s="41">
        <v>20</v>
      </c>
      <c r="J1163" s="50">
        <v>2460</v>
      </c>
      <c r="K1163" s="36">
        <v>20</v>
      </c>
      <c r="L1163" s="42">
        <f>(28.36*(1-O3/100))/0.75</f>
        <v>37.813333333333333</v>
      </c>
      <c r="M1163" s="12"/>
      <c r="N1163" s="40">
        <f>L1163*M1163</f>
        <v>0</v>
      </c>
      <c r="O1163" s="43">
        <f>0.139*M1163</f>
        <v>0</v>
      </c>
      <c r="P1163" s="47">
        <f>0.00018*M1163</f>
        <v>0</v>
      </c>
      <c r="Q1163" s="44"/>
      <c r="R1163" s="45" t="s">
        <v>3738</v>
      </c>
      <c r="S1163" s="45" t="s">
        <v>29</v>
      </c>
      <c r="T1163" s="37" t="str">
        <f>HYPERLINK("https://kanzpp.ru/api/getInfo/image/c91232da-da54-11f0-a28c-00155d82e908")</f>
        <v>https://kanzpp.ru/api/getInfo/image/c91232da-da54-11f0-a28c-00155d82e908</v>
      </c>
      <c r="U1163" s="37"/>
    </row>
    <row r="1164" spans="2:22" ht="22.95" customHeight="1" outlineLevel="3" x14ac:dyDescent="0.2">
      <c r="B1164" s="81" t="s">
        <v>3739</v>
      </c>
      <c r="C1164" s="81"/>
      <c r="D1164" s="81"/>
      <c r="L1164">
        <v>0</v>
      </c>
    </row>
    <row r="1165" spans="2:22" ht="22.95" customHeight="1" outlineLevel="4" x14ac:dyDescent="0.2">
      <c r="B1165" s="82" t="s">
        <v>3740</v>
      </c>
      <c r="C1165" s="82"/>
      <c r="D1165" s="82"/>
      <c r="L1165">
        <v>0</v>
      </c>
    </row>
    <row r="1166" spans="2:22" ht="22.95" customHeight="1" outlineLevel="5" x14ac:dyDescent="0.2">
      <c r="B1166" s="83" t="s">
        <v>3741</v>
      </c>
      <c r="C1166" s="83"/>
      <c r="D1166" s="83"/>
      <c r="L1166">
        <v>0</v>
      </c>
    </row>
    <row r="1167" spans="2:22" ht="21" customHeight="1" outlineLevel="6" x14ac:dyDescent="0.2">
      <c r="B1167" s="36">
        <v>906</v>
      </c>
      <c r="C1167" s="37" t="s">
        <v>3742</v>
      </c>
      <c r="D1167" s="37" t="s">
        <v>3743</v>
      </c>
      <c r="E1167" s="38" t="s">
        <v>3744</v>
      </c>
      <c r="F1167" s="39"/>
      <c r="G1167" s="40"/>
      <c r="H1167" s="40"/>
      <c r="I1167" s="41">
        <v>20</v>
      </c>
      <c r="J1167" s="41">
        <v>300</v>
      </c>
      <c r="K1167" s="36">
        <v>20</v>
      </c>
      <c r="L1167" s="42">
        <f>(32.88*(1-O3/100))/0.75</f>
        <v>43.84</v>
      </c>
      <c r="M1167" s="12"/>
      <c r="N1167" s="40">
        <f>L1167*M1167</f>
        <v>0</v>
      </c>
      <c r="O1167" s="43">
        <f>0.126*M1167</f>
        <v>0</v>
      </c>
      <c r="P1167" s="47">
        <f>0.00036*M1167</f>
        <v>0</v>
      </c>
      <c r="Q1167" s="44"/>
      <c r="R1167" s="45" t="s">
        <v>3745</v>
      </c>
      <c r="S1167" s="45" t="s">
        <v>29</v>
      </c>
      <c r="T1167" s="37" t="str">
        <f>HYPERLINK("https://kanzpp.ru/api/getInfo/image/1e35c735-05bd-11f1-a28f-00155d82e908")</f>
        <v>https://kanzpp.ru/api/getInfo/image/1e35c735-05bd-11f1-a28f-00155d82e908</v>
      </c>
      <c r="U1167" s="37"/>
    </row>
    <row r="1168" spans="2:22" ht="21" customHeight="1" outlineLevel="6" x14ac:dyDescent="0.2">
      <c r="B1168" s="36">
        <v>907</v>
      </c>
      <c r="C1168" s="37" t="s">
        <v>3746</v>
      </c>
      <c r="D1168" s="37" t="s">
        <v>3747</v>
      </c>
      <c r="E1168" s="38" t="s">
        <v>3748</v>
      </c>
      <c r="F1168" s="39"/>
      <c r="G1168" s="40"/>
      <c r="H1168" s="40"/>
      <c r="I1168" s="41">
        <v>20</v>
      </c>
      <c r="J1168" s="50">
        <v>2820</v>
      </c>
      <c r="K1168" s="36">
        <v>20</v>
      </c>
      <c r="L1168" s="42">
        <f>(32.88*(1-O3/100))/0.75</f>
        <v>43.84</v>
      </c>
      <c r="M1168" s="12"/>
      <c r="N1168" s="40">
        <f>L1168*M1168</f>
        <v>0</v>
      </c>
      <c r="O1168" s="43">
        <f>0.127*M1168</f>
        <v>0</v>
      </c>
      <c r="P1168" s="47">
        <f>0.00133*M1168</f>
        <v>0</v>
      </c>
      <c r="Q1168" s="44"/>
      <c r="R1168" s="45" t="s">
        <v>3749</v>
      </c>
      <c r="S1168" s="45" t="s">
        <v>29</v>
      </c>
      <c r="T1168" s="37" t="str">
        <f>HYPERLINK("https://kanzpp.ru/api/getInfo/image/642c3742-da56-11f0-a28c-00155d82e908")</f>
        <v>https://kanzpp.ru/api/getInfo/image/642c3742-da56-11f0-a28c-00155d82e908</v>
      </c>
      <c r="U1168" s="37"/>
    </row>
    <row r="1169" spans="2:22" ht="22.95" customHeight="1" outlineLevel="5" x14ac:dyDescent="0.2">
      <c r="B1169" s="83" t="s">
        <v>3750</v>
      </c>
      <c r="C1169" s="83"/>
      <c r="D1169" s="83"/>
      <c r="L1169">
        <v>0</v>
      </c>
    </row>
    <row r="1170" spans="2:22" ht="22.95" customHeight="1" outlineLevel="6" x14ac:dyDescent="0.2">
      <c r="B1170" s="84" t="s">
        <v>3751</v>
      </c>
      <c r="C1170" s="84"/>
      <c r="D1170" s="84"/>
      <c r="L1170">
        <v>0</v>
      </c>
    </row>
    <row r="1171" spans="2:22" ht="22.95" customHeight="1" outlineLevel="7" x14ac:dyDescent="0.2">
      <c r="B1171" s="85" t="s">
        <v>3752</v>
      </c>
      <c r="C1171" s="85"/>
      <c r="D1171" s="85"/>
      <c r="L1171">
        <v>0</v>
      </c>
    </row>
    <row r="1172" spans="2:22" ht="21" customHeight="1" outlineLevel="7" x14ac:dyDescent="0.2">
      <c r="B1172" s="36">
        <v>908</v>
      </c>
      <c r="C1172" s="37" t="s">
        <v>3753</v>
      </c>
      <c r="D1172" s="37" t="s">
        <v>3754</v>
      </c>
      <c r="E1172" s="38" t="s">
        <v>3755</v>
      </c>
      <c r="F1172" s="39"/>
      <c r="G1172" s="40"/>
      <c r="H1172" s="41">
        <v>60</v>
      </c>
      <c r="I1172" s="41">
        <v>6</v>
      </c>
      <c r="J1172" s="41">
        <v>17</v>
      </c>
      <c r="K1172" s="36">
        <v>12</v>
      </c>
      <c r="L1172" s="42">
        <f>(49.13*(1-O3/100))/0.75</f>
        <v>65.506666666666675</v>
      </c>
      <c r="M1172" s="12"/>
      <c r="N1172" s="40">
        <f>L1172*M1172</f>
        <v>0</v>
      </c>
      <c r="O1172" s="43">
        <f>0.137*M1172</f>
        <v>0</v>
      </c>
      <c r="P1172" s="47">
        <f>0.00035*M1172</f>
        <v>0</v>
      </c>
      <c r="Q1172" s="44"/>
      <c r="R1172" s="45" t="s">
        <v>3756</v>
      </c>
      <c r="S1172" s="45" t="s">
        <v>29</v>
      </c>
      <c r="T1172" s="37" t="str">
        <f>HYPERLINK("https://kanzpp.ru/api/getInfo/image/b850bbfa-348a-11f0-a27c-00155d82e908")</f>
        <v>https://kanzpp.ru/api/getInfo/image/b850bbfa-348a-11f0-a27c-00155d82e908</v>
      </c>
      <c r="U1172" s="37"/>
    </row>
    <row r="1173" spans="2:22" ht="21" customHeight="1" outlineLevel="7" x14ac:dyDescent="0.2">
      <c r="B1173" s="36">
        <v>909</v>
      </c>
      <c r="C1173" s="37" t="s">
        <v>3757</v>
      </c>
      <c r="D1173" s="37" t="s">
        <v>3758</v>
      </c>
      <c r="E1173" s="38" t="s">
        <v>3759</v>
      </c>
      <c r="F1173" s="39"/>
      <c r="G1173" s="40"/>
      <c r="H1173" s="41">
        <v>60</v>
      </c>
      <c r="I1173" s="41">
        <v>6</v>
      </c>
      <c r="J1173" s="50">
        <v>1646</v>
      </c>
      <c r="K1173" s="36">
        <v>12</v>
      </c>
      <c r="L1173" s="42">
        <f>(49.13*(1-O3/100))/0.75</f>
        <v>65.506666666666675</v>
      </c>
      <c r="M1173" s="12"/>
      <c r="N1173" s="40">
        <f>L1173*M1173</f>
        <v>0</v>
      </c>
      <c r="O1173" s="43">
        <f>0.135*M1173</f>
        <v>0</v>
      </c>
      <c r="P1173" s="47">
        <f>0.00029*M1173</f>
        <v>0</v>
      </c>
      <c r="Q1173" s="44"/>
      <c r="R1173" s="45" t="s">
        <v>3760</v>
      </c>
      <c r="S1173" s="45" t="s">
        <v>29</v>
      </c>
      <c r="T1173" s="37" t="str">
        <f>HYPERLINK("https://kanzpp.ru/api/getInfo/image/f331ccd0-3488-11f0-a27c-00155d82e908")</f>
        <v>https://kanzpp.ru/api/getInfo/image/f331ccd0-3488-11f0-a27c-00155d82e908</v>
      </c>
      <c r="U1173" s="37"/>
    </row>
    <row r="1174" spans="2:22" ht="21" customHeight="1" outlineLevel="7" x14ac:dyDescent="0.2">
      <c r="B1174" s="36">
        <v>910</v>
      </c>
      <c r="C1174" s="37" t="s">
        <v>3761</v>
      </c>
      <c r="D1174" s="37" t="s">
        <v>3762</v>
      </c>
      <c r="E1174" s="38" t="s">
        <v>3763</v>
      </c>
      <c r="F1174" s="39"/>
      <c r="G1174" s="40"/>
      <c r="H1174" s="41">
        <v>60</v>
      </c>
      <c r="I1174" s="41">
        <v>6</v>
      </c>
      <c r="J1174" s="41">
        <v>455</v>
      </c>
      <c r="K1174" s="36">
        <v>12</v>
      </c>
      <c r="L1174" s="42">
        <f>(49.13*(1-O3/100))/0.75</f>
        <v>65.506666666666675</v>
      </c>
      <c r="M1174" s="12"/>
      <c r="N1174" s="40">
        <f>L1174*M1174</f>
        <v>0</v>
      </c>
      <c r="O1174" s="43">
        <f>0.136*M1174</f>
        <v>0</v>
      </c>
      <c r="P1174" s="47">
        <f>0.00029*M1174</f>
        <v>0</v>
      </c>
      <c r="Q1174" s="44"/>
      <c r="R1174" s="45" t="s">
        <v>3764</v>
      </c>
      <c r="S1174" s="45" t="s">
        <v>29</v>
      </c>
      <c r="T1174" s="37" t="str">
        <f>HYPERLINK("https://kanzpp.ru/api/getInfo/image/da733207-6c79-11f0-a283-00155d82e908")</f>
        <v>https://kanzpp.ru/api/getInfo/image/da733207-6c79-11f0-a283-00155d82e908</v>
      </c>
      <c r="U1174" s="37"/>
    </row>
    <row r="1175" spans="2:22" ht="22.95" customHeight="1" outlineLevel="7" x14ac:dyDescent="0.2">
      <c r="B1175" s="85" t="s">
        <v>3765</v>
      </c>
      <c r="C1175" s="85"/>
      <c r="D1175" s="85"/>
      <c r="L1175">
        <v>0</v>
      </c>
    </row>
    <row r="1176" spans="2:22" ht="21" customHeight="1" outlineLevel="7" x14ac:dyDescent="0.2">
      <c r="B1176" s="5">
        <v>911</v>
      </c>
      <c r="C1176" s="6" t="s">
        <v>3766</v>
      </c>
      <c r="D1176" s="6" t="s">
        <v>3767</v>
      </c>
      <c r="E1176" s="7" t="s">
        <v>3768</v>
      </c>
      <c r="F1176" s="13"/>
      <c r="G1176" s="14"/>
      <c r="H1176" s="15">
        <v>60</v>
      </c>
      <c r="I1176" s="15">
        <v>6</v>
      </c>
      <c r="J1176" s="15">
        <v>7</v>
      </c>
      <c r="K1176" s="5">
        <v>7</v>
      </c>
      <c r="L1176" s="16">
        <v>43.333333333333336</v>
      </c>
      <c r="M1176" s="12"/>
      <c r="N1176" s="14">
        <f>L1176*M1176</f>
        <v>0</v>
      </c>
      <c r="O1176" s="23">
        <f>0.148*M1176</f>
        <v>0</v>
      </c>
      <c r="P1176" s="24">
        <f>0.00053*M1176</f>
        <v>0</v>
      </c>
      <c r="Q1176" s="25"/>
      <c r="R1176" s="26" t="s">
        <v>3769</v>
      </c>
      <c r="S1176" s="26" t="s">
        <v>29</v>
      </c>
      <c r="T1176" s="6" t="str">
        <f>HYPERLINK("https://kanzpp.ru/api/getInfo/image/8b484a56-e83c-11ee-a25a-00155d82e908")</f>
        <v>https://kanzpp.ru/api/getInfo/image/8b484a56-e83c-11ee-a25a-00155d82e908</v>
      </c>
      <c r="U1176" s="6"/>
      <c r="V1176" s="33" t="s">
        <v>35</v>
      </c>
    </row>
    <row r="1177" spans="2:22" ht="22.95" customHeight="1" outlineLevel="4" x14ac:dyDescent="0.2">
      <c r="B1177" s="82" t="s">
        <v>3770</v>
      </c>
      <c r="C1177" s="82"/>
      <c r="D1177" s="82"/>
      <c r="L1177">
        <v>0</v>
      </c>
    </row>
    <row r="1178" spans="2:22" ht="22.95" customHeight="1" outlineLevel="5" x14ac:dyDescent="0.2">
      <c r="B1178" s="83" t="s">
        <v>3771</v>
      </c>
      <c r="C1178" s="83"/>
      <c r="D1178" s="83"/>
      <c r="L1178">
        <v>0</v>
      </c>
    </row>
    <row r="1179" spans="2:22" ht="21" customHeight="1" outlineLevel="6" x14ac:dyDescent="0.2">
      <c r="B1179" s="36">
        <v>912</v>
      </c>
      <c r="C1179" s="37" t="s">
        <v>3772</v>
      </c>
      <c r="D1179" s="37" t="s">
        <v>3773</v>
      </c>
      <c r="E1179" s="38" t="s">
        <v>3774</v>
      </c>
      <c r="F1179" s="39"/>
      <c r="G1179" s="40"/>
      <c r="H1179" s="40"/>
      <c r="I1179" s="41">
        <v>20</v>
      </c>
      <c r="J1179" s="50">
        <v>1418</v>
      </c>
      <c r="K1179" s="36">
        <v>20</v>
      </c>
      <c r="L1179" s="42">
        <f>(49.17*(1-O3/100))/0.75</f>
        <v>65.56</v>
      </c>
      <c r="M1179" s="12"/>
      <c r="N1179" s="40">
        <f>L1179*M1179</f>
        <v>0</v>
      </c>
      <c r="O1179" s="43">
        <f>0.135*M1179</f>
        <v>0</v>
      </c>
      <c r="P1179" s="47">
        <f>0.00018*M1179</f>
        <v>0</v>
      </c>
      <c r="Q1179" s="44"/>
      <c r="R1179" s="45" t="s">
        <v>3775</v>
      </c>
      <c r="S1179" s="45" t="s">
        <v>29</v>
      </c>
      <c r="T1179" s="37" t="str">
        <f>HYPERLINK("https://kanzpp.ru/api/getInfo/image/8b7f5eec-81aa-11f0-a284-00155d82e908")</f>
        <v>https://kanzpp.ru/api/getInfo/image/8b7f5eec-81aa-11f0-a284-00155d82e908</v>
      </c>
      <c r="U1179" s="37"/>
    </row>
    <row r="1180" spans="2:22" ht="21" customHeight="1" outlineLevel="6" x14ac:dyDescent="0.2">
      <c r="B1180" s="36">
        <v>913</v>
      </c>
      <c r="C1180" s="37" t="s">
        <v>3776</v>
      </c>
      <c r="D1180" s="37" t="s">
        <v>3777</v>
      </c>
      <c r="E1180" s="38" t="s">
        <v>3778</v>
      </c>
      <c r="F1180" s="39"/>
      <c r="G1180" s="40"/>
      <c r="H1180" s="40"/>
      <c r="I1180" s="41">
        <v>20</v>
      </c>
      <c r="J1180" s="41">
        <v>29</v>
      </c>
      <c r="K1180" s="36">
        <v>20</v>
      </c>
      <c r="L1180" s="42">
        <f>(49.17*(1-O3/100))/0.75</f>
        <v>65.56</v>
      </c>
      <c r="M1180" s="12"/>
      <c r="N1180" s="40">
        <f>L1180*M1180</f>
        <v>0</v>
      </c>
      <c r="O1180" s="43">
        <f>0.133*M1180</f>
        <v>0</v>
      </c>
      <c r="P1180" s="47">
        <f>0.00006*M1180</f>
        <v>0</v>
      </c>
      <c r="Q1180" s="44"/>
      <c r="R1180" s="45" t="s">
        <v>3779</v>
      </c>
      <c r="S1180" s="45" t="s">
        <v>29</v>
      </c>
      <c r="T1180" s="37" t="str">
        <f>HYPERLINK("https://kanzpp.ru/api/getInfo/image/fa2aefc7-240b-11f0-a279-00155d82e908")</f>
        <v>https://kanzpp.ru/api/getInfo/image/fa2aefc7-240b-11f0-a279-00155d82e908</v>
      </c>
      <c r="U1180" s="37"/>
    </row>
    <row r="1181" spans="2:22" ht="21" customHeight="1" outlineLevel="6" x14ac:dyDescent="0.2">
      <c r="B1181" s="36">
        <v>914</v>
      </c>
      <c r="C1181" s="37" t="s">
        <v>3780</v>
      </c>
      <c r="D1181" s="37" t="s">
        <v>3781</v>
      </c>
      <c r="E1181" s="38" t="s">
        <v>3782</v>
      </c>
      <c r="F1181" s="39"/>
      <c r="G1181" s="40"/>
      <c r="H1181" s="40"/>
      <c r="I1181" s="41">
        <v>20</v>
      </c>
      <c r="J1181" s="50">
        <v>1973</v>
      </c>
      <c r="K1181" s="36">
        <v>20</v>
      </c>
      <c r="L1181" s="42">
        <f>(49.17*(1-O3/100))/0.75</f>
        <v>65.56</v>
      </c>
      <c r="M1181" s="12"/>
      <c r="N1181" s="40">
        <f>L1181*M1181</f>
        <v>0</v>
      </c>
      <c r="O1181" s="48">
        <f>0.14*M1181</f>
        <v>0</v>
      </c>
      <c r="P1181" s="46">
        <f>0.0003*M1181</f>
        <v>0</v>
      </c>
      <c r="Q1181" s="44"/>
      <c r="R1181" s="45" t="s">
        <v>3783</v>
      </c>
      <c r="S1181" s="45" t="s">
        <v>29</v>
      </c>
      <c r="T1181" s="37" t="str">
        <f>HYPERLINK("https://kanzpp.ru/api/getInfo/image/b5efda13-81aa-11f0-a284-00155d82e908")</f>
        <v>https://kanzpp.ru/api/getInfo/image/b5efda13-81aa-11f0-a284-00155d82e908</v>
      </c>
      <c r="U1181" s="37"/>
    </row>
    <row r="1182" spans="2:22" ht="21" customHeight="1" outlineLevel="6" x14ac:dyDescent="0.2">
      <c r="B1182" s="36">
        <v>915</v>
      </c>
      <c r="C1182" s="37" t="s">
        <v>3784</v>
      </c>
      <c r="D1182" s="37" t="s">
        <v>3785</v>
      </c>
      <c r="E1182" s="38" t="s">
        <v>3786</v>
      </c>
      <c r="F1182" s="39"/>
      <c r="G1182" s="40"/>
      <c r="H1182" s="40"/>
      <c r="I1182" s="41">
        <v>20</v>
      </c>
      <c r="J1182" s="41">
        <v>620</v>
      </c>
      <c r="K1182" s="36">
        <v>20</v>
      </c>
      <c r="L1182" s="42">
        <f>(49.17*(1-O3/100))/0.75</f>
        <v>65.56</v>
      </c>
      <c r="M1182" s="12"/>
      <c r="N1182" s="40">
        <f>L1182*M1182</f>
        <v>0</v>
      </c>
      <c r="O1182" s="43">
        <f>0.102*M1182</f>
        <v>0</v>
      </c>
      <c r="P1182" s="46">
        <f>0.0003*M1182</f>
        <v>0</v>
      </c>
      <c r="Q1182" s="44"/>
      <c r="R1182" s="45" t="s">
        <v>3787</v>
      </c>
      <c r="S1182" s="45" t="s">
        <v>29</v>
      </c>
      <c r="T1182" s="37" t="str">
        <f>HYPERLINK("https://kanzpp.ru/api/getInfo/image/243dba15-240c-11f0-a279-00155d82e908")</f>
        <v>https://kanzpp.ru/api/getInfo/image/243dba15-240c-11f0-a279-00155d82e908</v>
      </c>
      <c r="U1182" s="37"/>
    </row>
    <row r="1183" spans="2:22" ht="21" customHeight="1" outlineLevel="6" x14ac:dyDescent="0.2">
      <c r="B1183" s="36">
        <v>916</v>
      </c>
      <c r="C1183" s="37" t="s">
        <v>3788</v>
      </c>
      <c r="D1183" s="37" t="s">
        <v>3789</v>
      </c>
      <c r="E1183" s="38" t="s">
        <v>3790</v>
      </c>
      <c r="F1183" s="39"/>
      <c r="G1183" s="40"/>
      <c r="H1183" s="40"/>
      <c r="I1183" s="41">
        <v>20</v>
      </c>
      <c r="J1183" s="50">
        <v>2315</v>
      </c>
      <c r="K1183" s="36">
        <v>20</v>
      </c>
      <c r="L1183" s="42">
        <f>(49.17*(1-O3/100))/0.75</f>
        <v>65.56</v>
      </c>
      <c r="M1183" s="12"/>
      <c r="N1183" s="40">
        <f>L1183*M1183</f>
        <v>0</v>
      </c>
      <c r="O1183" s="48">
        <f>0.14*M1183</f>
        <v>0</v>
      </c>
      <c r="P1183" s="46">
        <f>0.0003*M1183</f>
        <v>0</v>
      </c>
      <c r="Q1183" s="44"/>
      <c r="R1183" s="45" t="s">
        <v>3791</v>
      </c>
      <c r="S1183" s="45" t="s">
        <v>29</v>
      </c>
      <c r="T1183" s="37" t="str">
        <f>HYPERLINK("https://kanzpp.ru/api/getInfo/image/82641052-da59-11f0-a28c-00155d82e908")</f>
        <v>https://kanzpp.ru/api/getInfo/image/82641052-da59-11f0-a28c-00155d82e908</v>
      </c>
      <c r="U1183" s="37"/>
    </row>
    <row r="1184" spans="2:22" ht="22.95" customHeight="1" outlineLevel="3" x14ac:dyDescent="0.2">
      <c r="B1184" s="81" t="s">
        <v>3792</v>
      </c>
      <c r="C1184" s="81"/>
      <c r="D1184" s="81"/>
      <c r="L1184">
        <v>0</v>
      </c>
    </row>
    <row r="1185" spans="2:22" ht="22.95" customHeight="1" outlineLevel="4" x14ac:dyDescent="0.2">
      <c r="B1185" s="82" t="s">
        <v>3740</v>
      </c>
      <c r="C1185" s="82"/>
      <c r="D1185" s="82"/>
      <c r="L1185">
        <v>0</v>
      </c>
    </row>
    <row r="1186" spans="2:22" ht="22.95" customHeight="1" outlineLevel="5" x14ac:dyDescent="0.2">
      <c r="B1186" s="83" t="s">
        <v>3793</v>
      </c>
      <c r="C1186" s="83"/>
      <c r="D1186" s="83"/>
      <c r="L1186">
        <v>0</v>
      </c>
    </row>
    <row r="1187" spans="2:22" ht="21" customHeight="1" outlineLevel="6" x14ac:dyDescent="0.2">
      <c r="B1187" s="36">
        <v>917</v>
      </c>
      <c r="C1187" s="37" t="s">
        <v>3794</v>
      </c>
      <c r="D1187" s="37" t="s">
        <v>3795</v>
      </c>
      <c r="E1187" s="38" t="s">
        <v>3796</v>
      </c>
      <c r="F1187" s="39"/>
      <c r="G1187" s="40"/>
      <c r="H1187" s="40"/>
      <c r="I1187" s="41">
        <v>20</v>
      </c>
      <c r="J1187" s="41">
        <v>300</v>
      </c>
      <c r="K1187" s="36">
        <v>20</v>
      </c>
      <c r="L1187" s="42">
        <f>(37.28*(1-O3/100))/0.75</f>
        <v>49.706666666666671</v>
      </c>
      <c r="M1187" s="12"/>
      <c r="N1187" s="40">
        <f>L1187*M1187</f>
        <v>0</v>
      </c>
      <c r="O1187" s="43">
        <f>0.112*M1187</f>
        <v>0</v>
      </c>
      <c r="P1187" s="47">
        <f>0.00012*M1187</f>
        <v>0</v>
      </c>
      <c r="Q1187" s="44"/>
      <c r="R1187" s="45" t="s">
        <v>3797</v>
      </c>
      <c r="S1187" s="45" t="s">
        <v>29</v>
      </c>
      <c r="T1187" s="37" t="str">
        <f>HYPERLINK("https://kanzpp.ru/api/getInfo/image/e44339fa-05bd-11f1-a28f-00155d82e908")</f>
        <v>https://kanzpp.ru/api/getInfo/image/e44339fa-05bd-11f1-a28f-00155d82e908</v>
      </c>
      <c r="U1187" s="37"/>
    </row>
    <row r="1188" spans="2:22" ht="21" customHeight="1" outlineLevel="6" x14ac:dyDescent="0.2">
      <c r="B1188" s="36">
        <v>918</v>
      </c>
      <c r="C1188" s="37" t="s">
        <v>3798</v>
      </c>
      <c r="D1188" s="37" t="s">
        <v>3799</v>
      </c>
      <c r="E1188" s="38" t="s">
        <v>3800</v>
      </c>
      <c r="F1188" s="39"/>
      <c r="G1188" s="40"/>
      <c r="H1188" s="40"/>
      <c r="I1188" s="41">
        <v>20</v>
      </c>
      <c r="J1188" s="50">
        <v>3560</v>
      </c>
      <c r="K1188" s="36">
        <v>20</v>
      </c>
      <c r="L1188" s="42">
        <f>(37.28*(1-O3/100))/0.75</f>
        <v>49.706666666666671</v>
      </c>
      <c r="M1188" s="12"/>
      <c r="N1188" s="40">
        <f>L1188*M1188</f>
        <v>0</v>
      </c>
      <c r="O1188" s="48">
        <f>0.15*M1188</f>
        <v>0</v>
      </c>
      <c r="P1188" s="47">
        <f>0.00024*M1188</f>
        <v>0</v>
      </c>
      <c r="Q1188" s="44"/>
      <c r="R1188" s="45" t="s">
        <v>3801</v>
      </c>
      <c r="S1188" s="45" t="s">
        <v>29</v>
      </c>
      <c r="T1188" s="37" t="str">
        <f>HYPERLINK("https://kanzpp.ru/api/getInfo/image/afc37d46-da5a-11f0-a28c-00155d82e908")</f>
        <v>https://kanzpp.ru/api/getInfo/image/afc37d46-da5a-11f0-a28c-00155d82e908</v>
      </c>
      <c r="U1188" s="37"/>
    </row>
    <row r="1189" spans="2:22" ht="22.95" customHeight="1" outlineLevel="5" x14ac:dyDescent="0.2">
      <c r="B1189" s="83" t="s">
        <v>3802</v>
      </c>
      <c r="C1189" s="83"/>
      <c r="D1189" s="83"/>
      <c r="L1189">
        <v>0</v>
      </c>
    </row>
    <row r="1190" spans="2:22" ht="22.95" customHeight="1" outlineLevel="6" x14ac:dyDescent="0.2">
      <c r="B1190" s="84" t="s">
        <v>3803</v>
      </c>
      <c r="C1190" s="84"/>
      <c r="D1190" s="84"/>
      <c r="L1190">
        <v>0</v>
      </c>
    </row>
    <row r="1191" spans="2:22" ht="21" customHeight="1" outlineLevel="7" x14ac:dyDescent="0.2">
      <c r="B1191" s="5">
        <v>919</v>
      </c>
      <c r="C1191" s="6" t="s">
        <v>3804</v>
      </c>
      <c r="D1191" s="6" t="s">
        <v>3805</v>
      </c>
      <c r="E1191" s="7" t="s">
        <v>3806</v>
      </c>
      <c r="F1191" s="13"/>
      <c r="G1191" s="14"/>
      <c r="H1191" s="14"/>
      <c r="I1191" s="15">
        <v>20</v>
      </c>
      <c r="J1191" s="17">
        <v>2874</v>
      </c>
      <c r="K1191" s="5">
        <v>20</v>
      </c>
      <c r="L1191" s="16">
        <v>41.333333333333336</v>
      </c>
      <c r="M1191" s="12"/>
      <c r="N1191" s="14">
        <f>L1191*M1191</f>
        <v>0</v>
      </c>
      <c r="O1191" s="23">
        <f>0.163*M1191</f>
        <v>0</v>
      </c>
      <c r="P1191" s="24">
        <f>0.00023*M1191</f>
        <v>0</v>
      </c>
      <c r="Q1191" s="25"/>
      <c r="R1191" s="26" t="s">
        <v>3807</v>
      </c>
      <c r="S1191" s="26" t="s">
        <v>29</v>
      </c>
      <c r="T1191" s="6" t="str">
        <f>HYPERLINK("https://kanzpp.ru/api/getInfo/image/4ec9a32d-1f65-11f0-a279-00155d82e908")</f>
        <v>https://kanzpp.ru/api/getInfo/image/4ec9a32d-1f65-11f0-a279-00155d82e908</v>
      </c>
      <c r="U1191" s="6"/>
      <c r="V1191" s="33" t="s">
        <v>35</v>
      </c>
    </row>
    <row r="1192" spans="2:22" ht="21" customHeight="1" outlineLevel="7" x14ac:dyDescent="0.2">
      <c r="B1192" s="5">
        <v>920</v>
      </c>
      <c r="C1192" s="6" t="s">
        <v>3808</v>
      </c>
      <c r="D1192" s="6" t="s">
        <v>3809</v>
      </c>
      <c r="E1192" s="7" t="s">
        <v>3810</v>
      </c>
      <c r="F1192" s="13"/>
      <c r="G1192" s="14"/>
      <c r="H1192" s="15">
        <v>50</v>
      </c>
      <c r="I1192" s="15">
        <v>5</v>
      </c>
      <c r="J1192" s="14" t="s">
        <v>144</v>
      </c>
      <c r="K1192" s="5">
        <v>50</v>
      </c>
      <c r="L1192" s="16">
        <v>52</v>
      </c>
      <c r="M1192" s="12"/>
      <c r="N1192" s="14">
        <f>L1192*M1192</f>
        <v>0</v>
      </c>
      <c r="O1192" s="23">
        <f>0.156*M1192</f>
        <v>0</v>
      </c>
      <c r="P1192" s="24">
        <f>0.00035*M1192</f>
        <v>0</v>
      </c>
      <c r="Q1192" s="25"/>
      <c r="R1192" s="26"/>
      <c r="S1192" s="26" t="s">
        <v>29</v>
      </c>
      <c r="T1192" s="6" t="str">
        <f>HYPERLINK("https://kanzpp.ru/api/getInfo/image/aaa9315a-9767-11ef-a267-00155d82e908")</f>
        <v>https://kanzpp.ru/api/getInfo/image/aaa9315a-9767-11ef-a267-00155d82e908</v>
      </c>
      <c r="U1192" s="6"/>
      <c r="V1192" s="33" t="s">
        <v>35</v>
      </c>
    </row>
    <row r="1193" spans="2:22" ht="22.95" customHeight="1" outlineLevel="4" x14ac:dyDescent="0.2">
      <c r="B1193" s="82" t="s">
        <v>3811</v>
      </c>
      <c r="C1193" s="82"/>
      <c r="D1193" s="82"/>
      <c r="L1193">
        <v>0</v>
      </c>
    </row>
    <row r="1194" spans="2:22" ht="22.95" customHeight="1" outlineLevel="5" x14ac:dyDescent="0.2">
      <c r="B1194" s="83" t="s">
        <v>3812</v>
      </c>
      <c r="C1194" s="83"/>
      <c r="D1194" s="83"/>
      <c r="L1194">
        <v>0</v>
      </c>
    </row>
    <row r="1195" spans="2:22" ht="22.95" customHeight="1" outlineLevel="6" x14ac:dyDescent="0.2">
      <c r="B1195" s="84" t="s">
        <v>3813</v>
      </c>
      <c r="C1195" s="84"/>
      <c r="D1195" s="84"/>
      <c r="L1195">
        <v>0</v>
      </c>
    </row>
    <row r="1196" spans="2:22" ht="22.95" customHeight="1" outlineLevel="7" x14ac:dyDescent="0.2">
      <c r="B1196" s="85" t="s">
        <v>3814</v>
      </c>
      <c r="C1196" s="85"/>
      <c r="D1196" s="85"/>
      <c r="L1196">
        <v>0</v>
      </c>
    </row>
    <row r="1197" spans="2:22" ht="21" customHeight="1" outlineLevel="7" x14ac:dyDescent="0.2">
      <c r="B1197" s="36">
        <v>921</v>
      </c>
      <c r="C1197" s="37" t="s">
        <v>3815</v>
      </c>
      <c r="D1197" s="37" t="s">
        <v>3816</v>
      </c>
      <c r="E1197" s="38" t="s">
        <v>3817</v>
      </c>
      <c r="F1197" s="39"/>
      <c r="G1197" s="40"/>
      <c r="H1197" s="41">
        <v>56</v>
      </c>
      <c r="I1197" s="41">
        <v>8</v>
      </c>
      <c r="J1197" s="50">
        <v>2226</v>
      </c>
      <c r="K1197" s="36">
        <v>8</v>
      </c>
      <c r="L1197" s="42">
        <f>(66.12*(1-O3/100))/0.75</f>
        <v>88.160000000000011</v>
      </c>
      <c r="M1197" s="12"/>
      <c r="N1197" s="40">
        <f>L1197*M1197</f>
        <v>0</v>
      </c>
      <c r="O1197" s="43">
        <f>0.152*M1197</f>
        <v>0</v>
      </c>
      <c r="P1197" s="47">
        <f>0.00036*M1197</f>
        <v>0</v>
      </c>
      <c r="Q1197" s="44"/>
      <c r="R1197" s="45" t="s">
        <v>3818</v>
      </c>
      <c r="S1197" s="45" t="s">
        <v>29</v>
      </c>
      <c r="T1197" s="37" t="str">
        <f>HYPERLINK("https://kanzpp.ru/api/getInfo/image/6575b89c-6c7a-11f0-a283-00155d82e908")</f>
        <v>https://kanzpp.ru/api/getInfo/image/6575b89c-6c7a-11f0-a283-00155d82e908</v>
      </c>
      <c r="U1197" s="37"/>
    </row>
    <row r="1198" spans="2:22" ht="21" customHeight="1" outlineLevel="7" x14ac:dyDescent="0.2">
      <c r="B1198" s="36">
        <v>922</v>
      </c>
      <c r="C1198" s="37" t="s">
        <v>3819</v>
      </c>
      <c r="D1198" s="37" t="s">
        <v>3820</v>
      </c>
      <c r="E1198" s="38" t="s">
        <v>3821</v>
      </c>
      <c r="F1198" s="39"/>
      <c r="G1198" s="40"/>
      <c r="H1198" s="41">
        <v>56</v>
      </c>
      <c r="I1198" s="41">
        <v>8</v>
      </c>
      <c r="J1198" s="50">
        <v>4979</v>
      </c>
      <c r="K1198" s="36">
        <v>8</v>
      </c>
      <c r="L1198" s="42">
        <f>(66.12*(1-O3/100))/0.75</f>
        <v>88.160000000000011</v>
      </c>
      <c r="M1198" s="12"/>
      <c r="N1198" s="40">
        <f>L1198*M1198</f>
        <v>0</v>
      </c>
      <c r="O1198" s="48">
        <f>0.16*M1198</f>
        <v>0</v>
      </c>
      <c r="P1198" s="47">
        <f>0.00035*M1198</f>
        <v>0</v>
      </c>
      <c r="Q1198" s="44"/>
      <c r="R1198" s="45" t="s">
        <v>3822</v>
      </c>
      <c r="S1198" s="45" t="s">
        <v>29</v>
      </c>
      <c r="T1198" s="37" t="str">
        <f>HYPERLINK("https://kanzpp.ru/api/getInfo/image/881479f9-4a89-11f0-a27c-00155d82e908")</f>
        <v>https://kanzpp.ru/api/getInfo/image/881479f9-4a89-11f0-a27c-00155d82e908</v>
      </c>
      <c r="U1198" s="37"/>
    </row>
    <row r="1199" spans="2:22" ht="22.95" customHeight="1" outlineLevel="4" x14ac:dyDescent="0.2">
      <c r="B1199" s="82" t="s">
        <v>3770</v>
      </c>
      <c r="C1199" s="82"/>
      <c r="D1199" s="82"/>
      <c r="L1199">
        <v>0</v>
      </c>
    </row>
    <row r="1200" spans="2:22" ht="22.95" customHeight="1" outlineLevel="5" x14ac:dyDescent="0.2">
      <c r="B1200" s="83" t="s">
        <v>3823</v>
      </c>
      <c r="C1200" s="83"/>
      <c r="D1200" s="83"/>
      <c r="L1200">
        <v>0</v>
      </c>
    </row>
    <row r="1201" spans="2:22" ht="21" customHeight="1" outlineLevel="6" x14ac:dyDescent="0.2">
      <c r="B1201" s="55">
        <v>923</v>
      </c>
      <c r="C1201" s="56" t="s">
        <v>3824</v>
      </c>
      <c r="D1201" s="56" t="s">
        <v>3825</v>
      </c>
      <c r="E1201" s="57" t="s">
        <v>3826</v>
      </c>
      <c r="F1201" s="58"/>
      <c r="G1201" s="59"/>
      <c r="H1201" s="59"/>
      <c r="I1201" s="60">
        <v>20</v>
      </c>
      <c r="J1201" s="59" t="s">
        <v>144</v>
      </c>
      <c r="K1201" s="55">
        <v>20</v>
      </c>
      <c r="L1201" s="61">
        <f>(51.42*(1-O3/100))/0.75</f>
        <v>68.56</v>
      </c>
      <c r="M1201" s="12"/>
      <c r="N1201" s="59">
        <f>L1201*M1201</f>
        <v>0</v>
      </c>
      <c r="O1201" s="62">
        <f>0.157*M1201</f>
        <v>0</v>
      </c>
      <c r="P1201" s="63">
        <f>0.00017*M1201</f>
        <v>0</v>
      </c>
      <c r="Q1201" s="64" t="s">
        <v>344</v>
      </c>
      <c r="R1201" s="65" t="s">
        <v>3827</v>
      </c>
      <c r="S1201" s="65" t="s">
        <v>29</v>
      </c>
      <c r="T1201" s="56" t="str">
        <f>HYPERLINK("https://kanzpp.ru/api/getInfo/image/6e4b0845-3249-11f1-a292-00155d82e908")</f>
        <v>https://kanzpp.ru/api/getInfo/image/6e4b0845-3249-11f1-a292-00155d82e908</v>
      </c>
      <c r="U1201" s="56"/>
      <c r="V1201" s="66"/>
    </row>
    <row r="1202" spans="2:22" ht="21" customHeight="1" outlineLevel="6" x14ac:dyDescent="0.2">
      <c r="B1202" s="55">
        <v>924</v>
      </c>
      <c r="C1202" s="56" t="s">
        <v>3828</v>
      </c>
      <c r="D1202" s="56" t="s">
        <v>3829</v>
      </c>
      <c r="E1202" s="57" t="s">
        <v>3830</v>
      </c>
      <c r="F1202" s="58"/>
      <c r="G1202" s="59"/>
      <c r="H1202" s="59"/>
      <c r="I1202" s="60">
        <v>20</v>
      </c>
      <c r="J1202" s="59" t="s">
        <v>144</v>
      </c>
      <c r="K1202" s="55">
        <v>20</v>
      </c>
      <c r="L1202" s="61">
        <f>(51.42*(1-O3/100))/0.75</f>
        <v>68.56</v>
      </c>
      <c r="M1202" s="12"/>
      <c r="N1202" s="59">
        <f>L1202*M1202</f>
        <v>0</v>
      </c>
      <c r="O1202" s="62">
        <f>0.157*M1202</f>
        <v>0</v>
      </c>
      <c r="P1202" s="63">
        <f>0.00018*M1202</f>
        <v>0</v>
      </c>
      <c r="Q1202" s="64" t="s">
        <v>344</v>
      </c>
      <c r="R1202" s="65" t="s">
        <v>3831</v>
      </c>
      <c r="S1202" s="65" t="s">
        <v>29</v>
      </c>
      <c r="T1202" s="56" t="str">
        <f>HYPERLINK("https://kanzpp.ru/api/getInfo/image/8fcaae1a-3249-11f1-a292-00155d82e908")</f>
        <v>https://kanzpp.ru/api/getInfo/image/8fcaae1a-3249-11f1-a292-00155d82e908</v>
      </c>
      <c r="U1202" s="56"/>
      <c r="V1202" s="66"/>
    </row>
    <row r="1203" spans="2:22" ht="21" customHeight="1" outlineLevel="6" x14ac:dyDescent="0.2">
      <c r="B1203" s="36">
        <v>925</v>
      </c>
      <c r="C1203" s="37" t="s">
        <v>3832</v>
      </c>
      <c r="D1203" s="37" t="s">
        <v>3833</v>
      </c>
      <c r="E1203" s="38" t="s">
        <v>3834</v>
      </c>
      <c r="F1203" s="39"/>
      <c r="G1203" s="40"/>
      <c r="H1203" s="40"/>
      <c r="I1203" s="41">
        <v>20</v>
      </c>
      <c r="J1203" s="40" t="s">
        <v>144</v>
      </c>
      <c r="K1203" s="36">
        <v>20</v>
      </c>
      <c r="L1203" s="42">
        <f>(51.42*(1-O3/100))/0.75</f>
        <v>68.56</v>
      </c>
      <c r="M1203" s="12"/>
      <c r="N1203" s="40">
        <f>L1203*M1203</f>
        <v>0</v>
      </c>
      <c r="O1203" s="43">
        <f>0.207*M1203</f>
        <v>0</v>
      </c>
      <c r="P1203" s="46">
        <f>0.0005*M1203</f>
        <v>0</v>
      </c>
      <c r="Q1203" s="44"/>
      <c r="R1203" s="45" t="s">
        <v>3835</v>
      </c>
      <c r="S1203" s="45" t="s">
        <v>29</v>
      </c>
      <c r="T1203" s="37" t="str">
        <f>HYPERLINK("https://kanzpp.ru/api/getInfo/image/66d428bc-81ab-11f0-a284-00155d82e908")</f>
        <v>https://kanzpp.ru/api/getInfo/image/66d428bc-81ab-11f0-a284-00155d82e908</v>
      </c>
      <c r="U1203" s="37"/>
    </row>
    <row r="1204" spans="2:22" ht="21" customHeight="1" outlineLevel="6" x14ac:dyDescent="0.2">
      <c r="B1204" s="55">
        <v>926</v>
      </c>
      <c r="C1204" s="56" t="s">
        <v>3836</v>
      </c>
      <c r="D1204" s="56" t="s">
        <v>3837</v>
      </c>
      <c r="E1204" s="57" t="s">
        <v>3838</v>
      </c>
      <c r="F1204" s="58"/>
      <c r="G1204" s="59"/>
      <c r="H1204" s="59"/>
      <c r="I1204" s="60">
        <v>20</v>
      </c>
      <c r="J1204" s="59" t="s">
        <v>144</v>
      </c>
      <c r="K1204" s="55">
        <v>20</v>
      </c>
      <c r="L1204" s="61">
        <f>(51.42*(1-O3/100))/0.75</f>
        <v>68.56</v>
      </c>
      <c r="M1204" s="12"/>
      <c r="N1204" s="59">
        <f>L1204*M1204</f>
        <v>0</v>
      </c>
      <c r="O1204" s="62">
        <f>0.157*M1204</f>
        <v>0</v>
      </c>
      <c r="P1204" s="63">
        <f>0.00018*M1204</f>
        <v>0</v>
      </c>
      <c r="Q1204" s="64" t="s">
        <v>344</v>
      </c>
      <c r="R1204" s="65" t="s">
        <v>3839</v>
      </c>
      <c r="S1204" s="65" t="s">
        <v>29</v>
      </c>
      <c r="T1204" s="56" t="str">
        <f>HYPERLINK("https://kanzpp.ru/api/getInfo/image/a2e3a0b3-3249-11f1-a292-00155d82e908")</f>
        <v>https://kanzpp.ru/api/getInfo/image/a2e3a0b3-3249-11f1-a292-00155d82e908</v>
      </c>
      <c r="U1204" s="56"/>
      <c r="V1204" s="66"/>
    </row>
    <row r="1205" spans="2:22" ht="21" customHeight="1" outlineLevel="6" x14ac:dyDescent="0.2">
      <c r="B1205" s="36">
        <v>927</v>
      </c>
      <c r="C1205" s="37" t="s">
        <v>3840</v>
      </c>
      <c r="D1205" s="37" t="s">
        <v>3841</v>
      </c>
      <c r="E1205" s="38" t="s">
        <v>3842</v>
      </c>
      <c r="F1205" s="39"/>
      <c r="G1205" s="40"/>
      <c r="H1205" s="40"/>
      <c r="I1205" s="41">
        <v>20</v>
      </c>
      <c r="J1205" s="41">
        <v>585</v>
      </c>
      <c r="K1205" s="36">
        <v>20</v>
      </c>
      <c r="L1205" s="42">
        <f>(51.42*(1-O3/100))/0.75</f>
        <v>68.56</v>
      </c>
      <c r="M1205" s="12"/>
      <c r="N1205" s="40">
        <f>L1205*M1205</f>
        <v>0</v>
      </c>
      <c r="O1205" s="43">
        <f>0.207*M1205</f>
        <v>0</v>
      </c>
      <c r="P1205" s="47">
        <f>0.00043*M1205</f>
        <v>0</v>
      </c>
      <c r="Q1205" s="44"/>
      <c r="R1205" s="45" t="s">
        <v>3843</v>
      </c>
      <c r="S1205" s="45" t="s">
        <v>29</v>
      </c>
      <c r="T1205" s="37" t="str">
        <f>HYPERLINK("https://kanzpp.ru/api/getInfo/image/9486eb14-81ab-11f0-a284-00155d82e908")</f>
        <v>https://kanzpp.ru/api/getInfo/image/9486eb14-81ab-11f0-a284-00155d82e908</v>
      </c>
      <c r="U1205" s="37"/>
    </row>
    <row r="1206" spans="2:22" ht="22.95" customHeight="1" outlineLevel="4" x14ac:dyDescent="0.2">
      <c r="B1206" s="82" t="s">
        <v>3844</v>
      </c>
      <c r="C1206" s="82"/>
      <c r="D1206" s="82"/>
      <c r="L1206">
        <v>0</v>
      </c>
    </row>
    <row r="1207" spans="2:22" ht="22.95" customHeight="1" outlineLevel="5" x14ac:dyDescent="0.2">
      <c r="B1207" s="83" t="s">
        <v>3845</v>
      </c>
      <c r="C1207" s="83"/>
      <c r="D1207" s="83"/>
      <c r="L1207">
        <v>0</v>
      </c>
    </row>
    <row r="1208" spans="2:22" ht="21" customHeight="1" outlineLevel="6" x14ac:dyDescent="0.2">
      <c r="B1208" s="36">
        <v>928</v>
      </c>
      <c r="C1208" s="37" t="s">
        <v>3846</v>
      </c>
      <c r="D1208" s="37" t="s">
        <v>3847</v>
      </c>
      <c r="E1208" s="38" t="s">
        <v>3848</v>
      </c>
      <c r="F1208" s="39"/>
      <c r="G1208" s="40"/>
      <c r="H1208" s="40"/>
      <c r="I1208" s="41">
        <v>20</v>
      </c>
      <c r="J1208" s="41">
        <v>852</v>
      </c>
      <c r="K1208" s="36">
        <v>20</v>
      </c>
      <c r="L1208" s="42">
        <f>(55.28*(1-O3/100))/0.75</f>
        <v>73.706666666666663</v>
      </c>
      <c r="M1208" s="12"/>
      <c r="N1208" s="40">
        <f>L1208*M1208</f>
        <v>0</v>
      </c>
      <c r="O1208" s="43">
        <f>0.157*M1208</f>
        <v>0</v>
      </c>
      <c r="P1208" s="47">
        <f>0.00029*M1208</f>
        <v>0</v>
      </c>
      <c r="Q1208" s="44"/>
      <c r="R1208" s="45" t="s">
        <v>3849</v>
      </c>
      <c r="S1208" s="45" t="s">
        <v>29</v>
      </c>
      <c r="T1208" s="37" t="str">
        <f>HYPERLINK("https://kanzpp.ru/api/getInfo/image/7cc4e174-3249-11f0-a27c-00155d82e908")</f>
        <v>https://kanzpp.ru/api/getInfo/image/7cc4e174-3249-11f0-a27c-00155d82e908</v>
      </c>
      <c r="U1208" s="37"/>
    </row>
    <row r="1209" spans="2:22" ht="21" customHeight="1" outlineLevel="6" x14ac:dyDescent="0.2">
      <c r="B1209" s="36">
        <v>929</v>
      </c>
      <c r="C1209" s="37" t="s">
        <v>3850</v>
      </c>
      <c r="D1209" s="37" t="s">
        <v>3851</v>
      </c>
      <c r="E1209" s="38" t="s">
        <v>3852</v>
      </c>
      <c r="F1209" s="39"/>
      <c r="G1209" s="40"/>
      <c r="H1209" s="40"/>
      <c r="I1209" s="41">
        <v>20</v>
      </c>
      <c r="J1209" s="41">
        <v>872</v>
      </c>
      <c r="K1209" s="36">
        <v>20</v>
      </c>
      <c r="L1209" s="42">
        <f>(55.28*(1-O3/100))/0.75</f>
        <v>73.706666666666663</v>
      </c>
      <c r="M1209" s="12"/>
      <c r="N1209" s="40">
        <f>L1209*M1209</f>
        <v>0</v>
      </c>
      <c r="O1209" s="48">
        <f>0.16*M1209</f>
        <v>0</v>
      </c>
      <c r="P1209" s="46">
        <f>0.0003*M1209</f>
        <v>0</v>
      </c>
      <c r="Q1209" s="44"/>
      <c r="R1209" s="45" t="s">
        <v>3853</v>
      </c>
      <c r="S1209" s="45" t="s">
        <v>29</v>
      </c>
      <c r="T1209" s="37" t="str">
        <f>HYPERLINK("https://kanzpp.ru/api/getInfo/image/56363643-3249-11f0-a27c-00155d82e908")</f>
        <v>https://kanzpp.ru/api/getInfo/image/56363643-3249-11f0-a27c-00155d82e908</v>
      </c>
      <c r="U1209" s="37"/>
    </row>
    <row r="1210" spans="2:22" ht="21" customHeight="1" outlineLevel="6" x14ac:dyDescent="0.2">
      <c r="B1210" s="36">
        <v>930</v>
      </c>
      <c r="C1210" s="37" t="s">
        <v>3854</v>
      </c>
      <c r="D1210" s="37" t="s">
        <v>3855</v>
      </c>
      <c r="E1210" s="38" t="s">
        <v>3856</v>
      </c>
      <c r="F1210" s="39"/>
      <c r="G1210" s="40"/>
      <c r="H1210" s="40"/>
      <c r="I1210" s="41">
        <v>20</v>
      </c>
      <c r="J1210" s="50">
        <v>1410</v>
      </c>
      <c r="K1210" s="36">
        <v>20</v>
      </c>
      <c r="L1210" s="42">
        <f>(55.28*(1-O3/100))/0.75</f>
        <v>73.706666666666663</v>
      </c>
      <c r="M1210" s="12"/>
      <c r="N1210" s="40">
        <f>L1210*M1210</f>
        <v>0</v>
      </c>
      <c r="O1210" s="43">
        <f>0.157*M1210</f>
        <v>0</v>
      </c>
      <c r="P1210" s="47">
        <f>0.00024*M1210</f>
        <v>0</v>
      </c>
      <c r="Q1210" s="44"/>
      <c r="R1210" s="45" t="s">
        <v>3857</v>
      </c>
      <c r="S1210" s="45" t="s">
        <v>29</v>
      </c>
      <c r="T1210" s="37" t="str">
        <f>HYPERLINK("https://kanzpp.ru/api/getInfo/image/0a518870-3249-11f0-a27c-00155d82e908")</f>
        <v>https://kanzpp.ru/api/getInfo/image/0a518870-3249-11f0-a27c-00155d82e908</v>
      </c>
      <c r="U1210" s="37"/>
    </row>
    <row r="1211" spans="2:22" ht="21" customHeight="1" outlineLevel="6" x14ac:dyDescent="0.2">
      <c r="B1211" s="36">
        <v>931</v>
      </c>
      <c r="C1211" s="37" t="s">
        <v>3858</v>
      </c>
      <c r="D1211" s="37" t="s">
        <v>3859</v>
      </c>
      <c r="E1211" s="38" t="s">
        <v>3860</v>
      </c>
      <c r="F1211" s="39"/>
      <c r="G1211" s="40"/>
      <c r="H1211" s="40"/>
      <c r="I1211" s="41">
        <v>20</v>
      </c>
      <c r="J1211" s="41">
        <v>91</v>
      </c>
      <c r="K1211" s="36">
        <v>20</v>
      </c>
      <c r="L1211" s="42">
        <f>(55.28*(1-O3/100))/0.75</f>
        <v>73.706666666666663</v>
      </c>
      <c r="M1211" s="12"/>
      <c r="N1211" s="40">
        <f>L1211*M1211</f>
        <v>0</v>
      </c>
      <c r="O1211" s="43">
        <f>0.155*M1211</f>
        <v>0</v>
      </c>
      <c r="P1211" s="46">
        <f>0.0003*M1211</f>
        <v>0</v>
      </c>
      <c r="Q1211" s="44"/>
      <c r="R1211" s="45" t="s">
        <v>3861</v>
      </c>
      <c r="S1211" s="45" t="s">
        <v>29</v>
      </c>
      <c r="T1211" s="37" t="str">
        <f>HYPERLINK("https://kanzpp.ru/api/getInfo/image/a28eed99-3249-11f0-a27c-00155d82e908")</f>
        <v>https://kanzpp.ru/api/getInfo/image/a28eed99-3249-11f0-a27c-00155d82e908</v>
      </c>
      <c r="U1211" s="37"/>
    </row>
    <row r="1212" spans="2:22" ht="22.95" customHeight="1" outlineLevel="3" x14ac:dyDescent="0.2">
      <c r="B1212" s="81" t="s">
        <v>3862</v>
      </c>
      <c r="C1212" s="81"/>
      <c r="D1212" s="81"/>
      <c r="L1212">
        <v>0</v>
      </c>
    </row>
    <row r="1213" spans="2:22" ht="22.95" customHeight="1" outlineLevel="4" x14ac:dyDescent="0.2">
      <c r="B1213" s="82" t="s">
        <v>3740</v>
      </c>
      <c r="C1213" s="82"/>
      <c r="D1213" s="82"/>
      <c r="L1213">
        <v>0</v>
      </c>
    </row>
    <row r="1214" spans="2:22" ht="22.95" customHeight="1" outlineLevel="5" x14ac:dyDescent="0.2">
      <c r="B1214" s="83" t="s">
        <v>3863</v>
      </c>
      <c r="C1214" s="83"/>
      <c r="D1214" s="83"/>
      <c r="L1214">
        <v>0</v>
      </c>
    </row>
    <row r="1215" spans="2:22" ht="21" customHeight="1" outlineLevel="6" x14ac:dyDescent="0.2">
      <c r="B1215" s="5">
        <v>932</v>
      </c>
      <c r="C1215" s="6" t="s">
        <v>3864</v>
      </c>
      <c r="D1215" s="6" t="s">
        <v>3865</v>
      </c>
      <c r="E1215" s="7" t="s">
        <v>3866</v>
      </c>
      <c r="F1215" s="13"/>
      <c r="G1215" s="14"/>
      <c r="H1215" s="14"/>
      <c r="I1215" s="15">
        <v>16</v>
      </c>
      <c r="J1215" s="14" t="s">
        <v>144</v>
      </c>
      <c r="K1215" s="5">
        <v>16</v>
      </c>
      <c r="L1215" s="16">
        <v>49.346666666666664</v>
      </c>
      <c r="M1215" s="12"/>
      <c r="N1215" s="14">
        <f t="shared" ref="N1215:N1224" si="60">L1215*M1215</f>
        <v>0</v>
      </c>
      <c r="O1215" s="23">
        <f>3.269*M1215</f>
        <v>0</v>
      </c>
      <c r="P1215" s="24">
        <f>0.00516*M1215</f>
        <v>0</v>
      </c>
      <c r="Q1215" s="25"/>
      <c r="R1215" s="26"/>
      <c r="S1215" s="26" t="s">
        <v>29</v>
      </c>
      <c r="T1215" s="6" t="str">
        <f>HYPERLINK("https://kanzpp.ru/api/getInfo/image/331175e9-4a49-11ef-a262-00155d82e908")</f>
        <v>https://kanzpp.ru/api/getInfo/image/331175e9-4a49-11ef-a262-00155d82e908</v>
      </c>
      <c r="U1215" s="6"/>
      <c r="V1215" s="33" t="s">
        <v>35</v>
      </c>
    </row>
    <row r="1216" spans="2:22" ht="21" customHeight="1" outlineLevel="6" x14ac:dyDescent="0.2">
      <c r="B1216" s="36">
        <v>933</v>
      </c>
      <c r="C1216" s="37" t="s">
        <v>3867</v>
      </c>
      <c r="D1216" s="37" t="s">
        <v>3868</v>
      </c>
      <c r="E1216" s="38" t="s">
        <v>3869</v>
      </c>
      <c r="F1216" s="39"/>
      <c r="G1216" s="40"/>
      <c r="H1216" s="40"/>
      <c r="I1216" s="41">
        <v>16</v>
      </c>
      <c r="J1216" s="40" t="s">
        <v>144</v>
      </c>
      <c r="K1216" s="36">
        <v>16</v>
      </c>
      <c r="L1216" s="42">
        <f>(47.43*(1-O3/100))/0.75</f>
        <v>63.24</v>
      </c>
      <c r="M1216" s="12"/>
      <c r="N1216" s="40">
        <f t="shared" si="60"/>
        <v>0</v>
      </c>
      <c r="O1216" s="43">
        <f>0.203*M1216</f>
        <v>0</v>
      </c>
      <c r="P1216" s="46">
        <f>0.0003*M1216</f>
        <v>0</v>
      </c>
      <c r="Q1216" s="44"/>
      <c r="R1216" s="45" t="s">
        <v>3870</v>
      </c>
      <c r="S1216" s="45" t="s">
        <v>29</v>
      </c>
      <c r="T1216" s="37" t="str">
        <f>HYPERLINK("https://kanzpp.ru/api/getInfo/image/a4a7ce66-1927-11f0-a279-00155d82e908")</f>
        <v>https://kanzpp.ru/api/getInfo/image/a4a7ce66-1927-11f0-a279-00155d82e908</v>
      </c>
      <c r="U1216" s="37"/>
    </row>
    <row r="1217" spans="2:22" ht="21" customHeight="1" outlineLevel="6" x14ac:dyDescent="0.2">
      <c r="B1217" s="36">
        <v>934</v>
      </c>
      <c r="C1217" s="37" t="s">
        <v>3871</v>
      </c>
      <c r="D1217" s="37" t="s">
        <v>3872</v>
      </c>
      <c r="E1217" s="38" t="s">
        <v>3873</v>
      </c>
      <c r="F1217" s="39"/>
      <c r="G1217" s="40"/>
      <c r="H1217" s="40"/>
      <c r="I1217" s="41">
        <v>16</v>
      </c>
      <c r="J1217" s="50">
        <v>4572</v>
      </c>
      <c r="K1217" s="36">
        <v>16</v>
      </c>
      <c r="L1217" s="42">
        <f>(47.43*(1-O3/100))/0.75</f>
        <v>63.24</v>
      </c>
      <c r="M1217" s="12"/>
      <c r="N1217" s="40">
        <f t="shared" si="60"/>
        <v>0</v>
      </c>
      <c r="O1217" s="43">
        <f>0.203*M1217</f>
        <v>0</v>
      </c>
      <c r="P1217" s="46">
        <f>0.0003*M1217</f>
        <v>0</v>
      </c>
      <c r="Q1217" s="44"/>
      <c r="R1217" s="45" t="s">
        <v>3874</v>
      </c>
      <c r="S1217" s="45" t="s">
        <v>29</v>
      </c>
      <c r="T1217" s="37" t="str">
        <f>HYPERLINK("https://kanzpp.ru/api/getInfo/image/f38b7192-1927-11f0-a279-00155d82e908")</f>
        <v>https://kanzpp.ru/api/getInfo/image/f38b7192-1927-11f0-a279-00155d82e908</v>
      </c>
      <c r="U1217" s="37"/>
    </row>
    <row r="1218" spans="2:22" ht="21" customHeight="1" outlineLevel="6" x14ac:dyDescent="0.2">
      <c r="B1218" s="36">
        <v>935</v>
      </c>
      <c r="C1218" s="37" t="s">
        <v>3875</v>
      </c>
      <c r="D1218" s="37" t="s">
        <v>3876</v>
      </c>
      <c r="E1218" s="38" t="s">
        <v>3877</v>
      </c>
      <c r="F1218" s="39"/>
      <c r="G1218" s="40"/>
      <c r="H1218" s="40"/>
      <c r="I1218" s="41">
        <v>16</v>
      </c>
      <c r="J1218" s="41">
        <v>154</v>
      </c>
      <c r="K1218" s="36">
        <v>16</v>
      </c>
      <c r="L1218" s="42">
        <f>(47.43*(1-O3/100))/0.75</f>
        <v>63.24</v>
      </c>
      <c r="M1218" s="12"/>
      <c r="N1218" s="40">
        <f t="shared" si="60"/>
        <v>0</v>
      </c>
      <c r="O1218" s="43">
        <f>0.203*M1218</f>
        <v>0</v>
      </c>
      <c r="P1218" s="46">
        <f>0.0003*M1218</f>
        <v>0</v>
      </c>
      <c r="Q1218" s="44"/>
      <c r="R1218" s="45" t="s">
        <v>3878</v>
      </c>
      <c r="S1218" s="45" t="s">
        <v>29</v>
      </c>
      <c r="T1218" s="37" t="str">
        <f>HYPERLINK("https://kanzpp.ru/api/getInfo/image/cd51ecdc-1927-11f0-a279-00155d82e908")</f>
        <v>https://kanzpp.ru/api/getInfo/image/cd51ecdc-1927-11f0-a279-00155d82e908</v>
      </c>
      <c r="U1218" s="37"/>
    </row>
    <row r="1219" spans="2:22" ht="21" customHeight="1" outlineLevel="6" x14ac:dyDescent="0.2">
      <c r="B1219" s="36">
        <v>936</v>
      </c>
      <c r="C1219" s="37" t="s">
        <v>3879</v>
      </c>
      <c r="D1219" s="37" t="s">
        <v>3880</v>
      </c>
      <c r="E1219" s="38" t="s">
        <v>3881</v>
      </c>
      <c r="F1219" s="39"/>
      <c r="G1219" s="40"/>
      <c r="H1219" s="40"/>
      <c r="I1219" s="41">
        <v>16</v>
      </c>
      <c r="J1219" s="40" t="s">
        <v>144</v>
      </c>
      <c r="K1219" s="36">
        <v>16</v>
      </c>
      <c r="L1219" s="42">
        <f>(47.43*(1-O3/100))/0.75</f>
        <v>63.24</v>
      </c>
      <c r="M1219" s="12"/>
      <c r="N1219" s="40">
        <f t="shared" si="60"/>
        <v>0</v>
      </c>
      <c r="O1219" s="43">
        <f>0.203*M1219</f>
        <v>0</v>
      </c>
      <c r="P1219" s="46">
        <f>0.0003*M1219</f>
        <v>0</v>
      </c>
      <c r="Q1219" s="44"/>
      <c r="R1219" s="45" t="s">
        <v>3882</v>
      </c>
      <c r="S1219" s="45" t="s">
        <v>29</v>
      </c>
      <c r="T1219" s="37" t="str">
        <f>HYPERLINK("https://kanzpp.ru/api/getInfo/image/1f63ae72-1927-11f0-a279-00155d82e908")</f>
        <v>https://kanzpp.ru/api/getInfo/image/1f63ae72-1927-11f0-a279-00155d82e908</v>
      </c>
      <c r="U1219" s="37"/>
    </row>
    <row r="1220" spans="2:22" ht="21" customHeight="1" outlineLevel="6" x14ac:dyDescent="0.2">
      <c r="B1220" s="36">
        <v>937</v>
      </c>
      <c r="C1220" s="37" t="s">
        <v>3883</v>
      </c>
      <c r="D1220" s="37" t="s">
        <v>3884</v>
      </c>
      <c r="E1220" s="38" t="s">
        <v>3885</v>
      </c>
      <c r="F1220" s="39"/>
      <c r="G1220" s="40"/>
      <c r="H1220" s="40"/>
      <c r="I1220" s="41">
        <v>16</v>
      </c>
      <c r="J1220" s="50">
        <v>4608</v>
      </c>
      <c r="K1220" s="36">
        <v>16</v>
      </c>
      <c r="L1220" s="42">
        <f>(47.43*(1-O3/100))/0.75</f>
        <v>63.24</v>
      </c>
      <c r="M1220" s="12"/>
      <c r="N1220" s="40">
        <f t="shared" si="60"/>
        <v>0</v>
      </c>
      <c r="O1220" s="43">
        <f>0.201*M1220</f>
        <v>0</v>
      </c>
      <c r="P1220" s="47">
        <f>0.00042*M1220</f>
        <v>0</v>
      </c>
      <c r="Q1220" s="44"/>
      <c r="R1220" s="45" t="s">
        <v>3886</v>
      </c>
      <c r="S1220" s="45" t="s">
        <v>29</v>
      </c>
      <c r="T1220" s="37" t="str">
        <f>HYPERLINK("https://kanzpp.ru/api/getInfo/image/4c4418ce-1927-11f0-a279-00155d82e908")</f>
        <v>https://kanzpp.ru/api/getInfo/image/4c4418ce-1927-11f0-a279-00155d82e908</v>
      </c>
      <c r="U1220" s="37"/>
    </row>
    <row r="1221" spans="2:22" ht="21" customHeight="1" outlineLevel="6" x14ac:dyDescent="0.2">
      <c r="B1221" s="55">
        <v>938</v>
      </c>
      <c r="C1221" s="56" t="s">
        <v>3887</v>
      </c>
      <c r="D1221" s="56" t="s">
        <v>3888</v>
      </c>
      <c r="E1221" s="57" t="s">
        <v>3889</v>
      </c>
      <c r="F1221" s="58"/>
      <c r="G1221" s="59"/>
      <c r="H1221" s="59"/>
      <c r="I1221" s="60">
        <v>16</v>
      </c>
      <c r="J1221" s="67">
        <v>3402</v>
      </c>
      <c r="K1221" s="55">
        <v>16</v>
      </c>
      <c r="L1221" s="61">
        <f>(47.43*(1-O3/100))/0.75</f>
        <v>63.24</v>
      </c>
      <c r="M1221" s="12"/>
      <c r="N1221" s="59">
        <f t="shared" si="60"/>
        <v>0</v>
      </c>
      <c r="O1221" s="62">
        <f>0.191*M1221</f>
        <v>0</v>
      </c>
      <c r="P1221" s="68">
        <f>0.0003*M1221</f>
        <v>0</v>
      </c>
      <c r="Q1221" s="64" t="s">
        <v>344</v>
      </c>
      <c r="R1221" s="65" t="s">
        <v>3890</v>
      </c>
      <c r="S1221" s="65" t="s">
        <v>29</v>
      </c>
      <c r="T1221" s="56" t="str">
        <f>HYPERLINK("https://kanzpp.ru/api/getInfo/image/c139e8d8-4a49-11ef-a262-00155d82e908")</f>
        <v>https://kanzpp.ru/api/getInfo/image/c139e8d8-4a49-11ef-a262-00155d82e908</v>
      </c>
      <c r="U1221" s="56"/>
      <c r="V1221" s="66"/>
    </row>
    <row r="1222" spans="2:22" ht="21" customHeight="1" outlineLevel="6" x14ac:dyDescent="0.2">
      <c r="B1222" s="36">
        <v>939</v>
      </c>
      <c r="C1222" s="37" t="s">
        <v>3891</v>
      </c>
      <c r="D1222" s="37" t="s">
        <v>3892</v>
      </c>
      <c r="E1222" s="38" t="s">
        <v>3893</v>
      </c>
      <c r="F1222" s="39"/>
      <c r="G1222" s="40"/>
      <c r="H1222" s="40"/>
      <c r="I1222" s="41">
        <v>16</v>
      </c>
      <c r="J1222" s="50">
        <v>3728</v>
      </c>
      <c r="K1222" s="36">
        <v>16</v>
      </c>
      <c r="L1222" s="42">
        <f>(47.43*(1-O3/100))/0.75</f>
        <v>63.24</v>
      </c>
      <c r="M1222" s="12"/>
      <c r="N1222" s="40">
        <f t="shared" si="60"/>
        <v>0</v>
      </c>
      <c r="O1222" s="43">
        <f>0.203*M1222</f>
        <v>0</v>
      </c>
      <c r="P1222" s="46">
        <f>0.0003*M1222</f>
        <v>0</v>
      </c>
      <c r="Q1222" s="44"/>
      <c r="R1222" s="45" t="s">
        <v>3894</v>
      </c>
      <c r="S1222" s="45" t="s">
        <v>29</v>
      </c>
      <c r="T1222" s="37" t="str">
        <f>HYPERLINK("https://kanzpp.ru/api/getInfo/image/331175e9-4a49-11ef-a262-00155d82e908")</f>
        <v>https://kanzpp.ru/api/getInfo/image/331175e9-4a49-11ef-a262-00155d82e908</v>
      </c>
      <c r="U1222" s="37"/>
    </row>
    <row r="1223" spans="2:22" ht="21" customHeight="1" outlineLevel="6" x14ac:dyDescent="0.2">
      <c r="B1223" s="36">
        <v>940</v>
      </c>
      <c r="C1223" s="37" t="s">
        <v>3895</v>
      </c>
      <c r="D1223" s="37" t="s">
        <v>3896</v>
      </c>
      <c r="E1223" s="38" t="s">
        <v>3897</v>
      </c>
      <c r="F1223" s="39"/>
      <c r="G1223" s="40"/>
      <c r="H1223" s="40"/>
      <c r="I1223" s="41">
        <v>16</v>
      </c>
      <c r="J1223" s="40" t="s">
        <v>144</v>
      </c>
      <c r="K1223" s="36">
        <v>16</v>
      </c>
      <c r="L1223" s="42">
        <f>(47.43*(1-O3/100))/0.75</f>
        <v>63.24</v>
      </c>
      <c r="M1223" s="12"/>
      <c r="N1223" s="40">
        <f t="shared" si="60"/>
        <v>0</v>
      </c>
      <c r="O1223" s="43">
        <f>0.203*M1223</f>
        <v>0</v>
      </c>
      <c r="P1223" s="46">
        <f>0.0003*M1223</f>
        <v>0</v>
      </c>
      <c r="Q1223" s="44"/>
      <c r="R1223" s="45" t="s">
        <v>3898</v>
      </c>
      <c r="S1223" s="45" t="s">
        <v>29</v>
      </c>
      <c r="T1223" s="37" t="str">
        <f>HYPERLINK("https://kanzpp.ru/api/getInfo/image/751673b0-1927-11f0-a279-00155d82e908")</f>
        <v>https://kanzpp.ru/api/getInfo/image/751673b0-1927-11f0-a279-00155d82e908</v>
      </c>
      <c r="U1223" s="37"/>
    </row>
    <row r="1224" spans="2:22" ht="21" customHeight="1" outlineLevel="6" x14ac:dyDescent="0.2">
      <c r="B1224" s="36">
        <v>941</v>
      </c>
      <c r="C1224" s="37" t="s">
        <v>3899</v>
      </c>
      <c r="D1224" s="37" t="s">
        <v>3900</v>
      </c>
      <c r="E1224" s="38" t="s">
        <v>3901</v>
      </c>
      <c r="F1224" s="39"/>
      <c r="G1224" s="40"/>
      <c r="H1224" s="40"/>
      <c r="I1224" s="41">
        <v>16</v>
      </c>
      <c r="J1224" s="50">
        <v>2800</v>
      </c>
      <c r="K1224" s="36">
        <v>16</v>
      </c>
      <c r="L1224" s="42">
        <f>(47.43*(1-O3/100))/0.75</f>
        <v>63.24</v>
      </c>
      <c r="M1224" s="12"/>
      <c r="N1224" s="40">
        <f t="shared" si="60"/>
        <v>0</v>
      </c>
      <c r="O1224" s="43">
        <f>0.203*M1224</f>
        <v>0</v>
      </c>
      <c r="P1224" s="46">
        <f>0.0003*M1224</f>
        <v>0</v>
      </c>
      <c r="Q1224" s="44"/>
      <c r="R1224" s="45" t="s">
        <v>3902</v>
      </c>
      <c r="S1224" s="45" t="s">
        <v>29</v>
      </c>
      <c r="T1224" s="37" t="str">
        <f>HYPERLINK("https://kanzpp.ru/api/getInfo/image/f5cc7d29-1926-11f0-a279-00155d82e908")</f>
        <v>https://kanzpp.ru/api/getInfo/image/f5cc7d29-1926-11f0-a279-00155d82e908</v>
      </c>
      <c r="U1224" s="37"/>
    </row>
    <row r="1225" spans="2:22" ht="22.95" customHeight="1" outlineLevel="5" x14ac:dyDescent="0.2">
      <c r="B1225" s="83" t="s">
        <v>3903</v>
      </c>
      <c r="C1225" s="83"/>
      <c r="D1225" s="83"/>
      <c r="L1225">
        <v>0</v>
      </c>
    </row>
    <row r="1226" spans="2:22" ht="21" customHeight="1" outlineLevel="6" x14ac:dyDescent="0.2">
      <c r="B1226" s="36">
        <v>942</v>
      </c>
      <c r="C1226" s="37" t="s">
        <v>3904</v>
      </c>
      <c r="D1226" s="37" t="s">
        <v>3905</v>
      </c>
      <c r="E1226" s="38" t="s">
        <v>3906</v>
      </c>
      <c r="F1226" s="39"/>
      <c r="G1226" s="40"/>
      <c r="H1226" s="40"/>
      <c r="I1226" s="41">
        <v>16</v>
      </c>
      <c r="J1226" s="50">
        <v>4240</v>
      </c>
      <c r="K1226" s="36">
        <v>16</v>
      </c>
      <c r="L1226" s="42">
        <f>(55.09*(1-O3/100))/0.75</f>
        <v>73.453333333333333</v>
      </c>
      <c r="M1226" s="12"/>
      <c r="N1226" s="40">
        <f>L1226*M1226</f>
        <v>0</v>
      </c>
      <c r="O1226" s="43">
        <f>0.209*M1226</f>
        <v>0</v>
      </c>
      <c r="P1226" s="47">
        <f>0.00047*M1226</f>
        <v>0</v>
      </c>
      <c r="Q1226" s="44"/>
      <c r="R1226" s="45" t="s">
        <v>3907</v>
      </c>
      <c r="S1226" s="45" t="s">
        <v>29</v>
      </c>
      <c r="T1226" s="37" t="str">
        <f>HYPERLINK("https://kanzpp.ru/api/getInfo/image/ba5fa57b-240d-11f0-a279-00155d82e908")</f>
        <v>https://kanzpp.ru/api/getInfo/image/ba5fa57b-240d-11f0-a279-00155d82e908</v>
      </c>
      <c r="U1226" s="37"/>
    </row>
    <row r="1227" spans="2:22" ht="21" customHeight="1" outlineLevel="6" x14ac:dyDescent="0.2">
      <c r="B1227" s="55">
        <v>943</v>
      </c>
      <c r="C1227" s="56" t="s">
        <v>3908</v>
      </c>
      <c r="D1227" s="56" t="s">
        <v>3909</v>
      </c>
      <c r="E1227" s="57" t="s">
        <v>3910</v>
      </c>
      <c r="F1227" s="58"/>
      <c r="G1227" s="59"/>
      <c r="H1227" s="59"/>
      <c r="I1227" s="60">
        <v>16</v>
      </c>
      <c r="J1227" s="67">
        <v>3482</v>
      </c>
      <c r="K1227" s="55">
        <v>16</v>
      </c>
      <c r="L1227" s="61">
        <f>(55.09*(1-O3/100))/0.75</f>
        <v>73.453333333333333</v>
      </c>
      <c r="M1227" s="12"/>
      <c r="N1227" s="59">
        <f>L1227*M1227</f>
        <v>0</v>
      </c>
      <c r="O1227" s="62">
        <f>0.253*M1227</f>
        <v>0</v>
      </c>
      <c r="P1227" s="63">
        <f>0.00053*M1227</f>
        <v>0</v>
      </c>
      <c r="Q1227" s="64" t="s">
        <v>344</v>
      </c>
      <c r="R1227" s="65" t="s">
        <v>3911</v>
      </c>
      <c r="S1227" s="65" t="s">
        <v>29</v>
      </c>
      <c r="T1227" s="56" t="str">
        <f>HYPERLINK("https://kanzpp.ru/api/getInfo/image/4f7504ee-240d-11f0-a279-00155d82e908")</f>
        <v>https://kanzpp.ru/api/getInfo/image/4f7504ee-240d-11f0-a279-00155d82e908</v>
      </c>
      <c r="U1227" s="56"/>
      <c r="V1227" s="66"/>
    </row>
    <row r="1228" spans="2:22" ht="21" customHeight="1" outlineLevel="6" x14ac:dyDescent="0.2">
      <c r="B1228" s="36">
        <v>944</v>
      </c>
      <c r="C1228" s="37" t="s">
        <v>3912</v>
      </c>
      <c r="D1228" s="37" t="s">
        <v>3913</v>
      </c>
      <c r="E1228" s="38" t="s">
        <v>3914</v>
      </c>
      <c r="F1228" s="39"/>
      <c r="G1228" s="40"/>
      <c r="H1228" s="40"/>
      <c r="I1228" s="41">
        <v>15</v>
      </c>
      <c r="J1228" s="40" t="s">
        <v>144</v>
      </c>
      <c r="K1228" s="36">
        <v>15</v>
      </c>
      <c r="L1228" s="42">
        <f>(55.09*(1-O3/100))/0.75</f>
        <v>73.453333333333333</v>
      </c>
      <c r="M1228" s="12"/>
      <c r="N1228" s="40">
        <f>L1228*M1228</f>
        <v>0</v>
      </c>
      <c r="O1228" s="43">
        <f>0.207*M1228</f>
        <v>0</v>
      </c>
      <c r="P1228" s="47">
        <f>0.00024*M1228</f>
        <v>0</v>
      </c>
      <c r="Q1228" s="44"/>
      <c r="R1228" s="45" t="s">
        <v>3915</v>
      </c>
      <c r="S1228" s="45" t="s">
        <v>29</v>
      </c>
      <c r="T1228" s="37"/>
      <c r="U1228" s="37"/>
    </row>
    <row r="1229" spans="2:22" ht="21" customHeight="1" outlineLevel="6" x14ac:dyDescent="0.2">
      <c r="B1229" s="36">
        <v>945</v>
      </c>
      <c r="C1229" s="37" t="s">
        <v>3916</v>
      </c>
      <c r="D1229" s="37" t="s">
        <v>3917</v>
      </c>
      <c r="E1229" s="38" t="s">
        <v>3918</v>
      </c>
      <c r="F1229" s="39"/>
      <c r="G1229" s="40"/>
      <c r="H1229" s="40"/>
      <c r="I1229" s="41">
        <v>16</v>
      </c>
      <c r="J1229" s="50">
        <v>3664</v>
      </c>
      <c r="K1229" s="36">
        <v>16</v>
      </c>
      <c r="L1229" s="42">
        <f>(55.09*(1-O3/100))/0.75</f>
        <v>73.453333333333333</v>
      </c>
      <c r="M1229" s="12"/>
      <c r="N1229" s="40">
        <f>L1229*M1229</f>
        <v>0</v>
      </c>
      <c r="O1229" s="43">
        <f>0.209*M1229</f>
        <v>0</v>
      </c>
      <c r="P1229" s="47">
        <f>0.00041*M1229</f>
        <v>0</v>
      </c>
      <c r="Q1229" s="44"/>
      <c r="R1229" s="45" t="s">
        <v>3919</v>
      </c>
      <c r="S1229" s="45" t="s">
        <v>29</v>
      </c>
      <c r="T1229" s="37" t="str">
        <f>HYPERLINK("https://kanzpp.ru/api/getInfo/image/73e8225e-240d-11f0-a279-00155d82e908")</f>
        <v>https://kanzpp.ru/api/getInfo/image/73e8225e-240d-11f0-a279-00155d82e908</v>
      </c>
      <c r="U1229" s="37"/>
    </row>
    <row r="1230" spans="2:22" ht="22.95" customHeight="1" outlineLevel="4" x14ac:dyDescent="0.2">
      <c r="B1230" s="82" t="s">
        <v>3770</v>
      </c>
      <c r="C1230" s="82"/>
      <c r="D1230" s="82"/>
      <c r="L1230">
        <v>0</v>
      </c>
    </row>
    <row r="1231" spans="2:22" ht="22.95" customHeight="1" outlineLevel="5" x14ac:dyDescent="0.2">
      <c r="B1231" s="83" t="s">
        <v>3920</v>
      </c>
      <c r="C1231" s="83"/>
      <c r="D1231" s="83"/>
      <c r="L1231">
        <v>0</v>
      </c>
    </row>
    <row r="1232" spans="2:22" ht="21" customHeight="1" outlineLevel="6" x14ac:dyDescent="0.2">
      <c r="B1232" s="36">
        <v>946</v>
      </c>
      <c r="C1232" s="37" t="s">
        <v>3921</v>
      </c>
      <c r="D1232" s="37" t="s">
        <v>3922</v>
      </c>
      <c r="E1232" s="38" t="s">
        <v>3923</v>
      </c>
      <c r="F1232" s="39"/>
      <c r="G1232" s="40"/>
      <c r="H1232" s="40"/>
      <c r="I1232" s="41">
        <v>20</v>
      </c>
      <c r="J1232" s="50">
        <v>1805</v>
      </c>
      <c r="K1232" s="36">
        <v>20</v>
      </c>
      <c r="L1232" s="42">
        <f>(62.86*(1-O3/100))/0.75</f>
        <v>83.813333333333333</v>
      </c>
      <c r="M1232" s="12"/>
      <c r="N1232" s="40">
        <f>L1232*M1232</f>
        <v>0</v>
      </c>
      <c r="O1232" s="43">
        <f>0.201*M1232</f>
        <v>0</v>
      </c>
      <c r="P1232" s="47">
        <f>0.00023*M1232</f>
        <v>0</v>
      </c>
      <c r="Q1232" s="44"/>
      <c r="R1232" s="45" t="s">
        <v>3924</v>
      </c>
      <c r="S1232" s="45" t="s">
        <v>29</v>
      </c>
      <c r="T1232" s="37"/>
      <c r="U1232" s="37"/>
    </row>
    <row r="1233" spans="2:22" ht="21" customHeight="1" outlineLevel="6" x14ac:dyDescent="0.2">
      <c r="B1233" s="5">
        <v>947</v>
      </c>
      <c r="C1233" s="6" t="s">
        <v>3925</v>
      </c>
      <c r="D1233" s="6" t="s">
        <v>3926</v>
      </c>
      <c r="E1233" s="7" t="s">
        <v>3927</v>
      </c>
      <c r="F1233" s="13"/>
      <c r="G1233" s="14"/>
      <c r="H1233" s="15">
        <v>40</v>
      </c>
      <c r="I1233" s="15">
        <v>2</v>
      </c>
      <c r="J1233" s="15">
        <v>8</v>
      </c>
      <c r="K1233" s="5">
        <v>8</v>
      </c>
      <c r="L1233" s="16">
        <v>39.866666666666667</v>
      </c>
      <c r="M1233" s="12"/>
      <c r="N1233" s="14">
        <f>L1233*M1233</f>
        <v>0</v>
      </c>
      <c r="O1233" s="28">
        <f>0.21*M1233</f>
        <v>0</v>
      </c>
      <c r="P1233" s="24">
        <f>0.00012*M1233</f>
        <v>0</v>
      </c>
      <c r="Q1233" s="25"/>
      <c r="R1233" s="26"/>
      <c r="S1233" s="26" t="s">
        <v>29</v>
      </c>
      <c r="T1233" s="6" t="str">
        <f>HYPERLINK("https://kanzpp.ru/api/getInfo/image/953bc489-c32c-11ed-a230-00155d82e902")</f>
        <v>https://kanzpp.ru/api/getInfo/image/953bc489-c32c-11ed-a230-00155d82e902</v>
      </c>
      <c r="U1233" s="6" t="s">
        <v>3928</v>
      </c>
      <c r="V1233" s="33" t="s">
        <v>35</v>
      </c>
    </row>
    <row r="1234" spans="2:22" ht="22.95" customHeight="1" outlineLevel="5" x14ac:dyDescent="0.2">
      <c r="B1234" s="83" t="s">
        <v>3929</v>
      </c>
      <c r="C1234" s="83"/>
      <c r="D1234" s="83"/>
      <c r="L1234">
        <v>0</v>
      </c>
    </row>
    <row r="1235" spans="2:22" ht="21" customHeight="1" outlineLevel="6" x14ac:dyDescent="0.2">
      <c r="B1235" s="5">
        <v>948</v>
      </c>
      <c r="C1235" s="6" t="s">
        <v>3930</v>
      </c>
      <c r="D1235" s="6" t="s">
        <v>3931</v>
      </c>
      <c r="E1235" s="7" t="s">
        <v>3932</v>
      </c>
      <c r="F1235" s="13"/>
      <c r="G1235" s="14"/>
      <c r="H1235" s="15">
        <v>48</v>
      </c>
      <c r="I1235" s="15">
        <v>2</v>
      </c>
      <c r="J1235" s="17">
        <v>1676</v>
      </c>
      <c r="K1235" s="5">
        <v>10</v>
      </c>
      <c r="L1235" s="16">
        <v>47.866666666666667</v>
      </c>
      <c r="M1235" s="12"/>
      <c r="N1235" s="14">
        <f>L1235*M1235</f>
        <v>0</v>
      </c>
      <c r="O1235" s="23">
        <f>0.204*M1235</f>
        <v>0</v>
      </c>
      <c r="P1235" s="24">
        <f>0.00014*M1235</f>
        <v>0</v>
      </c>
      <c r="Q1235" s="25"/>
      <c r="R1235" s="26"/>
      <c r="S1235" s="26" t="s">
        <v>29</v>
      </c>
      <c r="T1235" s="6" t="str">
        <f>HYPERLINK("https://kanzpp.ru/api/getInfo/image/cbaff032-c330-11ed-a230-00155d82e902")</f>
        <v>https://kanzpp.ru/api/getInfo/image/cbaff032-c330-11ed-a230-00155d82e902</v>
      </c>
      <c r="U1235" s="6" t="s">
        <v>3933</v>
      </c>
      <c r="V1235" s="33" t="s">
        <v>35</v>
      </c>
    </row>
    <row r="1236" spans="2:22" ht="21" customHeight="1" outlineLevel="6" x14ac:dyDescent="0.2">
      <c r="B1236" s="5">
        <v>949</v>
      </c>
      <c r="C1236" s="6" t="s">
        <v>3934</v>
      </c>
      <c r="D1236" s="6" t="s">
        <v>3935</v>
      </c>
      <c r="E1236" s="7" t="s">
        <v>3936</v>
      </c>
      <c r="F1236" s="13"/>
      <c r="G1236" s="14"/>
      <c r="H1236" s="15">
        <v>48</v>
      </c>
      <c r="I1236" s="15">
        <v>6</v>
      </c>
      <c r="J1236" s="15">
        <v>15</v>
      </c>
      <c r="K1236" s="5">
        <v>12</v>
      </c>
      <c r="L1236" s="16">
        <v>47.866666666666667</v>
      </c>
      <c r="M1236" s="12"/>
      <c r="N1236" s="14">
        <f>L1236*M1236</f>
        <v>0</v>
      </c>
      <c r="O1236" s="23">
        <f>0.207*M1236</f>
        <v>0</v>
      </c>
      <c r="P1236" s="24">
        <f>0.00059*M1236</f>
        <v>0</v>
      </c>
      <c r="Q1236" s="25"/>
      <c r="R1236" s="26" t="s">
        <v>3937</v>
      </c>
      <c r="S1236" s="26" t="s">
        <v>29</v>
      </c>
      <c r="T1236" s="6" t="str">
        <f>HYPERLINK("https://kanzpp.ru/api/getInfo/image/60de55f0-9714-11ed-a22d-00155d82e902")</f>
        <v>https://kanzpp.ru/api/getInfo/image/60de55f0-9714-11ed-a22d-00155d82e902</v>
      </c>
      <c r="U1236" s="6"/>
      <c r="V1236" s="33" t="s">
        <v>35</v>
      </c>
    </row>
    <row r="1237" spans="2:22" ht="22.95" customHeight="1" outlineLevel="3" x14ac:dyDescent="0.2">
      <c r="B1237" s="81" t="s">
        <v>3938</v>
      </c>
      <c r="C1237" s="81"/>
      <c r="D1237" s="81"/>
      <c r="L1237">
        <v>0</v>
      </c>
    </row>
    <row r="1238" spans="2:22" ht="22.95" customHeight="1" outlineLevel="4" x14ac:dyDescent="0.2">
      <c r="B1238" s="82" t="s">
        <v>3740</v>
      </c>
      <c r="C1238" s="82"/>
      <c r="D1238" s="82"/>
      <c r="L1238">
        <v>0</v>
      </c>
    </row>
    <row r="1239" spans="2:22" ht="22.95" customHeight="1" outlineLevel="5" x14ac:dyDescent="0.2">
      <c r="B1239" s="83" t="s">
        <v>3939</v>
      </c>
      <c r="C1239" s="83"/>
      <c r="D1239" s="83"/>
      <c r="L1239">
        <v>0</v>
      </c>
    </row>
    <row r="1240" spans="2:22" ht="21" customHeight="1" outlineLevel="6" x14ac:dyDescent="0.2">
      <c r="B1240" s="36">
        <v>950</v>
      </c>
      <c r="C1240" s="37" t="s">
        <v>3940</v>
      </c>
      <c r="D1240" s="37" t="s">
        <v>3941</v>
      </c>
      <c r="E1240" s="38" t="s">
        <v>3942</v>
      </c>
      <c r="F1240" s="39"/>
      <c r="G1240" s="40"/>
      <c r="H1240" s="40"/>
      <c r="I1240" s="41">
        <v>16</v>
      </c>
      <c r="J1240" s="40" t="s">
        <v>144</v>
      </c>
      <c r="K1240" s="36">
        <v>16</v>
      </c>
      <c r="L1240" s="42">
        <f>(59.2*(1-O3/100))/0.75</f>
        <v>78.933333333333337</v>
      </c>
      <c r="M1240" s="12"/>
      <c r="N1240" s="40">
        <f t="shared" ref="N1240:N1248" si="61">L1240*M1240</f>
        <v>0</v>
      </c>
      <c r="O1240" s="43">
        <f>0.245*M1240</f>
        <v>0</v>
      </c>
      <c r="P1240" s="47">
        <f>0.00004*M1240</f>
        <v>0</v>
      </c>
      <c r="Q1240" s="44"/>
      <c r="R1240" s="45" t="s">
        <v>3943</v>
      </c>
      <c r="S1240" s="45" t="s">
        <v>29</v>
      </c>
      <c r="T1240" s="37" t="str">
        <f>HYPERLINK("https://kanzpp.ru/api/getInfo/image/ec0b3c13-192a-11f0-a279-00155d82e908")</f>
        <v>https://kanzpp.ru/api/getInfo/image/ec0b3c13-192a-11f0-a279-00155d82e908</v>
      </c>
      <c r="U1240" s="37"/>
    </row>
    <row r="1241" spans="2:22" ht="21" customHeight="1" outlineLevel="6" x14ac:dyDescent="0.2">
      <c r="B1241" s="55">
        <v>951</v>
      </c>
      <c r="C1241" s="56" t="s">
        <v>3944</v>
      </c>
      <c r="D1241" s="56" t="s">
        <v>3945</v>
      </c>
      <c r="E1241" s="57" t="s">
        <v>3946</v>
      </c>
      <c r="F1241" s="58"/>
      <c r="G1241" s="59"/>
      <c r="H1241" s="59"/>
      <c r="I1241" s="60">
        <v>16</v>
      </c>
      <c r="J1241" s="59" t="s">
        <v>144</v>
      </c>
      <c r="K1241" s="55">
        <v>16</v>
      </c>
      <c r="L1241" s="61">
        <f>(59.2*(1-O3/100))/0.75</f>
        <v>78.933333333333337</v>
      </c>
      <c r="M1241" s="12"/>
      <c r="N1241" s="59">
        <f t="shared" si="61"/>
        <v>0</v>
      </c>
      <c r="O1241" s="62">
        <f>0.253*M1241</f>
        <v>0</v>
      </c>
      <c r="P1241" s="63">
        <f>0.00053*M1241</f>
        <v>0</v>
      </c>
      <c r="Q1241" s="64" t="s">
        <v>344</v>
      </c>
      <c r="R1241" s="65" t="s">
        <v>3947</v>
      </c>
      <c r="S1241" s="65" t="s">
        <v>29</v>
      </c>
      <c r="T1241" s="56" t="str">
        <f>HYPERLINK("https://kanzpp.ru/api/getInfo/image/1f446b93-192c-11f0-a279-00155d82e908")</f>
        <v>https://kanzpp.ru/api/getInfo/image/1f446b93-192c-11f0-a279-00155d82e908</v>
      </c>
      <c r="U1241" s="56"/>
      <c r="V1241" s="66"/>
    </row>
    <row r="1242" spans="2:22" ht="21" customHeight="1" outlineLevel="6" x14ac:dyDescent="0.2">
      <c r="B1242" s="36">
        <v>952</v>
      </c>
      <c r="C1242" s="37" t="s">
        <v>3948</v>
      </c>
      <c r="D1242" s="37" t="s">
        <v>3949</v>
      </c>
      <c r="E1242" s="38" t="s">
        <v>3950</v>
      </c>
      <c r="F1242" s="39"/>
      <c r="G1242" s="40"/>
      <c r="H1242" s="40"/>
      <c r="I1242" s="41">
        <v>16</v>
      </c>
      <c r="J1242" s="50">
        <v>3040</v>
      </c>
      <c r="K1242" s="36">
        <v>16</v>
      </c>
      <c r="L1242" s="42">
        <f>(59.2*(1-O3/100))/0.75</f>
        <v>78.933333333333337</v>
      </c>
      <c r="M1242" s="12"/>
      <c r="N1242" s="40">
        <f t="shared" si="61"/>
        <v>0</v>
      </c>
      <c r="O1242" s="43">
        <f>0.245*M1242</f>
        <v>0</v>
      </c>
      <c r="P1242" s="47">
        <f>0.00053*M1242</f>
        <v>0</v>
      </c>
      <c r="Q1242" s="44"/>
      <c r="R1242" s="45" t="s">
        <v>3951</v>
      </c>
      <c r="S1242" s="45" t="s">
        <v>29</v>
      </c>
      <c r="T1242" s="37" t="str">
        <f>HYPERLINK("https://kanzpp.ru/api/getInfo/image/466c6371-4a4e-11ef-a262-00155d82e908")</f>
        <v>https://kanzpp.ru/api/getInfo/image/466c6371-4a4e-11ef-a262-00155d82e908</v>
      </c>
      <c r="U1242" s="37"/>
    </row>
    <row r="1243" spans="2:22" ht="21" customHeight="1" outlineLevel="6" x14ac:dyDescent="0.2">
      <c r="B1243" s="36">
        <v>953</v>
      </c>
      <c r="C1243" s="37" t="s">
        <v>3952</v>
      </c>
      <c r="D1243" s="37" t="s">
        <v>3953</v>
      </c>
      <c r="E1243" s="38" t="s">
        <v>3954</v>
      </c>
      <c r="F1243" s="39"/>
      <c r="G1243" s="40"/>
      <c r="H1243" s="40"/>
      <c r="I1243" s="41">
        <v>16</v>
      </c>
      <c r="J1243" s="40" t="s">
        <v>144</v>
      </c>
      <c r="K1243" s="36">
        <v>16</v>
      </c>
      <c r="L1243" s="42">
        <f>(59.2*(1-O3/100))/0.75</f>
        <v>78.933333333333337</v>
      </c>
      <c r="M1243" s="12"/>
      <c r="N1243" s="40">
        <f t="shared" si="61"/>
        <v>0</v>
      </c>
      <c r="O1243" s="43">
        <f>0.245*M1243</f>
        <v>0</v>
      </c>
      <c r="P1243" s="47">
        <f>0.00053*M1243</f>
        <v>0</v>
      </c>
      <c r="Q1243" s="44"/>
      <c r="R1243" s="45" t="s">
        <v>3955</v>
      </c>
      <c r="S1243" s="45" t="s">
        <v>29</v>
      </c>
      <c r="T1243" s="37" t="str">
        <f>HYPERLINK("https://kanzpp.ru/api/getInfo/image/8cbb85b3-192d-11f0-a279-00155d82e908")</f>
        <v>https://kanzpp.ru/api/getInfo/image/8cbb85b3-192d-11f0-a279-00155d82e908</v>
      </c>
      <c r="U1243" s="37"/>
    </row>
    <row r="1244" spans="2:22" ht="21" customHeight="1" outlineLevel="6" x14ac:dyDescent="0.2">
      <c r="B1244" s="36">
        <v>954</v>
      </c>
      <c r="C1244" s="37" t="s">
        <v>3956</v>
      </c>
      <c r="D1244" s="37" t="s">
        <v>3957</v>
      </c>
      <c r="E1244" s="38" t="s">
        <v>3958</v>
      </c>
      <c r="F1244" s="39"/>
      <c r="G1244" s="40"/>
      <c r="H1244" s="40"/>
      <c r="I1244" s="41">
        <v>16</v>
      </c>
      <c r="J1244" s="50">
        <v>1504</v>
      </c>
      <c r="K1244" s="36">
        <v>16</v>
      </c>
      <c r="L1244" s="42">
        <f>(59.2*(1-O3/100))/0.75</f>
        <v>78.933333333333337</v>
      </c>
      <c r="M1244" s="12"/>
      <c r="N1244" s="40">
        <f t="shared" si="61"/>
        <v>0</v>
      </c>
      <c r="O1244" s="43">
        <f>0.252*M1244</f>
        <v>0</v>
      </c>
      <c r="P1244" s="47">
        <f>0.00036*M1244</f>
        <v>0</v>
      </c>
      <c r="Q1244" s="44"/>
      <c r="R1244" s="45" t="s">
        <v>3959</v>
      </c>
      <c r="S1244" s="45" t="s">
        <v>29</v>
      </c>
      <c r="T1244" s="37" t="str">
        <f>HYPERLINK("https://kanzpp.ru/api/getInfo/image/b7e49fdc-192a-11f0-a279-00155d82e908")</f>
        <v>https://kanzpp.ru/api/getInfo/image/b7e49fdc-192a-11f0-a279-00155d82e908</v>
      </c>
      <c r="U1244" s="37"/>
    </row>
    <row r="1245" spans="2:22" ht="21" customHeight="1" outlineLevel="6" x14ac:dyDescent="0.2">
      <c r="B1245" s="36">
        <v>955</v>
      </c>
      <c r="C1245" s="37" t="s">
        <v>3960</v>
      </c>
      <c r="D1245" s="37" t="s">
        <v>3961</v>
      </c>
      <c r="E1245" s="38" t="s">
        <v>3962</v>
      </c>
      <c r="F1245" s="39"/>
      <c r="G1245" s="40"/>
      <c r="H1245" s="40"/>
      <c r="I1245" s="41">
        <v>16</v>
      </c>
      <c r="J1245" s="40" t="s">
        <v>144</v>
      </c>
      <c r="K1245" s="36">
        <v>16</v>
      </c>
      <c r="L1245" s="42">
        <f>(59.2*(1-O3/100))/0.75</f>
        <v>78.933333333333337</v>
      </c>
      <c r="M1245" s="12"/>
      <c r="N1245" s="40">
        <f t="shared" si="61"/>
        <v>0</v>
      </c>
      <c r="O1245" s="43">
        <f>0.245*M1245</f>
        <v>0</v>
      </c>
      <c r="P1245" s="47">
        <f>0.00053*M1245</f>
        <v>0</v>
      </c>
      <c r="Q1245" s="44"/>
      <c r="R1245" s="45" t="s">
        <v>3963</v>
      </c>
      <c r="S1245" s="45" t="s">
        <v>29</v>
      </c>
      <c r="T1245" s="37" t="str">
        <f>HYPERLINK("https://kanzpp.ru/api/getInfo/image/4f0a1e1a-192d-11f0-a279-00155d82e908")</f>
        <v>https://kanzpp.ru/api/getInfo/image/4f0a1e1a-192d-11f0-a279-00155d82e908</v>
      </c>
      <c r="U1245" s="37"/>
    </row>
    <row r="1246" spans="2:22" ht="21" customHeight="1" outlineLevel="6" x14ac:dyDescent="0.2">
      <c r="B1246" s="36">
        <v>956</v>
      </c>
      <c r="C1246" s="37" t="s">
        <v>3964</v>
      </c>
      <c r="D1246" s="37" t="s">
        <v>3965</v>
      </c>
      <c r="E1246" s="38" t="s">
        <v>3966</v>
      </c>
      <c r="F1246" s="39"/>
      <c r="G1246" s="40"/>
      <c r="H1246" s="40"/>
      <c r="I1246" s="41">
        <v>16</v>
      </c>
      <c r="J1246" s="40" t="s">
        <v>144</v>
      </c>
      <c r="K1246" s="36">
        <v>16</v>
      </c>
      <c r="L1246" s="42">
        <f>(59.2*(1-O3/100))/0.75</f>
        <v>78.933333333333337</v>
      </c>
      <c r="M1246" s="12"/>
      <c r="N1246" s="40">
        <f t="shared" si="61"/>
        <v>0</v>
      </c>
      <c r="O1246" s="43">
        <f>0.245*M1246</f>
        <v>0</v>
      </c>
      <c r="P1246" s="47">
        <f>0.00053*M1246</f>
        <v>0</v>
      </c>
      <c r="Q1246" s="44"/>
      <c r="R1246" s="45" t="s">
        <v>3967</v>
      </c>
      <c r="S1246" s="45" t="s">
        <v>29</v>
      </c>
      <c r="T1246" s="37" t="str">
        <f>HYPERLINK("https://kanzpp.ru/api/getInfo/image/8cafe4e2-4a4b-11ef-a262-00155d82e908")</f>
        <v>https://kanzpp.ru/api/getInfo/image/8cafe4e2-4a4b-11ef-a262-00155d82e908</v>
      </c>
      <c r="U1246" s="37"/>
    </row>
    <row r="1247" spans="2:22" ht="21" customHeight="1" outlineLevel="6" x14ac:dyDescent="0.2">
      <c r="B1247" s="55">
        <v>957</v>
      </c>
      <c r="C1247" s="56" t="s">
        <v>3968</v>
      </c>
      <c r="D1247" s="56" t="s">
        <v>3969</v>
      </c>
      <c r="E1247" s="57" t="s">
        <v>3970</v>
      </c>
      <c r="F1247" s="58"/>
      <c r="G1247" s="59"/>
      <c r="H1247" s="59"/>
      <c r="I1247" s="60">
        <v>16</v>
      </c>
      <c r="J1247" s="59" t="s">
        <v>144</v>
      </c>
      <c r="K1247" s="55">
        <v>16</v>
      </c>
      <c r="L1247" s="61">
        <f>(59.2*(1-O3/100))/0.75</f>
        <v>78.933333333333337</v>
      </c>
      <c r="M1247" s="12"/>
      <c r="N1247" s="59">
        <f t="shared" si="61"/>
        <v>0</v>
      </c>
      <c r="O1247" s="62">
        <f>0.233*M1247</f>
        <v>0</v>
      </c>
      <c r="P1247" s="63">
        <f>0.00065*M1247</f>
        <v>0</v>
      </c>
      <c r="Q1247" s="64" t="s">
        <v>344</v>
      </c>
      <c r="R1247" s="65" t="s">
        <v>3971</v>
      </c>
      <c r="S1247" s="65" t="s">
        <v>29</v>
      </c>
      <c r="T1247" s="56" t="str">
        <f>HYPERLINK("https://kanzpp.ru/api/getInfo/image/2707bdd7-192d-11f0-a279-00155d82e908")</f>
        <v>https://kanzpp.ru/api/getInfo/image/2707bdd7-192d-11f0-a279-00155d82e908</v>
      </c>
      <c r="U1247" s="56"/>
      <c r="V1247" s="66"/>
    </row>
    <row r="1248" spans="2:22" ht="21" customHeight="1" outlineLevel="6" x14ac:dyDescent="0.2">
      <c r="B1248" s="36">
        <v>958</v>
      </c>
      <c r="C1248" s="37" t="s">
        <v>3972</v>
      </c>
      <c r="D1248" s="37" t="s">
        <v>3973</v>
      </c>
      <c r="E1248" s="38" t="s">
        <v>3974</v>
      </c>
      <c r="F1248" s="39"/>
      <c r="G1248" s="40"/>
      <c r="H1248" s="40"/>
      <c r="I1248" s="41">
        <v>16</v>
      </c>
      <c r="J1248" s="50">
        <v>3024</v>
      </c>
      <c r="K1248" s="36">
        <v>16</v>
      </c>
      <c r="L1248" s="42">
        <f>(59.2*(1-O3/100))/0.75</f>
        <v>78.933333333333337</v>
      </c>
      <c r="M1248" s="12"/>
      <c r="N1248" s="40">
        <f t="shared" si="61"/>
        <v>0</v>
      </c>
      <c r="O1248" s="43">
        <f>0.245*M1248</f>
        <v>0</v>
      </c>
      <c r="P1248" s="47">
        <f>0.00053*M1248</f>
        <v>0</v>
      </c>
      <c r="Q1248" s="44"/>
      <c r="R1248" s="45" t="s">
        <v>3975</v>
      </c>
      <c r="S1248" s="45" t="s">
        <v>29</v>
      </c>
      <c r="T1248" s="37" t="str">
        <f>HYPERLINK("https://kanzpp.ru/api/getInfo/image/78630986-192c-11f0-a279-00155d82e908")</f>
        <v>https://kanzpp.ru/api/getInfo/image/78630986-192c-11f0-a279-00155d82e908</v>
      </c>
      <c r="U1248" s="37"/>
    </row>
    <row r="1249" spans="2:22" ht="22.95" customHeight="1" outlineLevel="5" x14ac:dyDescent="0.2">
      <c r="B1249" s="83" t="s">
        <v>3976</v>
      </c>
      <c r="C1249" s="83"/>
      <c r="D1249" s="83"/>
      <c r="L1249">
        <v>0</v>
      </c>
    </row>
    <row r="1250" spans="2:22" ht="22.95" customHeight="1" outlineLevel="6" x14ac:dyDescent="0.2">
      <c r="B1250" s="84" t="s">
        <v>3977</v>
      </c>
      <c r="C1250" s="84"/>
      <c r="D1250" s="84"/>
      <c r="L1250">
        <v>0</v>
      </c>
    </row>
    <row r="1251" spans="2:22" ht="21" customHeight="1" outlineLevel="7" x14ac:dyDescent="0.2">
      <c r="B1251" s="36">
        <v>959</v>
      </c>
      <c r="C1251" s="37" t="s">
        <v>3978</v>
      </c>
      <c r="D1251" s="37" t="s">
        <v>3979</v>
      </c>
      <c r="E1251" s="38" t="s">
        <v>3980</v>
      </c>
      <c r="F1251" s="39"/>
      <c r="G1251" s="40"/>
      <c r="H1251" s="40"/>
      <c r="I1251" s="41">
        <v>16</v>
      </c>
      <c r="J1251" s="50">
        <v>3792</v>
      </c>
      <c r="K1251" s="36">
        <v>16</v>
      </c>
      <c r="L1251" s="42">
        <f>(66.14*(1-O3/100))/0.75</f>
        <v>88.186666666666667</v>
      </c>
      <c r="M1251" s="12"/>
      <c r="N1251" s="40">
        <f t="shared" ref="N1251:N1258" si="62">L1251*M1251</f>
        <v>0</v>
      </c>
      <c r="O1251" s="48">
        <f>0.25*M1251</f>
        <v>0</v>
      </c>
      <c r="P1251" s="46">
        <f>0.0003*M1251</f>
        <v>0</v>
      </c>
      <c r="Q1251" s="44"/>
      <c r="R1251" s="45" t="s">
        <v>3981</v>
      </c>
      <c r="S1251" s="45" t="s">
        <v>29</v>
      </c>
      <c r="T1251" s="37" t="str">
        <f>HYPERLINK("https://kanzpp.ru/api/getInfo/image/c5a22298-2411-11f0-a279-00155d82e908")</f>
        <v>https://kanzpp.ru/api/getInfo/image/c5a22298-2411-11f0-a279-00155d82e908</v>
      </c>
      <c r="U1251" s="37"/>
    </row>
    <row r="1252" spans="2:22" ht="21" customHeight="1" outlineLevel="7" x14ac:dyDescent="0.2">
      <c r="B1252" s="36">
        <v>960</v>
      </c>
      <c r="C1252" s="37" t="s">
        <v>3982</v>
      </c>
      <c r="D1252" s="37" t="s">
        <v>3983</v>
      </c>
      <c r="E1252" s="38" t="s">
        <v>3984</v>
      </c>
      <c r="F1252" s="39"/>
      <c r="G1252" s="40"/>
      <c r="H1252" s="40"/>
      <c r="I1252" s="41">
        <v>16</v>
      </c>
      <c r="J1252" s="40" t="s">
        <v>144</v>
      </c>
      <c r="K1252" s="36">
        <v>16</v>
      </c>
      <c r="L1252" s="42">
        <f>(66.14*(1-O3/100))/0.75</f>
        <v>88.186666666666667</v>
      </c>
      <c r="M1252" s="12"/>
      <c r="N1252" s="40">
        <f t="shared" si="62"/>
        <v>0</v>
      </c>
      <c r="O1252" s="48">
        <f>0.25*M1252</f>
        <v>0</v>
      </c>
      <c r="P1252" s="46">
        <f>0.0003*M1252</f>
        <v>0</v>
      </c>
      <c r="Q1252" s="44"/>
      <c r="R1252" s="45" t="s">
        <v>3985</v>
      </c>
      <c r="S1252" s="45" t="s">
        <v>29</v>
      </c>
      <c r="T1252" s="37" t="str">
        <f>HYPERLINK("https://kanzpp.ru/api/getInfo/image/634a8041-2411-11f0-a279-00155d82e908")</f>
        <v>https://kanzpp.ru/api/getInfo/image/634a8041-2411-11f0-a279-00155d82e908</v>
      </c>
      <c r="U1252" s="37"/>
    </row>
    <row r="1253" spans="2:22" ht="21" customHeight="1" outlineLevel="7" x14ac:dyDescent="0.2">
      <c r="B1253" s="36">
        <v>961</v>
      </c>
      <c r="C1253" s="37" t="s">
        <v>3986</v>
      </c>
      <c r="D1253" s="37" t="s">
        <v>3987</v>
      </c>
      <c r="E1253" s="38" t="s">
        <v>3988</v>
      </c>
      <c r="F1253" s="39"/>
      <c r="G1253" s="40"/>
      <c r="H1253" s="40"/>
      <c r="I1253" s="41">
        <v>16</v>
      </c>
      <c r="J1253" s="40" t="s">
        <v>144</v>
      </c>
      <c r="K1253" s="36">
        <v>16</v>
      </c>
      <c r="L1253" s="42">
        <f>(66.14*(1-O3/100))/0.75</f>
        <v>88.186666666666667</v>
      </c>
      <c r="M1253" s="12"/>
      <c r="N1253" s="40">
        <f t="shared" si="62"/>
        <v>0</v>
      </c>
      <c r="O1253" s="48">
        <f>0.25*M1253</f>
        <v>0</v>
      </c>
      <c r="P1253" s="46">
        <f>0.0003*M1253</f>
        <v>0</v>
      </c>
      <c r="Q1253" s="44"/>
      <c r="R1253" s="45" t="s">
        <v>3989</v>
      </c>
      <c r="S1253" s="45" t="s">
        <v>29</v>
      </c>
      <c r="T1253" s="37" t="str">
        <f>HYPERLINK("https://kanzpp.ru/api/getInfo/image/33c9acb3-2411-11f0-a279-00155d82e908")</f>
        <v>https://kanzpp.ru/api/getInfo/image/33c9acb3-2411-11f0-a279-00155d82e908</v>
      </c>
      <c r="U1253" s="37"/>
    </row>
    <row r="1254" spans="2:22" ht="21" customHeight="1" outlineLevel="7" x14ac:dyDescent="0.2">
      <c r="B1254" s="55">
        <v>962</v>
      </c>
      <c r="C1254" s="56" t="s">
        <v>3990</v>
      </c>
      <c r="D1254" s="56" t="s">
        <v>3991</v>
      </c>
      <c r="E1254" s="57" t="s">
        <v>3992</v>
      </c>
      <c r="F1254" s="58"/>
      <c r="G1254" s="59"/>
      <c r="H1254" s="59"/>
      <c r="I1254" s="60">
        <v>16</v>
      </c>
      <c r="J1254" s="59" t="s">
        <v>144</v>
      </c>
      <c r="K1254" s="55">
        <v>16</v>
      </c>
      <c r="L1254" s="61">
        <f>(66.14*(1-O3/100))/0.75</f>
        <v>88.186666666666667</v>
      </c>
      <c r="M1254" s="12"/>
      <c r="N1254" s="59">
        <f t="shared" si="62"/>
        <v>0</v>
      </c>
      <c r="O1254" s="62">
        <f>0.253*M1254</f>
        <v>0</v>
      </c>
      <c r="P1254" s="63">
        <f>0.00053*M1254</f>
        <v>0</v>
      </c>
      <c r="Q1254" s="64" t="s">
        <v>344</v>
      </c>
      <c r="R1254" s="65" t="s">
        <v>3993</v>
      </c>
      <c r="S1254" s="65" t="s">
        <v>29</v>
      </c>
      <c r="T1254" s="56" t="str">
        <f>HYPERLINK("https://kanzpp.ru/api/getInfo/image/085fa165-2411-11f0-a279-00155d82e908")</f>
        <v>https://kanzpp.ru/api/getInfo/image/085fa165-2411-11f0-a279-00155d82e908</v>
      </c>
      <c r="U1254" s="56"/>
      <c r="V1254" s="66"/>
    </row>
    <row r="1255" spans="2:22" ht="21" customHeight="1" outlineLevel="7" x14ac:dyDescent="0.2">
      <c r="B1255" s="36">
        <v>963</v>
      </c>
      <c r="C1255" s="37" t="s">
        <v>3994</v>
      </c>
      <c r="D1255" s="37" t="s">
        <v>3995</v>
      </c>
      <c r="E1255" s="38" t="s">
        <v>3996</v>
      </c>
      <c r="F1255" s="39"/>
      <c r="G1255" s="40"/>
      <c r="H1255" s="40"/>
      <c r="I1255" s="41">
        <v>16</v>
      </c>
      <c r="J1255" s="40" t="s">
        <v>144</v>
      </c>
      <c r="K1255" s="36">
        <v>16</v>
      </c>
      <c r="L1255" s="42">
        <f>(66.14*(1-O3/100))/0.75</f>
        <v>88.186666666666667</v>
      </c>
      <c r="M1255" s="12"/>
      <c r="N1255" s="40">
        <f t="shared" si="62"/>
        <v>0</v>
      </c>
      <c r="O1255" s="43">
        <f>0.255*M1255</f>
        <v>0</v>
      </c>
      <c r="P1255" s="47">
        <f>0.00059*M1255</f>
        <v>0</v>
      </c>
      <c r="Q1255" s="44"/>
      <c r="R1255" s="45" t="s">
        <v>3997</v>
      </c>
      <c r="S1255" s="45" t="s">
        <v>29</v>
      </c>
      <c r="T1255" s="37" t="str">
        <f>HYPERLINK("https://kanzpp.ru/api/getInfo/image/d4f532c9-2410-11f0-a279-00155d82e908")</f>
        <v>https://kanzpp.ru/api/getInfo/image/d4f532c9-2410-11f0-a279-00155d82e908</v>
      </c>
      <c r="U1255" s="37"/>
    </row>
    <row r="1256" spans="2:22" ht="21" customHeight="1" outlineLevel="7" x14ac:dyDescent="0.2">
      <c r="B1256" s="55">
        <v>964</v>
      </c>
      <c r="C1256" s="56" t="s">
        <v>3998</v>
      </c>
      <c r="D1256" s="56" t="s">
        <v>3999</v>
      </c>
      <c r="E1256" s="57" t="s">
        <v>4000</v>
      </c>
      <c r="F1256" s="58"/>
      <c r="G1256" s="59"/>
      <c r="H1256" s="59"/>
      <c r="I1256" s="60">
        <v>16</v>
      </c>
      <c r="J1256" s="59" t="s">
        <v>144</v>
      </c>
      <c r="K1256" s="55">
        <v>16</v>
      </c>
      <c r="L1256" s="61">
        <f>(66.14*(1-O3/100))/0.75</f>
        <v>88.186666666666667</v>
      </c>
      <c r="M1256" s="12"/>
      <c r="N1256" s="59">
        <f t="shared" si="62"/>
        <v>0</v>
      </c>
      <c r="O1256" s="62">
        <f>0.253*M1256</f>
        <v>0</v>
      </c>
      <c r="P1256" s="63">
        <f>0.00053*M1256</f>
        <v>0</v>
      </c>
      <c r="Q1256" s="64" t="s">
        <v>344</v>
      </c>
      <c r="R1256" s="65" t="s">
        <v>4001</v>
      </c>
      <c r="S1256" s="65" t="s">
        <v>29</v>
      </c>
      <c r="T1256" s="56" t="str">
        <f>HYPERLINK("https://kanzpp.ru/api/getInfo/image/4c49d09d-da61-11f0-a28c-00155d82e908")</f>
        <v>https://kanzpp.ru/api/getInfo/image/4c49d09d-da61-11f0-a28c-00155d82e908</v>
      </c>
      <c r="U1256" s="56"/>
      <c r="V1256" s="66"/>
    </row>
    <row r="1257" spans="2:22" ht="21" customHeight="1" outlineLevel="7" x14ac:dyDescent="0.2">
      <c r="B1257" s="55">
        <v>965</v>
      </c>
      <c r="C1257" s="56" t="s">
        <v>4002</v>
      </c>
      <c r="D1257" s="56" t="s">
        <v>4003</v>
      </c>
      <c r="E1257" s="57" t="s">
        <v>4004</v>
      </c>
      <c r="F1257" s="58"/>
      <c r="G1257" s="59"/>
      <c r="H1257" s="59"/>
      <c r="I1257" s="60">
        <v>16</v>
      </c>
      <c r="J1257" s="59" t="s">
        <v>144</v>
      </c>
      <c r="K1257" s="55">
        <v>16</v>
      </c>
      <c r="L1257" s="61">
        <f>(66.14*(1-O3/100))/0.75</f>
        <v>88.186666666666667</v>
      </c>
      <c r="M1257" s="12"/>
      <c r="N1257" s="59">
        <f t="shared" si="62"/>
        <v>0</v>
      </c>
      <c r="O1257" s="62">
        <f>0.253*M1257</f>
        <v>0</v>
      </c>
      <c r="P1257" s="63">
        <f>0.00053*M1257</f>
        <v>0</v>
      </c>
      <c r="Q1257" s="64" t="s">
        <v>344</v>
      </c>
      <c r="R1257" s="65" t="s">
        <v>4005</v>
      </c>
      <c r="S1257" s="65" t="s">
        <v>29</v>
      </c>
      <c r="T1257" s="56" t="str">
        <f>HYPERLINK("https://kanzpp.ru/api/getInfo/image/9015fc2e-1ece-11f1-a290-00155d82e908")</f>
        <v>https://kanzpp.ru/api/getInfo/image/9015fc2e-1ece-11f1-a290-00155d82e908</v>
      </c>
      <c r="U1257" s="56"/>
      <c r="V1257" s="66"/>
    </row>
    <row r="1258" spans="2:22" ht="21" customHeight="1" outlineLevel="7" x14ac:dyDescent="0.2">
      <c r="B1258" s="36">
        <v>966</v>
      </c>
      <c r="C1258" s="37" t="s">
        <v>4006</v>
      </c>
      <c r="D1258" s="37" t="s">
        <v>4007</v>
      </c>
      <c r="E1258" s="38" t="s">
        <v>4008</v>
      </c>
      <c r="F1258" s="39"/>
      <c r="G1258" s="40"/>
      <c r="H1258" s="40"/>
      <c r="I1258" s="41">
        <v>16</v>
      </c>
      <c r="J1258" s="40" t="s">
        <v>144</v>
      </c>
      <c r="K1258" s="36">
        <v>16</v>
      </c>
      <c r="L1258" s="42">
        <f>(66.14*(1-O3/100))/0.75</f>
        <v>88.186666666666667</v>
      </c>
      <c r="M1258" s="12"/>
      <c r="N1258" s="40">
        <f t="shared" si="62"/>
        <v>0</v>
      </c>
      <c r="O1258" s="48">
        <f>0.25*M1258</f>
        <v>0</v>
      </c>
      <c r="P1258" s="46">
        <f>0.0003*M1258</f>
        <v>0</v>
      </c>
      <c r="Q1258" s="44"/>
      <c r="R1258" s="45" t="s">
        <v>4009</v>
      </c>
      <c r="S1258" s="45" t="s">
        <v>29</v>
      </c>
      <c r="T1258" s="37" t="str">
        <f>HYPERLINK("https://kanzpp.ru/api/getInfo/image/1cd7df02-2412-11f0-a279-00155d82e908")</f>
        <v>https://kanzpp.ru/api/getInfo/image/1cd7df02-2412-11f0-a279-00155d82e908</v>
      </c>
      <c r="U1258" s="37"/>
    </row>
    <row r="1259" spans="2:22" ht="22.95" customHeight="1" outlineLevel="6" x14ac:dyDescent="0.2">
      <c r="B1259" s="84" t="s">
        <v>4010</v>
      </c>
      <c r="C1259" s="84"/>
      <c r="D1259" s="84"/>
      <c r="L1259">
        <v>0</v>
      </c>
    </row>
    <row r="1260" spans="2:22" ht="22.95" customHeight="1" outlineLevel="7" x14ac:dyDescent="0.2">
      <c r="B1260" s="85" t="s">
        <v>4011</v>
      </c>
      <c r="C1260" s="85"/>
      <c r="D1260" s="85"/>
      <c r="L1260">
        <v>0</v>
      </c>
    </row>
    <row r="1261" spans="2:22" ht="21" customHeight="1" outlineLevel="7" x14ac:dyDescent="0.2">
      <c r="B1261" s="36">
        <v>967</v>
      </c>
      <c r="C1261" s="37" t="s">
        <v>4012</v>
      </c>
      <c r="D1261" s="37" t="s">
        <v>4013</v>
      </c>
      <c r="E1261" s="38" t="s">
        <v>4014</v>
      </c>
      <c r="F1261" s="39"/>
      <c r="G1261" s="40"/>
      <c r="H1261" s="41">
        <v>48</v>
      </c>
      <c r="I1261" s="41">
        <v>6</v>
      </c>
      <c r="J1261" s="50">
        <v>4272</v>
      </c>
      <c r="K1261" s="36">
        <v>48</v>
      </c>
      <c r="L1261" s="42">
        <f>(70.69*(1-O3/100))/0.75</f>
        <v>94.25333333333333</v>
      </c>
      <c r="M1261" s="12"/>
      <c r="N1261" s="40">
        <f>L1261*M1261</f>
        <v>0</v>
      </c>
      <c r="O1261" s="43">
        <f>0.252*M1261</f>
        <v>0</v>
      </c>
      <c r="P1261" s="47">
        <f>0.00048*M1261</f>
        <v>0</v>
      </c>
      <c r="Q1261" s="44"/>
      <c r="R1261" s="45" t="s">
        <v>4015</v>
      </c>
      <c r="S1261" s="45" t="s">
        <v>29</v>
      </c>
      <c r="T1261" s="37" t="str">
        <f>HYPERLINK("https://kanzpp.ru/api/getInfo/image/0aa9ba17-324d-11f0-a27c-00155d82e908")</f>
        <v>https://kanzpp.ru/api/getInfo/image/0aa9ba17-324d-11f0-a27c-00155d82e908</v>
      </c>
      <c r="U1261" s="37"/>
    </row>
    <row r="1262" spans="2:22" ht="21" customHeight="1" outlineLevel="7" x14ac:dyDescent="0.2">
      <c r="B1262" s="55">
        <v>968</v>
      </c>
      <c r="C1262" s="56" t="s">
        <v>4016</v>
      </c>
      <c r="D1262" s="56" t="s">
        <v>4017</v>
      </c>
      <c r="E1262" s="57" t="s">
        <v>4018</v>
      </c>
      <c r="F1262" s="58"/>
      <c r="G1262" s="59"/>
      <c r="H1262" s="60">
        <v>48</v>
      </c>
      <c r="I1262" s="60">
        <v>6</v>
      </c>
      <c r="J1262" s="59" t="s">
        <v>144</v>
      </c>
      <c r="K1262" s="55">
        <v>48</v>
      </c>
      <c r="L1262" s="61">
        <f>(70.69*(1-O3/100))/0.75</f>
        <v>94.25333333333333</v>
      </c>
      <c r="M1262" s="12"/>
      <c r="N1262" s="59">
        <f>L1262*M1262</f>
        <v>0</v>
      </c>
      <c r="O1262" s="62">
        <f>0.255*M1262</f>
        <v>0</v>
      </c>
      <c r="P1262" s="63">
        <f>0.00035*M1262</f>
        <v>0</v>
      </c>
      <c r="Q1262" s="64" t="s">
        <v>344</v>
      </c>
      <c r="R1262" s="65" t="s">
        <v>4019</v>
      </c>
      <c r="S1262" s="65" t="s">
        <v>29</v>
      </c>
      <c r="T1262" s="56" t="str">
        <f>HYPERLINK("https://kanzpp.ru/api/getInfo/image/1cd68abd-da62-11f0-a28c-00155d82e908")</f>
        <v>https://kanzpp.ru/api/getInfo/image/1cd68abd-da62-11f0-a28c-00155d82e908</v>
      </c>
      <c r="U1262" s="56"/>
      <c r="V1262" s="66"/>
    </row>
    <row r="1263" spans="2:22" ht="21" customHeight="1" outlineLevel="7" x14ac:dyDescent="0.2">
      <c r="B1263" s="55">
        <v>969</v>
      </c>
      <c r="C1263" s="56" t="s">
        <v>4020</v>
      </c>
      <c r="D1263" s="56" t="s">
        <v>4021</v>
      </c>
      <c r="E1263" s="57" t="s">
        <v>4022</v>
      </c>
      <c r="F1263" s="58"/>
      <c r="G1263" s="59"/>
      <c r="H1263" s="60">
        <v>48</v>
      </c>
      <c r="I1263" s="60">
        <v>6</v>
      </c>
      <c r="J1263" s="59" t="s">
        <v>144</v>
      </c>
      <c r="K1263" s="55">
        <v>48</v>
      </c>
      <c r="L1263" s="61">
        <f>(70.69*(1-O3/100))/0.75</f>
        <v>94.25333333333333</v>
      </c>
      <c r="M1263" s="12"/>
      <c r="N1263" s="59">
        <f>L1263*M1263</f>
        <v>0</v>
      </c>
      <c r="O1263" s="62">
        <f>0.255*M1263</f>
        <v>0</v>
      </c>
      <c r="P1263" s="63">
        <f>0.00035*M1263</f>
        <v>0</v>
      </c>
      <c r="Q1263" s="64" t="s">
        <v>344</v>
      </c>
      <c r="R1263" s="65" t="s">
        <v>4023</v>
      </c>
      <c r="S1263" s="65" t="s">
        <v>29</v>
      </c>
      <c r="T1263" s="56" t="str">
        <f>HYPERLINK("https://kanzpp.ru/api/getInfo/image/008b881b-324c-11f0-a27c-00155d82e908")</f>
        <v>https://kanzpp.ru/api/getInfo/image/008b881b-324c-11f0-a27c-00155d82e908</v>
      </c>
      <c r="U1263" s="56"/>
      <c r="V1263" s="66"/>
    </row>
    <row r="1264" spans="2:22" ht="22.95" customHeight="1" outlineLevel="7" x14ac:dyDescent="0.2">
      <c r="B1264" s="85" t="s">
        <v>4024</v>
      </c>
      <c r="C1264" s="85"/>
      <c r="D1264" s="85"/>
      <c r="L1264">
        <v>0</v>
      </c>
    </row>
    <row r="1265" spans="2:22" ht="21" customHeight="1" outlineLevel="7" x14ac:dyDescent="0.2">
      <c r="B1265" s="5">
        <v>970</v>
      </c>
      <c r="C1265" s="6" t="s">
        <v>4025</v>
      </c>
      <c r="D1265" s="6" t="s">
        <v>4026</v>
      </c>
      <c r="E1265" s="7" t="s">
        <v>4027</v>
      </c>
      <c r="F1265" s="13"/>
      <c r="G1265" s="14"/>
      <c r="H1265" s="15">
        <v>40</v>
      </c>
      <c r="I1265" s="15">
        <v>10</v>
      </c>
      <c r="J1265" s="15">
        <v>20</v>
      </c>
      <c r="K1265" s="5">
        <v>10</v>
      </c>
      <c r="L1265" s="16">
        <v>25.333333333333332</v>
      </c>
      <c r="M1265" s="12"/>
      <c r="N1265" s="14">
        <f>L1265*M1265</f>
        <v>0</v>
      </c>
      <c r="O1265" s="28">
        <f>0.25*M1265</f>
        <v>0</v>
      </c>
      <c r="P1265" s="24">
        <f>0.00036*M1265</f>
        <v>0</v>
      </c>
      <c r="Q1265" s="25"/>
      <c r="R1265" s="26" t="s">
        <v>4028</v>
      </c>
      <c r="S1265" s="26" t="s">
        <v>29</v>
      </c>
      <c r="T1265" s="6" t="str">
        <f>HYPERLINK("https://kanzpp.ru/api/getInfo/image/3fbd285d-ab80-11ed-a230-00155d82e902")</f>
        <v>https://kanzpp.ru/api/getInfo/image/3fbd285d-ab80-11ed-a230-00155d82e902</v>
      </c>
      <c r="U1265" s="6"/>
      <c r="V1265" s="33" t="s">
        <v>35</v>
      </c>
    </row>
    <row r="1266" spans="2:22" ht="22.95" customHeight="1" outlineLevel="4" x14ac:dyDescent="0.2">
      <c r="B1266" s="82" t="s">
        <v>3811</v>
      </c>
      <c r="C1266" s="82"/>
      <c r="D1266" s="82"/>
      <c r="L1266">
        <v>0</v>
      </c>
    </row>
    <row r="1267" spans="2:22" ht="22.95" customHeight="1" outlineLevel="5" x14ac:dyDescent="0.2">
      <c r="B1267" s="83" t="s">
        <v>4029</v>
      </c>
      <c r="C1267" s="83"/>
      <c r="D1267" s="83"/>
      <c r="L1267">
        <v>0</v>
      </c>
    </row>
    <row r="1268" spans="2:22" ht="22.95" customHeight="1" outlineLevel="6" x14ac:dyDescent="0.2">
      <c r="B1268" s="84" t="s">
        <v>4030</v>
      </c>
      <c r="C1268" s="84"/>
      <c r="D1268" s="84"/>
      <c r="L1268">
        <v>0</v>
      </c>
    </row>
    <row r="1269" spans="2:22" ht="22.95" customHeight="1" outlineLevel="7" x14ac:dyDescent="0.2">
      <c r="B1269" s="85" t="s">
        <v>4031</v>
      </c>
      <c r="C1269" s="85"/>
      <c r="D1269" s="85"/>
      <c r="L1269">
        <v>0</v>
      </c>
    </row>
    <row r="1270" spans="2:22" ht="21" customHeight="1" outlineLevel="7" x14ac:dyDescent="0.2">
      <c r="B1270" s="36">
        <v>971</v>
      </c>
      <c r="C1270" s="37" t="s">
        <v>4032</v>
      </c>
      <c r="D1270" s="37" t="s">
        <v>4033</v>
      </c>
      <c r="E1270" s="38" t="s">
        <v>4034</v>
      </c>
      <c r="F1270" s="39"/>
      <c r="G1270" s="40"/>
      <c r="H1270" s="41">
        <v>20</v>
      </c>
      <c r="I1270" s="41">
        <v>2</v>
      </c>
      <c r="J1270" s="41">
        <v>401</v>
      </c>
      <c r="K1270" s="36">
        <v>20</v>
      </c>
      <c r="L1270" s="42">
        <f>(79.32*(1-O3/100))/0.75</f>
        <v>105.75999999999999</v>
      </c>
      <c r="M1270" s="12"/>
      <c r="N1270" s="40">
        <f>L1270*M1270</f>
        <v>0</v>
      </c>
      <c r="O1270" s="43">
        <f>0.503*M1270</f>
        <v>0</v>
      </c>
      <c r="P1270" s="47">
        <f>0.00077*M1270</f>
        <v>0</v>
      </c>
      <c r="Q1270" s="44"/>
      <c r="R1270" s="45" t="s">
        <v>4035</v>
      </c>
      <c r="S1270" s="45" t="s">
        <v>29</v>
      </c>
      <c r="T1270" s="37" t="str">
        <f>HYPERLINK("https://kanzpp.ru/api/getInfo/image/520625e7-cac6-11f0-a28a-00155d82e908")</f>
        <v>https://kanzpp.ru/api/getInfo/image/520625e7-cac6-11f0-a28a-00155d82e908</v>
      </c>
      <c r="U1270" s="37"/>
    </row>
    <row r="1271" spans="2:22" ht="22.95" customHeight="1" outlineLevel="6" x14ac:dyDescent="0.2">
      <c r="B1271" s="84" t="s">
        <v>4036</v>
      </c>
      <c r="C1271" s="84"/>
      <c r="D1271" s="84"/>
      <c r="L1271">
        <v>0</v>
      </c>
    </row>
    <row r="1272" spans="2:22" ht="22.95" customHeight="1" outlineLevel="7" x14ac:dyDescent="0.2">
      <c r="B1272" s="85" t="s">
        <v>4037</v>
      </c>
      <c r="C1272" s="85"/>
      <c r="D1272" s="85"/>
      <c r="L1272">
        <v>0</v>
      </c>
    </row>
    <row r="1273" spans="2:22" ht="21" customHeight="1" outlineLevel="7" x14ac:dyDescent="0.2">
      <c r="B1273" s="36">
        <v>972</v>
      </c>
      <c r="C1273" s="37" t="s">
        <v>4038</v>
      </c>
      <c r="D1273" s="37" t="s">
        <v>4039</v>
      </c>
      <c r="E1273" s="38" t="s">
        <v>4040</v>
      </c>
      <c r="F1273" s="39"/>
      <c r="G1273" s="40"/>
      <c r="H1273" s="41">
        <v>40</v>
      </c>
      <c r="I1273" s="41">
        <v>10</v>
      </c>
      <c r="J1273" s="50">
        <v>3146</v>
      </c>
      <c r="K1273" s="36">
        <v>10</v>
      </c>
      <c r="L1273" s="42">
        <f>(87.65*(1-O3/100))/0.75</f>
        <v>116.86666666666667</v>
      </c>
      <c r="M1273" s="12"/>
      <c r="N1273" s="40">
        <f>L1273*M1273</f>
        <v>0</v>
      </c>
      <c r="O1273" s="43">
        <f>0.253*M1273</f>
        <v>0</v>
      </c>
      <c r="P1273" s="47">
        <f>0.00046*M1273</f>
        <v>0</v>
      </c>
      <c r="Q1273" s="44"/>
      <c r="R1273" s="45" t="s">
        <v>4041</v>
      </c>
      <c r="S1273" s="45" t="s">
        <v>29</v>
      </c>
      <c r="T1273" s="37" t="str">
        <f>HYPERLINK("https://kanzpp.ru/api/getInfo/image/0d16b575-240a-11f0-a279-00155d82e908")</f>
        <v>https://kanzpp.ru/api/getInfo/image/0d16b575-240a-11f0-a279-00155d82e908</v>
      </c>
      <c r="U1273" s="37"/>
    </row>
    <row r="1274" spans="2:22" ht="21" customHeight="1" outlineLevel="7" x14ac:dyDescent="0.2">
      <c r="B1274" s="36">
        <v>973</v>
      </c>
      <c r="C1274" s="37" t="s">
        <v>4042</v>
      </c>
      <c r="D1274" s="37" t="s">
        <v>4043</v>
      </c>
      <c r="E1274" s="38" t="s">
        <v>4044</v>
      </c>
      <c r="F1274" s="39"/>
      <c r="G1274" s="40"/>
      <c r="H1274" s="41">
        <v>40</v>
      </c>
      <c r="I1274" s="41">
        <v>10</v>
      </c>
      <c r="J1274" s="50">
        <v>3900</v>
      </c>
      <c r="K1274" s="36">
        <v>10</v>
      </c>
      <c r="L1274" s="42">
        <f>(87.65*(1-O3/100))/0.75</f>
        <v>116.86666666666667</v>
      </c>
      <c r="M1274" s="12"/>
      <c r="N1274" s="40">
        <f>L1274*M1274</f>
        <v>0</v>
      </c>
      <c r="O1274" s="43">
        <f>0.247*M1274</f>
        <v>0</v>
      </c>
      <c r="P1274" s="47">
        <f>0.00035*M1274</f>
        <v>0</v>
      </c>
      <c r="Q1274" s="44"/>
      <c r="R1274" s="45" t="s">
        <v>4045</v>
      </c>
      <c r="S1274" s="45" t="s">
        <v>29</v>
      </c>
      <c r="T1274" s="37" t="str">
        <f>HYPERLINK("https://kanzpp.ru/api/getInfo/image/b23721de-6c7d-11f0-a283-00155d82e908")</f>
        <v>https://kanzpp.ru/api/getInfo/image/b23721de-6c7d-11f0-a283-00155d82e908</v>
      </c>
      <c r="U1274" s="37"/>
    </row>
    <row r="1275" spans="2:22" ht="21" customHeight="1" outlineLevel="7" x14ac:dyDescent="0.2">
      <c r="B1275" s="36">
        <v>974</v>
      </c>
      <c r="C1275" s="37" t="s">
        <v>4046</v>
      </c>
      <c r="D1275" s="37" t="s">
        <v>4047</v>
      </c>
      <c r="E1275" s="38" t="s">
        <v>4048</v>
      </c>
      <c r="F1275" s="39"/>
      <c r="G1275" s="40"/>
      <c r="H1275" s="41">
        <v>40</v>
      </c>
      <c r="I1275" s="41">
        <v>10</v>
      </c>
      <c r="J1275" s="50">
        <v>1866</v>
      </c>
      <c r="K1275" s="36">
        <v>10</v>
      </c>
      <c r="L1275" s="42">
        <f>(87.65*(1-O3/100))/0.75</f>
        <v>116.86666666666667</v>
      </c>
      <c r="M1275" s="12"/>
      <c r="N1275" s="40">
        <f>L1275*M1275</f>
        <v>0</v>
      </c>
      <c r="O1275" s="43">
        <f>0.139*M1275</f>
        <v>0</v>
      </c>
      <c r="P1275" s="47">
        <f>0.00018*M1275</f>
        <v>0</v>
      </c>
      <c r="Q1275" s="44"/>
      <c r="R1275" s="45" t="s">
        <v>4049</v>
      </c>
      <c r="S1275" s="45" t="s">
        <v>29</v>
      </c>
      <c r="T1275" s="37" t="str">
        <f>HYPERLINK("https://kanzpp.ru/api/getInfo/image/8468583e-da62-11f0-a28c-00155d82e908")</f>
        <v>https://kanzpp.ru/api/getInfo/image/8468583e-da62-11f0-a28c-00155d82e908</v>
      </c>
      <c r="U1275" s="37"/>
    </row>
    <row r="1276" spans="2:22" ht="22.95" customHeight="1" outlineLevel="7" x14ac:dyDescent="0.2">
      <c r="B1276" s="85" t="s">
        <v>4050</v>
      </c>
      <c r="C1276" s="85"/>
      <c r="D1276" s="85"/>
      <c r="L1276">
        <v>0</v>
      </c>
    </row>
    <row r="1277" spans="2:22" ht="21" customHeight="1" outlineLevel="7" x14ac:dyDescent="0.2">
      <c r="B1277" s="36">
        <v>975</v>
      </c>
      <c r="C1277" s="37" t="s">
        <v>4051</v>
      </c>
      <c r="D1277" s="37" t="s">
        <v>4052</v>
      </c>
      <c r="E1277" s="38" t="s">
        <v>4053</v>
      </c>
      <c r="F1277" s="39"/>
      <c r="G1277" s="40"/>
      <c r="H1277" s="41">
        <v>30</v>
      </c>
      <c r="I1277" s="41">
        <v>5</v>
      </c>
      <c r="J1277" s="50">
        <v>1349</v>
      </c>
      <c r="K1277" s="36">
        <v>30</v>
      </c>
      <c r="L1277" s="42">
        <f>(87.65*(1-O3/100))/0.75</f>
        <v>116.86666666666667</v>
      </c>
      <c r="M1277" s="12"/>
      <c r="N1277" s="40">
        <f>L1277*M1277</f>
        <v>0</v>
      </c>
      <c r="O1277" s="43">
        <f>0.249*M1277</f>
        <v>0</v>
      </c>
      <c r="P1277" s="47">
        <f>0.00035*M1277</f>
        <v>0</v>
      </c>
      <c r="Q1277" s="44"/>
      <c r="R1277" s="45" t="s">
        <v>4054</v>
      </c>
      <c r="S1277" s="45" t="s">
        <v>29</v>
      </c>
      <c r="T1277" s="37" t="str">
        <f>HYPERLINK("https://kanzpp.ru/api/getInfo/image/14e75a7e-3632-11f0-a27c-00155d82e908")</f>
        <v>https://kanzpp.ru/api/getInfo/image/14e75a7e-3632-11f0-a27c-00155d82e908</v>
      </c>
      <c r="U1277" s="37"/>
    </row>
    <row r="1278" spans="2:22" ht="22.95" customHeight="1" outlineLevel="5" x14ac:dyDescent="0.2">
      <c r="B1278" s="83" t="s">
        <v>4055</v>
      </c>
      <c r="C1278" s="83"/>
      <c r="D1278" s="83"/>
      <c r="L1278">
        <v>0</v>
      </c>
    </row>
    <row r="1279" spans="2:22" ht="22.95" customHeight="1" outlineLevel="6" x14ac:dyDescent="0.2">
      <c r="B1279" s="84" t="s">
        <v>4056</v>
      </c>
      <c r="C1279" s="84"/>
      <c r="D1279" s="84"/>
      <c r="L1279">
        <v>0</v>
      </c>
    </row>
    <row r="1280" spans="2:22" ht="21" customHeight="1" outlineLevel="7" x14ac:dyDescent="0.2">
      <c r="B1280" s="36">
        <v>976</v>
      </c>
      <c r="C1280" s="37" t="s">
        <v>4057</v>
      </c>
      <c r="D1280" s="37" t="s">
        <v>4058</v>
      </c>
      <c r="E1280" s="38" t="s">
        <v>4059</v>
      </c>
      <c r="F1280" s="39"/>
      <c r="G1280" s="40"/>
      <c r="H1280" s="41">
        <v>20</v>
      </c>
      <c r="I1280" s="41">
        <v>2</v>
      </c>
      <c r="J1280" s="41">
        <v>65</v>
      </c>
      <c r="K1280" s="36">
        <v>20</v>
      </c>
      <c r="L1280" s="42">
        <f>(115.42*(1-O3/100))/0.75</f>
        <v>153.89333333333335</v>
      </c>
      <c r="M1280" s="12"/>
      <c r="N1280" s="40">
        <f>L1280*M1280</f>
        <v>0</v>
      </c>
      <c r="O1280" s="43">
        <f>0.365*M1280</f>
        <v>0</v>
      </c>
      <c r="P1280" s="47">
        <f>0.00048*M1280</f>
        <v>0</v>
      </c>
      <c r="Q1280" s="44"/>
      <c r="R1280" s="45" t="s">
        <v>4060</v>
      </c>
      <c r="S1280" s="45" t="s">
        <v>29</v>
      </c>
      <c r="T1280" s="37" t="str">
        <f>HYPERLINK("https://kanzpp.ru/api/getInfo/image/9c26bc6f-6c7f-11f0-a283-00155d82e908")</f>
        <v>https://kanzpp.ru/api/getInfo/image/9c26bc6f-6c7f-11f0-a283-00155d82e908</v>
      </c>
      <c r="U1280" s="37"/>
    </row>
    <row r="1281" spans="2:22" ht="22.95" customHeight="1" outlineLevel="4" x14ac:dyDescent="0.2">
      <c r="B1281" s="82" t="s">
        <v>3770</v>
      </c>
      <c r="C1281" s="82"/>
      <c r="D1281" s="82"/>
      <c r="L1281">
        <v>0</v>
      </c>
    </row>
    <row r="1282" spans="2:22" ht="22.95" customHeight="1" outlineLevel="5" x14ac:dyDescent="0.2">
      <c r="B1282" s="83" t="s">
        <v>4061</v>
      </c>
      <c r="C1282" s="83"/>
      <c r="D1282" s="83"/>
      <c r="L1282">
        <v>0</v>
      </c>
    </row>
    <row r="1283" spans="2:22" ht="22.95" customHeight="1" outlineLevel="6" x14ac:dyDescent="0.2">
      <c r="B1283" s="84" t="s">
        <v>4062</v>
      </c>
      <c r="C1283" s="84"/>
      <c r="D1283" s="84"/>
      <c r="L1283">
        <v>0</v>
      </c>
    </row>
    <row r="1284" spans="2:22" ht="21" customHeight="1" outlineLevel="7" x14ac:dyDescent="0.2">
      <c r="B1284" s="36">
        <v>977</v>
      </c>
      <c r="C1284" s="37" t="s">
        <v>4063</v>
      </c>
      <c r="D1284" s="37" t="s">
        <v>4064</v>
      </c>
      <c r="E1284" s="38" t="s">
        <v>4065</v>
      </c>
      <c r="F1284" s="39"/>
      <c r="G1284" s="40"/>
      <c r="H1284" s="40"/>
      <c r="I1284" s="41">
        <v>20</v>
      </c>
      <c r="J1284" s="41">
        <v>137</v>
      </c>
      <c r="K1284" s="36">
        <v>20</v>
      </c>
      <c r="L1284" s="42">
        <f>(75.77*(1-O3/100))/0.75</f>
        <v>101.02666666666666</v>
      </c>
      <c r="M1284" s="12"/>
      <c r="N1284" s="40">
        <f>L1284*M1284</f>
        <v>0</v>
      </c>
      <c r="O1284" s="48">
        <f>0.25*M1284</f>
        <v>0</v>
      </c>
      <c r="P1284" s="47">
        <f>0.00023*M1284</f>
        <v>0</v>
      </c>
      <c r="Q1284" s="44"/>
      <c r="R1284" s="45" t="s">
        <v>4066</v>
      </c>
      <c r="S1284" s="45" t="s">
        <v>29</v>
      </c>
      <c r="T1284" s="37" t="str">
        <f>HYPERLINK("https://kanzpp.ru/api/getInfo/image/3d90486e-7f48-11f0-a284-00155d82e908")</f>
        <v>https://kanzpp.ru/api/getInfo/image/3d90486e-7f48-11f0-a284-00155d82e908</v>
      </c>
      <c r="U1284" s="37"/>
    </row>
    <row r="1285" spans="2:22" ht="21" customHeight="1" outlineLevel="7" x14ac:dyDescent="0.2">
      <c r="B1285" s="36">
        <v>978</v>
      </c>
      <c r="C1285" s="37" t="s">
        <v>4067</v>
      </c>
      <c r="D1285" s="37" t="s">
        <v>4068</v>
      </c>
      <c r="E1285" s="38" t="s">
        <v>4069</v>
      </c>
      <c r="F1285" s="39"/>
      <c r="G1285" s="40"/>
      <c r="H1285" s="40"/>
      <c r="I1285" s="41">
        <v>20</v>
      </c>
      <c r="J1285" s="41">
        <v>21</v>
      </c>
      <c r="K1285" s="36">
        <v>20</v>
      </c>
      <c r="L1285" s="42">
        <f>(75.77*(1-O3/100))/0.75</f>
        <v>101.02666666666666</v>
      </c>
      <c r="M1285" s="12"/>
      <c r="N1285" s="40">
        <f>L1285*M1285</f>
        <v>0</v>
      </c>
      <c r="O1285" s="43">
        <f>0.248*M1285</f>
        <v>0</v>
      </c>
      <c r="P1285" s="47">
        <f>0.00053*M1285</f>
        <v>0</v>
      </c>
      <c r="Q1285" s="44"/>
      <c r="R1285" s="45" t="s">
        <v>4070</v>
      </c>
      <c r="S1285" s="45" t="s">
        <v>29</v>
      </c>
      <c r="T1285" s="37" t="str">
        <f>HYPERLINK("https://kanzpp.ru/api/getInfo/image/e8b3b68d-81ac-11f0-a284-00155d82e908")</f>
        <v>https://kanzpp.ru/api/getInfo/image/e8b3b68d-81ac-11f0-a284-00155d82e908</v>
      </c>
      <c r="U1285" s="37"/>
    </row>
    <row r="1286" spans="2:22" ht="21" customHeight="1" outlineLevel="7" x14ac:dyDescent="0.2">
      <c r="B1286" s="36">
        <v>979</v>
      </c>
      <c r="C1286" s="37" t="s">
        <v>4071</v>
      </c>
      <c r="D1286" s="37" t="s">
        <v>4072</v>
      </c>
      <c r="E1286" s="38" t="s">
        <v>4073</v>
      </c>
      <c r="F1286" s="39"/>
      <c r="G1286" s="40"/>
      <c r="H1286" s="40"/>
      <c r="I1286" s="41">
        <v>20</v>
      </c>
      <c r="J1286" s="41">
        <v>20</v>
      </c>
      <c r="K1286" s="36">
        <v>20</v>
      </c>
      <c r="L1286" s="42">
        <f>(75.77*(1-O3/100))/0.75</f>
        <v>101.02666666666666</v>
      </c>
      <c r="M1286" s="12"/>
      <c r="N1286" s="40">
        <f>L1286*M1286</f>
        <v>0</v>
      </c>
      <c r="O1286" s="43">
        <f>0.249*M1286</f>
        <v>0</v>
      </c>
      <c r="P1286" s="47">
        <f>0.00068*M1286</f>
        <v>0</v>
      </c>
      <c r="Q1286" s="44"/>
      <c r="R1286" s="45" t="s">
        <v>4074</v>
      </c>
      <c r="S1286" s="45" t="s">
        <v>29</v>
      </c>
      <c r="T1286" s="37" t="str">
        <f>HYPERLINK("https://kanzpp.ru/api/getInfo/image/731820c5-d72f-11f0-a28c-00155d82e908")</f>
        <v>https://kanzpp.ru/api/getInfo/image/731820c5-d72f-11f0-a28c-00155d82e908</v>
      </c>
      <c r="U1286" s="37"/>
    </row>
    <row r="1287" spans="2:22" ht="22.95" customHeight="1" outlineLevel="5" x14ac:dyDescent="0.2">
      <c r="B1287" s="83" t="s">
        <v>4075</v>
      </c>
      <c r="C1287" s="83"/>
      <c r="D1287" s="83"/>
      <c r="L1287">
        <v>0</v>
      </c>
    </row>
    <row r="1288" spans="2:22" ht="22.95" customHeight="1" outlineLevel="6" x14ac:dyDescent="0.2">
      <c r="B1288" s="84" t="s">
        <v>4076</v>
      </c>
      <c r="C1288" s="84"/>
      <c r="D1288" s="84"/>
      <c r="L1288">
        <v>0</v>
      </c>
    </row>
    <row r="1289" spans="2:22" ht="21" customHeight="1" outlineLevel="7" x14ac:dyDescent="0.2">
      <c r="B1289" s="36">
        <v>980</v>
      </c>
      <c r="C1289" s="37" t="s">
        <v>4077</v>
      </c>
      <c r="D1289" s="37" t="s">
        <v>4078</v>
      </c>
      <c r="E1289" s="38" t="s">
        <v>4079</v>
      </c>
      <c r="F1289" s="39"/>
      <c r="G1289" s="40"/>
      <c r="H1289" s="41">
        <v>30</v>
      </c>
      <c r="I1289" s="41">
        <v>5</v>
      </c>
      <c r="J1289" s="41">
        <v>52</v>
      </c>
      <c r="K1289" s="36">
        <v>5</v>
      </c>
      <c r="L1289" s="42">
        <f>(149.68*(1-O3/100))/0.75</f>
        <v>199.57333333333335</v>
      </c>
      <c r="M1289" s="12"/>
      <c r="N1289" s="40">
        <f>L1289*M1289</f>
        <v>0</v>
      </c>
      <c r="O1289" s="43">
        <f>0.383*M1289</f>
        <v>0</v>
      </c>
      <c r="P1289" s="47">
        <f>0.00047*M1289</f>
        <v>0</v>
      </c>
      <c r="Q1289" s="44"/>
      <c r="R1289" s="45" t="s">
        <v>4080</v>
      </c>
      <c r="S1289" s="45" t="s">
        <v>29</v>
      </c>
      <c r="T1289" s="37" t="str">
        <f>HYPERLINK("https://kanzpp.ru/api/getInfo/image/4df27ecc-3245-11f0-a27c-00155d82e908")</f>
        <v>https://kanzpp.ru/api/getInfo/image/4df27ecc-3245-11f0-a27c-00155d82e908</v>
      </c>
      <c r="U1289" s="37"/>
    </row>
    <row r="1290" spans="2:22" ht="21" customHeight="1" outlineLevel="7" x14ac:dyDescent="0.2">
      <c r="B1290" s="5">
        <v>981</v>
      </c>
      <c r="C1290" s="6" t="s">
        <v>4081</v>
      </c>
      <c r="D1290" s="6" t="s">
        <v>4082</v>
      </c>
      <c r="E1290" s="7" t="s">
        <v>4083</v>
      </c>
      <c r="F1290" s="13"/>
      <c r="G1290" s="14"/>
      <c r="H1290" s="15">
        <v>30</v>
      </c>
      <c r="I1290" s="15">
        <v>5</v>
      </c>
      <c r="J1290" s="15">
        <v>30</v>
      </c>
      <c r="K1290" s="5">
        <v>5</v>
      </c>
      <c r="L1290" s="16">
        <v>52</v>
      </c>
      <c r="M1290" s="12"/>
      <c r="N1290" s="14">
        <f>L1290*M1290</f>
        <v>0</v>
      </c>
      <c r="O1290" s="23">
        <f>0.386*M1290</f>
        <v>0</v>
      </c>
      <c r="P1290" s="24">
        <f>0.00053*M1290</f>
        <v>0</v>
      </c>
      <c r="Q1290" s="25"/>
      <c r="R1290" s="26" t="s">
        <v>4084</v>
      </c>
      <c r="S1290" s="26" t="s">
        <v>29</v>
      </c>
      <c r="T1290" s="6" t="str">
        <f>HYPERLINK("https://kanzpp.ru/api/getInfo/image/76777e1e-6c2f-11ef-a265-00155d82e908")</f>
        <v>https://kanzpp.ru/api/getInfo/image/76777e1e-6c2f-11ef-a265-00155d82e908</v>
      </c>
      <c r="U1290" s="6"/>
      <c r="V1290" s="33" t="s">
        <v>35</v>
      </c>
    </row>
    <row r="1291" spans="2:22" ht="21" customHeight="1" outlineLevel="7" x14ac:dyDescent="0.2">
      <c r="B1291" s="36">
        <v>982</v>
      </c>
      <c r="C1291" s="37" t="s">
        <v>4085</v>
      </c>
      <c r="D1291" s="37" t="s">
        <v>4086</v>
      </c>
      <c r="E1291" s="38" t="s">
        <v>4087</v>
      </c>
      <c r="F1291" s="39"/>
      <c r="G1291" s="40"/>
      <c r="H1291" s="41">
        <v>30</v>
      </c>
      <c r="I1291" s="41">
        <v>5</v>
      </c>
      <c r="J1291" s="41">
        <v>114</v>
      </c>
      <c r="K1291" s="36">
        <v>5</v>
      </c>
      <c r="L1291" s="42">
        <f>(149.68*(1-O3/100))/0.75</f>
        <v>199.57333333333335</v>
      </c>
      <c r="M1291" s="12"/>
      <c r="N1291" s="40">
        <f>L1291*M1291</f>
        <v>0</v>
      </c>
      <c r="O1291" s="48">
        <f>0.39*M1291</f>
        <v>0</v>
      </c>
      <c r="P1291" s="47">
        <f>0.00053*M1291</f>
        <v>0</v>
      </c>
      <c r="Q1291" s="44"/>
      <c r="R1291" s="45" t="s">
        <v>4088</v>
      </c>
      <c r="S1291" s="45" t="s">
        <v>29</v>
      </c>
      <c r="T1291" s="37" t="str">
        <f>HYPERLINK("https://kanzpp.ru/api/getInfo/image/96380bf2-3245-11f0-a27c-00155d82e908")</f>
        <v>https://kanzpp.ru/api/getInfo/image/96380bf2-3245-11f0-a27c-00155d82e908</v>
      </c>
      <c r="U1291" s="37"/>
    </row>
    <row r="1292" spans="2:22" ht="21" customHeight="1" outlineLevel="7" x14ac:dyDescent="0.2">
      <c r="B1292" s="36">
        <v>983</v>
      </c>
      <c r="C1292" s="37" t="s">
        <v>4089</v>
      </c>
      <c r="D1292" s="37" t="s">
        <v>4090</v>
      </c>
      <c r="E1292" s="38" t="s">
        <v>4091</v>
      </c>
      <c r="F1292" s="39"/>
      <c r="G1292" s="40"/>
      <c r="H1292" s="41">
        <v>32</v>
      </c>
      <c r="I1292" s="41">
        <v>4</v>
      </c>
      <c r="J1292" s="50">
        <v>3651</v>
      </c>
      <c r="K1292" s="36">
        <v>4</v>
      </c>
      <c r="L1292" s="42">
        <f>(149.68*(1-O3/100))/0.75</f>
        <v>199.57333333333335</v>
      </c>
      <c r="M1292" s="12"/>
      <c r="N1292" s="40">
        <f>L1292*M1292</f>
        <v>0</v>
      </c>
      <c r="O1292" s="43">
        <f>0.388*M1292</f>
        <v>0</v>
      </c>
      <c r="P1292" s="47">
        <f>0.00055*M1292</f>
        <v>0</v>
      </c>
      <c r="Q1292" s="44"/>
      <c r="R1292" s="45" t="s">
        <v>4092</v>
      </c>
      <c r="S1292" s="45" t="s">
        <v>29</v>
      </c>
      <c r="T1292" s="37" t="str">
        <f>HYPERLINK("https://kanzpp.ru/api/getInfo/image/cbb5ea05-6c7e-11f0-a283-00155d82e908")</f>
        <v>https://kanzpp.ru/api/getInfo/image/cbb5ea05-6c7e-11f0-a283-00155d82e908</v>
      </c>
      <c r="U1292" s="37"/>
    </row>
    <row r="1293" spans="2:22" ht="22.95" customHeight="1" outlineLevel="3" x14ac:dyDescent="0.2">
      <c r="B1293" s="81" t="s">
        <v>4093</v>
      </c>
      <c r="C1293" s="81"/>
      <c r="D1293" s="81"/>
      <c r="L1293">
        <v>0</v>
      </c>
    </row>
    <row r="1294" spans="2:22" ht="22.95" customHeight="1" outlineLevel="4" x14ac:dyDescent="0.2">
      <c r="B1294" s="82" t="s">
        <v>3770</v>
      </c>
      <c r="C1294" s="82"/>
      <c r="D1294" s="82"/>
      <c r="L1294">
        <v>0</v>
      </c>
    </row>
    <row r="1295" spans="2:22" ht="22.95" customHeight="1" outlineLevel="5" x14ac:dyDescent="0.2">
      <c r="B1295" s="83" t="s">
        <v>4094</v>
      </c>
      <c r="C1295" s="83"/>
      <c r="D1295" s="83"/>
      <c r="L1295">
        <v>0</v>
      </c>
    </row>
    <row r="1296" spans="2:22" ht="22.95" customHeight="1" outlineLevel="6" x14ac:dyDescent="0.2">
      <c r="B1296" s="84" t="s">
        <v>4095</v>
      </c>
      <c r="C1296" s="84"/>
      <c r="D1296" s="84"/>
      <c r="L1296">
        <v>0</v>
      </c>
    </row>
    <row r="1297" spans="2:22" ht="21" customHeight="1" outlineLevel="7" x14ac:dyDescent="0.2">
      <c r="B1297" s="5">
        <v>984</v>
      </c>
      <c r="C1297" s="6" t="s">
        <v>4096</v>
      </c>
      <c r="D1297" s="6" t="s">
        <v>4097</v>
      </c>
      <c r="E1297" s="7" t="s">
        <v>4098</v>
      </c>
      <c r="F1297" s="13"/>
      <c r="G1297" s="14"/>
      <c r="H1297" s="15">
        <v>32</v>
      </c>
      <c r="I1297" s="15">
        <v>4</v>
      </c>
      <c r="J1297" s="15">
        <v>8</v>
      </c>
      <c r="K1297" s="5">
        <v>8</v>
      </c>
      <c r="L1297" s="16">
        <v>38.666666666666664</v>
      </c>
      <c r="M1297" s="12"/>
      <c r="N1297" s="14">
        <f>L1297*M1297</f>
        <v>0</v>
      </c>
      <c r="O1297" s="23">
        <f>0.299*M1297</f>
        <v>0</v>
      </c>
      <c r="P1297" s="24">
        <f>0.00041*M1297</f>
        <v>0</v>
      </c>
      <c r="Q1297" s="25"/>
      <c r="R1297" s="26" t="s">
        <v>4099</v>
      </c>
      <c r="S1297" s="26" t="s">
        <v>29</v>
      </c>
      <c r="T1297" s="6" t="str">
        <f>HYPERLINK("https://kanzpp.ru/api/getInfo/image/1034abbe-91fa-11ef-a265-00155d82e908")</f>
        <v>https://kanzpp.ru/api/getInfo/image/1034abbe-91fa-11ef-a265-00155d82e908</v>
      </c>
      <c r="U1297" s="6"/>
      <c r="V1297" s="33" t="s">
        <v>35</v>
      </c>
    </row>
    <row r="1298" spans="2:22" ht="21" customHeight="1" outlineLevel="7" x14ac:dyDescent="0.2">
      <c r="B1298" s="36">
        <v>985</v>
      </c>
      <c r="C1298" s="37" t="s">
        <v>4100</v>
      </c>
      <c r="D1298" s="37" t="s">
        <v>4101</v>
      </c>
      <c r="E1298" s="38" t="s">
        <v>4102</v>
      </c>
      <c r="F1298" s="39"/>
      <c r="G1298" s="40"/>
      <c r="H1298" s="41">
        <v>32</v>
      </c>
      <c r="I1298" s="41">
        <v>4</v>
      </c>
      <c r="J1298" s="41">
        <v>240</v>
      </c>
      <c r="K1298" s="36">
        <v>8</v>
      </c>
      <c r="L1298" s="42">
        <f>(98.87*(1-O3/100))/0.75</f>
        <v>131.82666666666668</v>
      </c>
      <c r="M1298" s="12"/>
      <c r="N1298" s="40">
        <f>L1298*M1298</f>
        <v>0</v>
      </c>
      <c r="O1298" s="43">
        <f>0.291*M1298</f>
        <v>0</v>
      </c>
      <c r="P1298" s="47">
        <f>0.00047*M1298</f>
        <v>0</v>
      </c>
      <c r="Q1298" s="44"/>
      <c r="R1298" s="45" t="s">
        <v>4103</v>
      </c>
      <c r="S1298" s="45" t="s">
        <v>29</v>
      </c>
      <c r="T1298" s="37" t="str">
        <f>HYPERLINK("https://kanzpp.ru/api/getInfo/image/3f679416-3635-11f0-a27c-00155d82e908")</f>
        <v>https://kanzpp.ru/api/getInfo/image/3f679416-3635-11f0-a27c-00155d82e908</v>
      </c>
      <c r="U1298" s="37"/>
    </row>
    <row r="1299" spans="2:22" ht="21" customHeight="1" outlineLevel="7" x14ac:dyDescent="0.2">
      <c r="B1299" s="36">
        <v>986</v>
      </c>
      <c r="C1299" s="37" t="s">
        <v>4104</v>
      </c>
      <c r="D1299" s="37" t="s">
        <v>4105</v>
      </c>
      <c r="E1299" s="38" t="s">
        <v>4106</v>
      </c>
      <c r="F1299" s="39"/>
      <c r="G1299" s="40"/>
      <c r="H1299" s="41">
        <v>32</v>
      </c>
      <c r="I1299" s="41">
        <v>4</v>
      </c>
      <c r="J1299" s="50">
        <v>1908</v>
      </c>
      <c r="K1299" s="36">
        <v>8</v>
      </c>
      <c r="L1299" s="42">
        <f>(98.87*(1-O3/100))/0.75</f>
        <v>131.82666666666668</v>
      </c>
      <c r="M1299" s="12"/>
      <c r="N1299" s="40">
        <f>L1299*M1299</f>
        <v>0</v>
      </c>
      <c r="O1299" s="43">
        <f>0.028*M1299</f>
        <v>0</v>
      </c>
      <c r="P1299" s="47">
        <f>0.00041*M1299</f>
        <v>0</v>
      </c>
      <c r="Q1299" s="44"/>
      <c r="R1299" s="45" t="s">
        <v>4107</v>
      </c>
      <c r="S1299" s="45" t="s">
        <v>29</v>
      </c>
      <c r="T1299" s="37" t="str">
        <f>HYPERLINK("https://kanzpp.ru/api/getInfo/image/7a316b29-3635-11f0-a27c-00155d82e908")</f>
        <v>https://kanzpp.ru/api/getInfo/image/7a316b29-3635-11f0-a27c-00155d82e908</v>
      </c>
      <c r="U1299" s="37"/>
    </row>
    <row r="1300" spans="2:22" ht="22.95" customHeight="1" outlineLevel="4" x14ac:dyDescent="0.2">
      <c r="B1300" s="82" t="s">
        <v>3844</v>
      </c>
      <c r="C1300" s="82"/>
      <c r="D1300" s="82"/>
      <c r="L1300">
        <v>0</v>
      </c>
    </row>
    <row r="1301" spans="2:22" ht="22.95" customHeight="1" outlineLevel="5" x14ac:dyDescent="0.2">
      <c r="B1301" s="83" t="s">
        <v>4108</v>
      </c>
      <c r="C1301" s="83"/>
      <c r="D1301" s="83"/>
      <c r="L1301">
        <v>0</v>
      </c>
    </row>
    <row r="1302" spans="2:22" ht="22.95" customHeight="1" outlineLevel="6" x14ac:dyDescent="0.2">
      <c r="B1302" s="84" t="s">
        <v>4109</v>
      </c>
      <c r="C1302" s="84"/>
      <c r="D1302" s="84"/>
      <c r="L1302">
        <v>0</v>
      </c>
    </row>
    <row r="1303" spans="2:22" ht="22.95" customHeight="1" outlineLevel="7" x14ac:dyDescent="0.2">
      <c r="B1303" s="85" t="s">
        <v>4110</v>
      </c>
      <c r="C1303" s="85"/>
      <c r="D1303" s="85"/>
      <c r="L1303">
        <v>0</v>
      </c>
    </row>
    <row r="1304" spans="2:22" ht="21" customHeight="1" outlineLevel="7" x14ac:dyDescent="0.2">
      <c r="B1304" s="5">
        <v>987</v>
      </c>
      <c r="C1304" s="6" t="s">
        <v>4111</v>
      </c>
      <c r="D1304" s="6" t="s">
        <v>4112</v>
      </c>
      <c r="E1304" s="7" t="s">
        <v>4113</v>
      </c>
      <c r="F1304" s="13"/>
      <c r="G1304" s="14"/>
      <c r="H1304" s="14"/>
      <c r="I1304" s="15">
        <v>10</v>
      </c>
      <c r="J1304" s="14" t="s">
        <v>144</v>
      </c>
      <c r="K1304" s="5">
        <v>10</v>
      </c>
      <c r="L1304" s="16">
        <v>98.666666666666671</v>
      </c>
      <c r="M1304" s="12"/>
      <c r="N1304" s="14">
        <f>L1304*M1304</f>
        <v>0</v>
      </c>
      <c r="O1304" s="23">
        <f>0.298*M1304</f>
        <v>0</v>
      </c>
      <c r="P1304" s="24">
        <f>0.00041*M1304</f>
        <v>0</v>
      </c>
      <c r="Q1304" s="25"/>
      <c r="R1304" s="26" t="s">
        <v>4114</v>
      </c>
      <c r="S1304" s="26" t="s">
        <v>29</v>
      </c>
      <c r="T1304" s="6" t="str">
        <f>HYPERLINK("https://kanzpp.ru/api/getInfo/image/7e8069ad-324f-11f0-a27c-00155d82e908")</f>
        <v>https://kanzpp.ru/api/getInfo/image/7e8069ad-324f-11f0-a27c-00155d82e908</v>
      </c>
      <c r="U1304" s="6"/>
      <c r="V1304" s="33" t="s">
        <v>35</v>
      </c>
    </row>
    <row r="1305" spans="2:22" ht="21" customHeight="1" outlineLevel="7" x14ac:dyDescent="0.2">
      <c r="B1305" s="36">
        <v>988</v>
      </c>
      <c r="C1305" s="37" t="s">
        <v>4115</v>
      </c>
      <c r="D1305" s="37" t="s">
        <v>4116</v>
      </c>
      <c r="E1305" s="38" t="s">
        <v>4117</v>
      </c>
      <c r="F1305" s="39"/>
      <c r="G1305" s="40"/>
      <c r="H1305" s="40"/>
      <c r="I1305" s="41">
        <v>10</v>
      </c>
      <c r="J1305" s="40" t="s">
        <v>144</v>
      </c>
      <c r="K1305" s="36">
        <v>10</v>
      </c>
      <c r="L1305" s="42">
        <f>(98.66*(1-O3/100))/0.75</f>
        <v>131.54666666666665</v>
      </c>
      <c r="M1305" s="12"/>
      <c r="N1305" s="40">
        <f>L1305*M1305</f>
        <v>0</v>
      </c>
      <c r="O1305" s="43">
        <f>0.298*M1305</f>
        <v>0</v>
      </c>
      <c r="P1305" s="47">
        <f>0.00041*M1305</f>
        <v>0</v>
      </c>
      <c r="Q1305" s="44"/>
      <c r="R1305" s="45" t="s">
        <v>4118</v>
      </c>
      <c r="S1305" s="45" t="s">
        <v>29</v>
      </c>
      <c r="T1305" s="37" t="str">
        <f>HYPERLINK("https://kanzpp.ru/api/getInfo/image/ae32e128-324f-11f0-a27c-00155d82e908")</f>
        <v>https://kanzpp.ru/api/getInfo/image/ae32e128-324f-11f0-a27c-00155d82e908</v>
      </c>
      <c r="U1305" s="37"/>
    </row>
    <row r="1306" spans="2:22" ht="22.95" customHeight="1" outlineLevel="1" x14ac:dyDescent="0.2">
      <c r="B1306" s="79" t="s">
        <v>4119</v>
      </c>
      <c r="C1306" s="79"/>
      <c r="D1306" s="79"/>
      <c r="L1306">
        <v>0</v>
      </c>
    </row>
    <row r="1307" spans="2:22" ht="22.95" customHeight="1" outlineLevel="2" x14ac:dyDescent="0.2">
      <c r="B1307" s="80" t="s">
        <v>4120</v>
      </c>
      <c r="C1307" s="80"/>
      <c r="D1307" s="80"/>
      <c r="L1307">
        <v>0</v>
      </c>
    </row>
    <row r="1308" spans="2:22" ht="22.95" customHeight="1" outlineLevel="3" x14ac:dyDescent="0.2">
      <c r="B1308" s="81" t="s">
        <v>4121</v>
      </c>
      <c r="C1308" s="81"/>
      <c r="D1308" s="81"/>
      <c r="L1308">
        <v>0</v>
      </c>
    </row>
    <row r="1309" spans="2:22" ht="22.95" customHeight="1" outlineLevel="4" x14ac:dyDescent="0.2">
      <c r="B1309" s="82" t="s">
        <v>4122</v>
      </c>
      <c r="C1309" s="82"/>
      <c r="D1309" s="82"/>
      <c r="L1309">
        <v>0</v>
      </c>
    </row>
    <row r="1310" spans="2:22" ht="22.95" customHeight="1" outlineLevel="5" x14ac:dyDescent="0.2">
      <c r="B1310" s="83" t="s">
        <v>4123</v>
      </c>
      <c r="C1310" s="83"/>
      <c r="D1310" s="83"/>
      <c r="L1310">
        <v>0</v>
      </c>
    </row>
    <row r="1311" spans="2:22" ht="22.95" customHeight="1" outlineLevel="6" x14ac:dyDescent="0.2">
      <c r="B1311" s="84" t="s">
        <v>4124</v>
      </c>
      <c r="C1311" s="84"/>
      <c r="D1311" s="84"/>
      <c r="L1311">
        <v>0</v>
      </c>
    </row>
    <row r="1312" spans="2:22" ht="21" customHeight="1" outlineLevel="7" x14ac:dyDescent="0.2">
      <c r="B1312" s="5">
        <v>989</v>
      </c>
      <c r="C1312" s="6" t="s">
        <v>4125</v>
      </c>
      <c r="D1312" s="6" t="s">
        <v>4126</v>
      </c>
      <c r="E1312" s="7" t="s">
        <v>4127</v>
      </c>
      <c r="F1312" s="13"/>
      <c r="G1312" s="14"/>
      <c r="H1312" s="14"/>
      <c r="I1312" s="15">
        <v>30</v>
      </c>
      <c r="J1312" s="14" t="s">
        <v>144</v>
      </c>
      <c r="K1312" s="5">
        <v>10</v>
      </c>
      <c r="L1312" s="16">
        <v>9.2000000000000011</v>
      </c>
      <c r="M1312" s="12"/>
      <c r="N1312" s="14">
        <f>L1312*M1312</f>
        <v>0</v>
      </c>
      <c r="O1312" s="23">
        <f>0.054*M1312</f>
        <v>0</v>
      </c>
      <c r="P1312" s="24">
        <f>0.00016*M1312</f>
        <v>0</v>
      </c>
      <c r="Q1312" s="25"/>
      <c r="R1312" s="26" t="s">
        <v>4128</v>
      </c>
      <c r="S1312" s="26" t="s">
        <v>29</v>
      </c>
      <c r="T1312" s="6" t="str">
        <f>HYPERLINK("https://kanzpp.ru/api/getInfo/image/cff17bd8-cf90-11ed-a230-00155d82e902")</f>
        <v>https://kanzpp.ru/api/getInfo/image/cff17bd8-cf90-11ed-a230-00155d82e902</v>
      </c>
      <c r="U1312" s="6"/>
      <c r="V1312" s="33" t="s">
        <v>35</v>
      </c>
    </row>
    <row r="1313" spans="2:22" ht="21" customHeight="1" outlineLevel="7" x14ac:dyDescent="0.2">
      <c r="B1313" s="5">
        <v>990</v>
      </c>
      <c r="C1313" s="6" t="s">
        <v>4129</v>
      </c>
      <c r="D1313" s="6" t="s">
        <v>4130</v>
      </c>
      <c r="E1313" s="7" t="s">
        <v>4131</v>
      </c>
      <c r="F1313" s="13"/>
      <c r="G1313" s="14"/>
      <c r="H1313" s="14"/>
      <c r="I1313" s="15">
        <v>30</v>
      </c>
      <c r="J1313" s="14" t="s">
        <v>144</v>
      </c>
      <c r="K1313" s="5">
        <v>10</v>
      </c>
      <c r="L1313" s="16">
        <v>9.2000000000000011</v>
      </c>
      <c r="M1313" s="12"/>
      <c r="N1313" s="14">
        <f>L1313*M1313</f>
        <v>0</v>
      </c>
      <c r="O1313" s="23">
        <f>0.062*M1313</f>
        <v>0</v>
      </c>
      <c r="P1313" s="24">
        <f>0.00016*M1313</f>
        <v>0</v>
      </c>
      <c r="Q1313" s="25"/>
      <c r="R1313" s="26" t="s">
        <v>4132</v>
      </c>
      <c r="S1313" s="26" t="s">
        <v>29</v>
      </c>
      <c r="T1313" s="6" t="str">
        <f>HYPERLINK("https://kanzpp.ru/api/getInfo/image/f65c4eea-cf90-11ed-a230-00155d82e902")</f>
        <v>https://kanzpp.ru/api/getInfo/image/f65c4eea-cf90-11ed-a230-00155d82e902</v>
      </c>
      <c r="U1313" s="6"/>
      <c r="V1313" s="33" t="s">
        <v>35</v>
      </c>
    </row>
    <row r="1314" spans="2:22" ht="22.95" customHeight="1" outlineLevel="4" x14ac:dyDescent="0.2">
      <c r="B1314" s="82" t="s">
        <v>4133</v>
      </c>
      <c r="C1314" s="82"/>
      <c r="D1314" s="82"/>
      <c r="L1314">
        <v>0</v>
      </c>
    </row>
    <row r="1315" spans="2:22" ht="21" customHeight="1" outlineLevel="5" x14ac:dyDescent="0.2">
      <c r="B1315" s="36">
        <v>991</v>
      </c>
      <c r="C1315" s="37" t="s">
        <v>4134</v>
      </c>
      <c r="D1315" s="37" t="s">
        <v>4135</v>
      </c>
      <c r="E1315" s="38" t="s">
        <v>4136</v>
      </c>
      <c r="F1315" s="39"/>
      <c r="G1315" s="40"/>
      <c r="H1315" s="40"/>
      <c r="I1315" s="41">
        <v>30</v>
      </c>
      <c r="J1315" s="41">
        <v>1</v>
      </c>
      <c r="K1315" s="36">
        <v>1</v>
      </c>
      <c r="L1315" s="42">
        <f>(113.6*(1-O3/100))/0.75</f>
        <v>151.46666666666667</v>
      </c>
      <c r="M1315" s="12"/>
      <c r="N1315" s="40">
        <f>L1315*M1315</f>
        <v>0</v>
      </c>
      <c r="O1315" s="43">
        <f>0.127*M1315</f>
        <v>0</v>
      </c>
      <c r="P1315" s="47">
        <f>0.00017*M1315</f>
        <v>0</v>
      </c>
      <c r="Q1315" s="44"/>
      <c r="R1315" s="45" t="s">
        <v>4137</v>
      </c>
      <c r="S1315" s="45" t="s">
        <v>29</v>
      </c>
      <c r="T1315" s="37" t="str">
        <f>HYPERLINK("https://kanzpp.ru/api/getInfo/image/6f9045b0-538d-11ed-a21e-ac1f6b442185")</f>
        <v>https://kanzpp.ru/api/getInfo/image/6f9045b0-538d-11ed-a21e-ac1f6b442185</v>
      </c>
      <c r="U1315" s="37"/>
    </row>
    <row r="1316" spans="2:22" ht="22.95" customHeight="1" outlineLevel="5" x14ac:dyDescent="0.2">
      <c r="B1316" s="83" t="s">
        <v>4138</v>
      </c>
      <c r="C1316" s="83"/>
      <c r="D1316" s="83"/>
      <c r="L1316">
        <v>0</v>
      </c>
    </row>
    <row r="1317" spans="2:22" ht="21" customHeight="1" outlineLevel="6" x14ac:dyDescent="0.2">
      <c r="B1317" s="5">
        <v>992</v>
      </c>
      <c r="C1317" s="6" t="s">
        <v>4139</v>
      </c>
      <c r="D1317" s="6" t="s">
        <v>4140</v>
      </c>
      <c r="E1317" s="7" t="s">
        <v>4141</v>
      </c>
      <c r="F1317" s="13"/>
      <c r="G1317" s="14"/>
      <c r="H1317" s="15">
        <v>60</v>
      </c>
      <c r="I1317" s="14"/>
      <c r="J1317" s="14" t="s">
        <v>144</v>
      </c>
      <c r="K1317" s="5">
        <v>2</v>
      </c>
      <c r="L1317" s="16">
        <v>265.33333333333331</v>
      </c>
      <c r="M1317" s="12"/>
      <c r="N1317" s="14">
        <f>L1317*M1317</f>
        <v>0</v>
      </c>
      <c r="O1317" s="23">
        <f>0.191*M1317</f>
        <v>0</v>
      </c>
      <c r="P1317" s="24">
        <f>0.00031*M1317</f>
        <v>0</v>
      </c>
      <c r="Q1317" s="25"/>
      <c r="R1317" s="26" t="s">
        <v>4142</v>
      </c>
      <c r="S1317" s="26" t="s">
        <v>29</v>
      </c>
      <c r="T1317" s="6" t="str">
        <f>HYPERLINK("https://kanzpp.ru/api/getInfo/image/5a4ae737-e520-11ef-a274-00155d82e908")</f>
        <v>https://kanzpp.ru/api/getInfo/image/5a4ae737-e520-11ef-a274-00155d82e908</v>
      </c>
      <c r="U1317" s="6"/>
      <c r="V1317" s="33" t="s">
        <v>35</v>
      </c>
    </row>
    <row r="1318" spans="2:22" ht="22.95" customHeight="1" outlineLevel="5" x14ac:dyDescent="0.2">
      <c r="B1318" s="83" t="s">
        <v>4143</v>
      </c>
      <c r="C1318" s="83"/>
      <c r="D1318" s="83"/>
      <c r="L1318">
        <v>0</v>
      </c>
    </row>
    <row r="1319" spans="2:22" ht="21" customHeight="1" outlineLevel="6" x14ac:dyDescent="0.2">
      <c r="B1319" s="5">
        <v>993</v>
      </c>
      <c r="C1319" s="6" t="s">
        <v>4144</v>
      </c>
      <c r="D1319" s="6" t="s">
        <v>4145</v>
      </c>
      <c r="E1319" s="7" t="s">
        <v>4146</v>
      </c>
      <c r="F1319" s="13"/>
      <c r="G1319" s="14"/>
      <c r="H1319" s="14"/>
      <c r="I1319" s="15">
        <v>10</v>
      </c>
      <c r="J1319" s="14" t="s">
        <v>144</v>
      </c>
      <c r="K1319" s="5">
        <v>2</v>
      </c>
      <c r="L1319" s="16">
        <v>132</v>
      </c>
      <c r="M1319" s="12"/>
      <c r="N1319" s="14">
        <f>L1319*M1319</f>
        <v>0</v>
      </c>
      <c r="O1319" s="23">
        <f>0.339*M1319</f>
        <v>0</v>
      </c>
      <c r="P1319" s="24">
        <f>0.00105*M1319</f>
        <v>0</v>
      </c>
      <c r="Q1319" s="25"/>
      <c r="R1319" s="26" t="s">
        <v>4147</v>
      </c>
      <c r="S1319" s="26" t="s">
        <v>29</v>
      </c>
      <c r="T1319" s="6" t="str">
        <f>HYPERLINK("https://kanzpp.ru/api/getInfo/image/736e0597-0487-11ef-a25d-00155d82e908")</f>
        <v>https://kanzpp.ru/api/getInfo/image/736e0597-0487-11ef-a25d-00155d82e908</v>
      </c>
      <c r="U1319" s="6"/>
      <c r="V1319" s="33" t="s">
        <v>35</v>
      </c>
    </row>
    <row r="1320" spans="2:22" ht="21" customHeight="1" outlineLevel="6" x14ac:dyDescent="0.2">
      <c r="B1320" s="5">
        <v>994</v>
      </c>
      <c r="C1320" s="6" t="s">
        <v>4148</v>
      </c>
      <c r="D1320" s="6" t="s">
        <v>4149</v>
      </c>
      <c r="E1320" s="7" t="s">
        <v>4150</v>
      </c>
      <c r="F1320" s="13"/>
      <c r="G1320" s="14"/>
      <c r="H1320" s="14"/>
      <c r="I1320" s="15">
        <v>10</v>
      </c>
      <c r="J1320" s="14" t="s">
        <v>144</v>
      </c>
      <c r="K1320" s="5">
        <v>2</v>
      </c>
      <c r="L1320" s="16">
        <v>132</v>
      </c>
      <c r="M1320" s="12"/>
      <c r="N1320" s="14">
        <f>L1320*M1320</f>
        <v>0</v>
      </c>
      <c r="O1320" s="23">
        <f>0.343*M1320</f>
        <v>0</v>
      </c>
      <c r="P1320" s="31">
        <f>0.0004*M1320</f>
        <v>0</v>
      </c>
      <c r="Q1320" s="25"/>
      <c r="R1320" s="26" t="s">
        <v>4151</v>
      </c>
      <c r="S1320" s="26" t="s">
        <v>29</v>
      </c>
      <c r="T1320" s="6" t="str">
        <f>HYPERLINK("https://kanzpp.ru/api/getInfo/image/9217c0c3-0490-11ef-a25d-00155d82e908")</f>
        <v>https://kanzpp.ru/api/getInfo/image/9217c0c3-0490-11ef-a25d-00155d82e908</v>
      </c>
      <c r="U1320" s="6"/>
      <c r="V1320" s="33" t="s">
        <v>35</v>
      </c>
    </row>
    <row r="1321" spans="2:22" ht="21" customHeight="1" outlineLevel="6" x14ac:dyDescent="0.2">
      <c r="B1321" s="5">
        <v>995</v>
      </c>
      <c r="C1321" s="6" t="s">
        <v>4152</v>
      </c>
      <c r="D1321" s="6" t="s">
        <v>4153</v>
      </c>
      <c r="E1321" s="7" t="s">
        <v>4154</v>
      </c>
      <c r="F1321" s="13"/>
      <c r="G1321" s="14"/>
      <c r="H1321" s="14"/>
      <c r="I1321" s="15">
        <v>10</v>
      </c>
      <c r="J1321" s="14" t="s">
        <v>144</v>
      </c>
      <c r="K1321" s="5">
        <v>2</v>
      </c>
      <c r="L1321" s="16">
        <v>132</v>
      </c>
      <c r="M1321" s="12"/>
      <c r="N1321" s="14">
        <f>L1321*M1321</f>
        <v>0</v>
      </c>
      <c r="O1321" s="23">
        <f>0.347*M1321</f>
        <v>0</v>
      </c>
      <c r="P1321" s="24">
        <f>0.00039*M1321</f>
        <v>0</v>
      </c>
      <c r="Q1321" s="25"/>
      <c r="R1321" s="26" t="s">
        <v>4155</v>
      </c>
      <c r="S1321" s="26" t="s">
        <v>29</v>
      </c>
      <c r="T1321" s="6" t="str">
        <f>HYPERLINK("https://kanzpp.ru/api/getInfo/image/2a55cee3-0490-11ef-a25d-00155d82e908")</f>
        <v>https://kanzpp.ru/api/getInfo/image/2a55cee3-0490-11ef-a25d-00155d82e908</v>
      </c>
      <c r="U1321" s="6"/>
      <c r="V1321" s="33" t="s">
        <v>35</v>
      </c>
    </row>
    <row r="1322" spans="2:22" ht="22.95" customHeight="1" outlineLevel="4" x14ac:dyDescent="0.2">
      <c r="B1322" s="82" t="s">
        <v>4156</v>
      </c>
      <c r="C1322" s="82"/>
      <c r="D1322" s="82"/>
      <c r="L1322">
        <v>0</v>
      </c>
    </row>
    <row r="1323" spans="2:22" ht="22.95" customHeight="1" outlineLevel="5" x14ac:dyDescent="0.2">
      <c r="B1323" s="83" t="s">
        <v>4157</v>
      </c>
      <c r="C1323" s="83"/>
      <c r="D1323" s="83"/>
      <c r="L1323">
        <v>0</v>
      </c>
    </row>
    <row r="1324" spans="2:22" ht="22.95" customHeight="1" outlineLevel="6" x14ac:dyDescent="0.2">
      <c r="B1324" s="84" t="s">
        <v>4158</v>
      </c>
      <c r="C1324" s="84"/>
      <c r="D1324" s="84"/>
      <c r="L1324">
        <v>0</v>
      </c>
    </row>
    <row r="1325" spans="2:22" ht="21" customHeight="1" outlineLevel="7" x14ac:dyDescent="0.2">
      <c r="B1325" s="5">
        <v>996</v>
      </c>
      <c r="C1325" s="6" t="s">
        <v>4159</v>
      </c>
      <c r="D1325" s="6" t="s">
        <v>4160</v>
      </c>
      <c r="E1325" s="7" t="s">
        <v>4161</v>
      </c>
      <c r="F1325" s="13"/>
      <c r="G1325" s="14"/>
      <c r="H1325" s="14"/>
      <c r="I1325" s="15">
        <v>50</v>
      </c>
      <c r="J1325" s="15">
        <v>742</v>
      </c>
      <c r="K1325" s="5">
        <v>15</v>
      </c>
      <c r="L1325" s="16">
        <v>4.666666666666667</v>
      </c>
      <c r="M1325" s="12"/>
      <c r="N1325" s="14">
        <f>L1325*M1325</f>
        <v>0</v>
      </c>
      <c r="O1325" s="23">
        <f>0.023*M1325</f>
        <v>0</v>
      </c>
      <c r="P1325" s="24">
        <f>0.00003*M1325</f>
        <v>0</v>
      </c>
      <c r="Q1325" s="25"/>
      <c r="R1325" s="26" t="s">
        <v>4162</v>
      </c>
      <c r="S1325" s="26" t="s">
        <v>29</v>
      </c>
      <c r="T1325" s="6" t="str">
        <f>HYPERLINK("https://kanzpp.ru/api/getInfo/image/4d6453a1-36d5-11ea-a240-ac1f6b442184")</f>
        <v>https://kanzpp.ru/api/getInfo/image/4d6453a1-36d5-11ea-a240-ac1f6b442184</v>
      </c>
      <c r="U1325" s="6"/>
      <c r="V1325" s="33" t="s">
        <v>35</v>
      </c>
    </row>
    <row r="1326" spans="2:22" ht="21" customHeight="1" outlineLevel="7" x14ac:dyDescent="0.2">
      <c r="B1326" s="5">
        <v>997</v>
      </c>
      <c r="C1326" s="6" t="s">
        <v>4163</v>
      </c>
      <c r="D1326" s="6" t="s">
        <v>4164</v>
      </c>
      <c r="E1326" s="7" t="s">
        <v>4165</v>
      </c>
      <c r="F1326" s="13"/>
      <c r="G1326" s="14"/>
      <c r="H1326" s="14"/>
      <c r="I1326" s="15">
        <v>50</v>
      </c>
      <c r="J1326" s="15">
        <v>866</v>
      </c>
      <c r="K1326" s="5">
        <v>15</v>
      </c>
      <c r="L1326" s="16">
        <v>4.666666666666667</v>
      </c>
      <c r="M1326" s="12"/>
      <c r="N1326" s="14">
        <f>L1326*M1326</f>
        <v>0</v>
      </c>
      <c r="O1326" s="23">
        <f>0.023*M1326</f>
        <v>0</v>
      </c>
      <c r="P1326" s="24">
        <f>0.00003*M1326</f>
        <v>0</v>
      </c>
      <c r="Q1326" s="25"/>
      <c r="R1326" s="26" t="s">
        <v>4166</v>
      </c>
      <c r="S1326" s="26" t="s">
        <v>29</v>
      </c>
      <c r="T1326" s="6" t="str">
        <f>HYPERLINK("https://kanzpp.ru/api/getInfo/image/73addadd-36d5-11ea-a240-ac1f6b442184")</f>
        <v>https://kanzpp.ru/api/getInfo/image/73addadd-36d5-11ea-a240-ac1f6b442184</v>
      </c>
      <c r="U1326" s="6"/>
      <c r="V1326" s="33" t="s">
        <v>35</v>
      </c>
    </row>
    <row r="1327" spans="2:22" ht="22.95" customHeight="1" outlineLevel="4" x14ac:dyDescent="0.2">
      <c r="B1327" s="82" t="s">
        <v>4167</v>
      </c>
      <c r="C1327" s="82"/>
      <c r="D1327" s="82"/>
      <c r="L1327">
        <v>0</v>
      </c>
    </row>
    <row r="1328" spans="2:22" ht="22.95" customHeight="1" outlineLevel="5" x14ac:dyDescent="0.2">
      <c r="B1328" s="83" t="s">
        <v>4168</v>
      </c>
      <c r="C1328" s="83"/>
      <c r="D1328" s="83"/>
      <c r="L1328">
        <v>0</v>
      </c>
    </row>
    <row r="1329" spans="2:22" ht="22.95" customHeight="1" outlineLevel="6" x14ac:dyDescent="0.2">
      <c r="B1329" s="84" t="s">
        <v>4169</v>
      </c>
      <c r="C1329" s="84"/>
      <c r="D1329" s="84"/>
      <c r="L1329">
        <v>0</v>
      </c>
    </row>
    <row r="1330" spans="2:22" ht="21" customHeight="1" outlineLevel="7" x14ac:dyDescent="0.2">
      <c r="B1330" s="5">
        <v>998</v>
      </c>
      <c r="C1330" s="6" t="s">
        <v>4170</v>
      </c>
      <c r="D1330" s="6" t="s">
        <v>4171</v>
      </c>
      <c r="E1330" s="7" t="s">
        <v>4172</v>
      </c>
      <c r="F1330" s="13"/>
      <c r="G1330" s="14"/>
      <c r="H1330" s="14"/>
      <c r="I1330" s="15">
        <v>50</v>
      </c>
      <c r="J1330" s="15">
        <v>93</v>
      </c>
      <c r="K1330" s="5">
        <v>7</v>
      </c>
      <c r="L1330" s="16">
        <v>9.2000000000000011</v>
      </c>
      <c r="M1330" s="12"/>
      <c r="N1330" s="14">
        <f>L1330*M1330</f>
        <v>0</v>
      </c>
      <c r="O1330" s="14">
        <v>0</v>
      </c>
      <c r="P1330" s="14">
        <v>0</v>
      </c>
      <c r="Q1330" s="25"/>
      <c r="R1330" s="26" t="s">
        <v>4173</v>
      </c>
      <c r="S1330" s="26" t="s">
        <v>29</v>
      </c>
      <c r="T1330" s="6" t="str">
        <f>HYPERLINK("https://kanzpp.ru/api/getInfo/image/8f794c0a-c471-11eb-a206-ac1f6b442185")</f>
        <v>https://kanzpp.ru/api/getInfo/image/8f794c0a-c471-11eb-a206-ac1f6b442185</v>
      </c>
      <c r="U1330" s="6"/>
      <c r="V1330" s="33" t="s">
        <v>35</v>
      </c>
    </row>
    <row r="1331" spans="2:22" ht="22.95" customHeight="1" outlineLevel="5" x14ac:dyDescent="0.2">
      <c r="B1331" s="83" t="s">
        <v>4174</v>
      </c>
      <c r="C1331" s="83"/>
      <c r="D1331" s="83"/>
      <c r="L1331">
        <v>0</v>
      </c>
    </row>
    <row r="1332" spans="2:22" ht="22.95" customHeight="1" outlineLevel="6" x14ac:dyDescent="0.2">
      <c r="B1332" s="84" t="s">
        <v>4175</v>
      </c>
      <c r="C1332" s="84"/>
      <c r="D1332" s="84"/>
      <c r="L1332">
        <v>0</v>
      </c>
    </row>
    <row r="1333" spans="2:22" ht="21" customHeight="1" outlineLevel="7" x14ac:dyDescent="0.2">
      <c r="B1333" s="5">
        <v>999</v>
      </c>
      <c r="C1333" s="6" t="s">
        <v>4176</v>
      </c>
      <c r="D1333" s="6" t="s">
        <v>4177</v>
      </c>
      <c r="E1333" s="7" t="s">
        <v>4178</v>
      </c>
      <c r="F1333" s="13"/>
      <c r="G1333" s="14"/>
      <c r="H1333" s="14"/>
      <c r="I1333" s="15">
        <v>30</v>
      </c>
      <c r="J1333" s="17">
        <v>1060</v>
      </c>
      <c r="K1333" s="5">
        <v>5</v>
      </c>
      <c r="L1333" s="16">
        <v>13.200000000000001</v>
      </c>
      <c r="M1333" s="12"/>
      <c r="N1333" s="14">
        <f>L1333*M1333</f>
        <v>0</v>
      </c>
      <c r="O1333" s="23">
        <f>0.061*M1333</f>
        <v>0</v>
      </c>
      <c r="P1333" s="24">
        <f>0.00011*M1333</f>
        <v>0</v>
      </c>
      <c r="Q1333" s="25"/>
      <c r="R1333" s="26" t="s">
        <v>4179</v>
      </c>
      <c r="S1333" s="26" t="s">
        <v>93</v>
      </c>
      <c r="T1333" s="6" t="str">
        <f>HYPERLINK("https://kanzpp.ru/api/getInfo/image/8eb86708-e4fa-11ed-a233-00155d82e902")</f>
        <v>https://kanzpp.ru/api/getInfo/image/8eb86708-e4fa-11ed-a233-00155d82e902</v>
      </c>
      <c r="U1333" s="6"/>
      <c r="V1333" s="33" t="s">
        <v>35</v>
      </c>
    </row>
    <row r="1334" spans="2:22" ht="22.95" customHeight="1" outlineLevel="5" x14ac:dyDescent="0.2">
      <c r="B1334" s="83" t="s">
        <v>4180</v>
      </c>
      <c r="C1334" s="83"/>
      <c r="D1334" s="83"/>
      <c r="L1334">
        <v>0</v>
      </c>
    </row>
    <row r="1335" spans="2:22" ht="22.95" customHeight="1" outlineLevel="6" x14ac:dyDescent="0.2">
      <c r="B1335" s="84" t="s">
        <v>4181</v>
      </c>
      <c r="C1335" s="84"/>
      <c r="D1335" s="84"/>
      <c r="L1335">
        <v>0</v>
      </c>
    </row>
    <row r="1336" spans="2:22" ht="21" customHeight="1" outlineLevel="7" x14ac:dyDescent="0.2">
      <c r="B1336" s="69">
        <v>1000</v>
      </c>
      <c r="C1336" s="6" t="s">
        <v>4182</v>
      </c>
      <c r="D1336" s="6" t="s">
        <v>250</v>
      </c>
      <c r="E1336" s="7" t="s">
        <v>251</v>
      </c>
      <c r="F1336" s="13"/>
      <c r="G1336" s="14"/>
      <c r="H1336" s="14"/>
      <c r="I1336" s="15">
        <v>30</v>
      </c>
      <c r="J1336" s="14" t="s">
        <v>144</v>
      </c>
      <c r="K1336" s="5">
        <v>8</v>
      </c>
      <c r="L1336" s="16">
        <v>9.2000000000000011</v>
      </c>
      <c r="M1336" s="12"/>
      <c r="N1336" s="14">
        <f>L1336*M1336</f>
        <v>0</v>
      </c>
      <c r="O1336" s="23">
        <f>0.052*M1336</f>
        <v>0</v>
      </c>
      <c r="P1336" s="24">
        <f>0.00007*M1336</f>
        <v>0</v>
      </c>
      <c r="Q1336" s="25"/>
      <c r="R1336" s="26" t="s">
        <v>252</v>
      </c>
      <c r="S1336" s="26" t="s">
        <v>29</v>
      </c>
      <c r="T1336" s="6" t="str">
        <f>HYPERLINK("https://kanzpp.ru/api/getInfo/image/c7598e99-82a1-11ed-a22a-00155d82e902")</f>
        <v>https://kanzpp.ru/api/getInfo/image/c7598e99-82a1-11ed-a22a-00155d82e902</v>
      </c>
      <c r="U1336" s="6"/>
      <c r="V1336" s="33" t="s">
        <v>35</v>
      </c>
    </row>
    <row r="1337" spans="2:22" ht="21" customHeight="1" outlineLevel="7" x14ac:dyDescent="0.2">
      <c r="B1337" s="69">
        <v>1001</v>
      </c>
      <c r="C1337" s="6" t="s">
        <v>4183</v>
      </c>
      <c r="D1337" s="6" t="s">
        <v>4184</v>
      </c>
      <c r="E1337" s="7" t="s">
        <v>4185</v>
      </c>
      <c r="F1337" s="13"/>
      <c r="G1337" s="14"/>
      <c r="H1337" s="14"/>
      <c r="I1337" s="15">
        <v>30</v>
      </c>
      <c r="J1337" s="14" t="s">
        <v>144</v>
      </c>
      <c r="K1337" s="5">
        <v>8</v>
      </c>
      <c r="L1337" s="16">
        <v>9.2000000000000011</v>
      </c>
      <c r="M1337" s="12"/>
      <c r="N1337" s="14">
        <f>L1337*M1337</f>
        <v>0</v>
      </c>
      <c r="O1337" s="23">
        <f>0.058*M1337</f>
        <v>0</v>
      </c>
      <c r="P1337" s="24">
        <f>0.00011*M1337</f>
        <v>0</v>
      </c>
      <c r="Q1337" s="25"/>
      <c r="R1337" s="26" t="s">
        <v>4186</v>
      </c>
      <c r="S1337" s="26" t="s">
        <v>29</v>
      </c>
      <c r="T1337" s="6" t="str">
        <f>HYPERLINK("https://kanzpp.ru/api/getInfo/image/78fcdd95-82a1-11ed-a22a-00155d82e902")</f>
        <v>https://kanzpp.ru/api/getInfo/image/78fcdd95-82a1-11ed-a22a-00155d82e902</v>
      </c>
      <c r="U1337" s="6"/>
      <c r="V1337" s="33" t="s">
        <v>35</v>
      </c>
    </row>
    <row r="1338" spans="2:22" ht="21" customHeight="1" outlineLevel="7" x14ac:dyDescent="0.2">
      <c r="B1338" s="69">
        <v>1002</v>
      </c>
      <c r="C1338" s="6" t="s">
        <v>4187</v>
      </c>
      <c r="D1338" s="6" t="s">
        <v>4188</v>
      </c>
      <c r="E1338" s="7" t="s">
        <v>4189</v>
      </c>
      <c r="F1338" s="13"/>
      <c r="G1338" s="14"/>
      <c r="H1338" s="14"/>
      <c r="I1338" s="15">
        <v>30</v>
      </c>
      <c r="J1338" s="14" t="s">
        <v>144</v>
      </c>
      <c r="K1338" s="5">
        <v>8</v>
      </c>
      <c r="L1338" s="16">
        <v>9.2000000000000011</v>
      </c>
      <c r="M1338" s="12"/>
      <c r="N1338" s="14">
        <f>L1338*M1338</f>
        <v>0</v>
      </c>
      <c r="O1338" s="23">
        <f>0.053*M1338</f>
        <v>0</v>
      </c>
      <c r="P1338" s="24">
        <f>0.00014*M1338</f>
        <v>0</v>
      </c>
      <c r="Q1338" s="25"/>
      <c r="R1338" s="26" t="s">
        <v>4190</v>
      </c>
      <c r="S1338" s="26" t="s">
        <v>29</v>
      </c>
      <c r="T1338" s="6" t="str">
        <f>HYPERLINK("https://kanzpp.ru/api/getInfo/image/17bf5918-82a2-11ed-a22a-00155d82e902")</f>
        <v>https://kanzpp.ru/api/getInfo/image/17bf5918-82a2-11ed-a22a-00155d82e902</v>
      </c>
      <c r="U1338" s="6"/>
      <c r="V1338" s="33" t="s">
        <v>35</v>
      </c>
    </row>
    <row r="1339" spans="2:22" ht="22.95" customHeight="1" outlineLevel="4" x14ac:dyDescent="0.2">
      <c r="B1339" s="82" t="s">
        <v>4191</v>
      </c>
      <c r="C1339" s="82"/>
      <c r="D1339" s="82"/>
      <c r="L1339">
        <v>0</v>
      </c>
    </row>
    <row r="1340" spans="2:22" ht="22.95" customHeight="1" outlineLevel="5" x14ac:dyDescent="0.2">
      <c r="B1340" s="83" t="s">
        <v>4192</v>
      </c>
      <c r="C1340" s="83"/>
      <c r="D1340" s="83"/>
      <c r="L1340">
        <v>0</v>
      </c>
    </row>
    <row r="1341" spans="2:22" ht="21" customHeight="1" outlineLevel="6" x14ac:dyDescent="0.2">
      <c r="B1341" s="69">
        <v>1003</v>
      </c>
      <c r="C1341" s="6" t="s">
        <v>4193</v>
      </c>
      <c r="D1341" s="6" t="s">
        <v>4194</v>
      </c>
      <c r="E1341" s="7" t="s">
        <v>4195</v>
      </c>
      <c r="F1341" s="13"/>
      <c r="G1341" s="14"/>
      <c r="H1341" s="14"/>
      <c r="I1341" s="15">
        <v>30</v>
      </c>
      <c r="J1341" s="15">
        <v>208</v>
      </c>
      <c r="K1341" s="5">
        <v>10</v>
      </c>
      <c r="L1341" s="16">
        <v>9.2000000000000011</v>
      </c>
      <c r="M1341" s="12"/>
      <c r="N1341" s="14">
        <f>L1341*M1341</f>
        <v>0</v>
      </c>
      <c r="O1341" s="23">
        <f>0.099*M1341</f>
        <v>0</v>
      </c>
      <c r="P1341" s="24">
        <f>0.00021*M1341</f>
        <v>0</v>
      </c>
      <c r="Q1341" s="25"/>
      <c r="R1341" s="26" t="s">
        <v>4196</v>
      </c>
      <c r="S1341" s="26" t="s">
        <v>29</v>
      </c>
      <c r="T1341" s="6" t="str">
        <f>HYPERLINK("https://kanzpp.ru/api/getInfo/image/05971d4d-bcc6-11ec-a211-ac1f6b442185")</f>
        <v>https://kanzpp.ru/api/getInfo/image/05971d4d-bcc6-11ec-a211-ac1f6b442185</v>
      </c>
      <c r="U1341" s="6"/>
      <c r="V1341" s="33" t="s">
        <v>35</v>
      </c>
    </row>
    <row r="1342" spans="2:22" ht="21" customHeight="1" outlineLevel="6" x14ac:dyDescent="0.2">
      <c r="B1342" s="69">
        <v>1004</v>
      </c>
      <c r="C1342" s="6" t="s">
        <v>4197</v>
      </c>
      <c r="D1342" s="6" t="s">
        <v>4198</v>
      </c>
      <c r="E1342" s="7" t="s">
        <v>4199</v>
      </c>
      <c r="F1342" s="13"/>
      <c r="G1342" s="14"/>
      <c r="H1342" s="14"/>
      <c r="I1342" s="15">
        <v>30</v>
      </c>
      <c r="J1342" s="15">
        <v>252</v>
      </c>
      <c r="K1342" s="5">
        <v>10</v>
      </c>
      <c r="L1342" s="16">
        <v>9.2000000000000011</v>
      </c>
      <c r="M1342" s="12"/>
      <c r="N1342" s="14">
        <f>L1342*M1342</f>
        <v>0</v>
      </c>
      <c r="O1342" s="23">
        <f>0.075*M1342</f>
        <v>0</v>
      </c>
      <c r="P1342" s="24">
        <f>0.00023*M1342</f>
        <v>0</v>
      </c>
      <c r="Q1342" s="25"/>
      <c r="R1342" s="26" t="s">
        <v>4200</v>
      </c>
      <c r="S1342" s="26" t="s">
        <v>29</v>
      </c>
      <c r="T1342" s="6" t="str">
        <f>HYPERLINK("https://kanzpp.ru/api/getInfo/image/87cd450f-bcc6-11ec-a211-ac1f6b442185")</f>
        <v>https://kanzpp.ru/api/getInfo/image/87cd450f-bcc6-11ec-a211-ac1f6b442185</v>
      </c>
      <c r="U1342" s="6"/>
      <c r="V1342" s="33" t="s">
        <v>35</v>
      </c>
    </row>
    <row r="1343" spans="2:22" ht="22.95" customHeight="1" outlineLevel="5" x14ac:dyDescent="0.2">
      <c r="B1343" s="83" t="s">
        <v>4201</v>
      </c>
      <c r="C1343" s="83"/>
      <c r="D1343" s="83"/>
      <c r="L1343">
        <v>0</v>
      </c>
    </row>
    <row r="1344" spans="2:22" ht="21" customHeight="1" outlineLevel="6" x14ac:dyDescent="0.2">
      <c r="B1344" s="69">
        <v>1005</v>
      </c>
      <c r="C1344" s="6" t="s">
        <v>4202</v>
      </c>
      <c r="D1344" s="6" t="s">
        <v>4203</v>
      </c>
      <c r="E1344" s="7" t="s">
        <v>4204</v>
      </c>
      <c r="F1344" s="13"/>
      <c r="G1344" s="14"/>
      <c r="H1344" s="15">
        <v>30</v>
      </c>
      <c r="I1344" s="14"/>
      <c r="J1344" s="15">
        <v>9</v>
      </c>
      <c r="K1344" s="5">
        <v>9</v>
      </c>
      <c r="L1344" s="16">
        <v>6.5333333333333341</v>
      </c>
      <c r="M1344" s="12"/>
      <c r="N1344" s="14">
        <f>L1344*M1344</f>
        <v>0</v>
      </c>
      <c r="O1344" s="23">
        <f>0.038*M1344</f>
        <v>0</v>
      </c>
      <c r="P1344" s="24">
        <f>0.00004*M1344</f>
        <v>0</v>
      </c>
      <c r="Q1344" s="25"/>
      <c r="R1344" s="26"/>
      <c r="S1344" s="26" t="s">
        <v>29</v>
      </c>
      <c r="T1344" s="6" t="str">
        <f>HYPERLINK("https://kanzpp.ru/api/getInfo/image/450af7f0-962e-11ed-a22d-00155d82e902")</f>
        <v>https://kanzpp.ru/api/getInfo/image/450af7f0-962e-11ed-a22d-00155d82e902</v>
      </c>
      <c r="U1344" s="6" t="s">
        <v>4205</v>
      </c>
      <c r="V1344" s="33" t="s">
        <v>35</v>
      </c>
    </row>
    <row r="1345" spans="2:22" ht="22.95" customHeight="1" outlineLevel="4" x14ac:dyDescent="0.2">
      <c r="B1345" s="82" t="s">
        <v>4206</v>
      </c>
      <c r="C1345" s="82"/>
      <c r="D1345" s="82"/>
      <c r="L1345">
        <v>0</v>
      </c>
    </row>
    <row r="1346" spans="2:22" ht="22.95" customHeight="1" outlineLevel="5" x14ac:dyDescent="0.2">
      <c r="B1346" s="83" t="s">
        <v>4207</v>
      </c>
      <c r="C1346" s="83"/>
      <c r="D1346" s="83"/>
      <c r="L1346">
        <v>0</v>
      </c>
    </row>
    <row r="1347" spans="2:22" ht="21" customHeight="1" outlineLevel="6" x14ac:dyDescent="0.2">
      <c r="B1347" s="69">
        <v>1006</v>
      </c>
      <c r="C1347" s="6" t="s">
        <v>4208</v>
      </c>
      <c r="D1347" s="6" t="s">
        <v>4209</v>
      </c>
      <c r="E1347" s="7" t="s">
        <v>4210</v>
      </c>
      <c r="F1347" s="13"/>
      <c r="G1347" s="14"/>
      <c r="H1347" s="15">
        <v>500</v>
      </c>
      <c r="I1347" s="15">
        <v>20</v>
      </c>
      <c r="J1347" s="17">
        <v>1023</v>
      </c>
      <c r="K1347" s="5">
        <v>30</v>
      </c>
      <c r="L1347" s="16">
        <v>4.666666666666667</v>
      </c>
      <c r="M1347" s="12"/>
      <c r="N1347" s="14">
        <f>L1347*M1347</f>
        <v>0</v>
      </c>
      <c r="O1347" s="23">
        <f>0.007*M1347</f>
        <v>0</v>
      </c>
      <c r="P1347" s="24">
        <f>0.00004*M1347</f>
        <v>0</v>
      </c>
      <c r="Q1347" s="25"/>
      <c r="R1347" s="26" t="s">
        <v>4211</v>
      </c>
      <c r="S1347" s="26" t="s">
        <v>93</v>
      </c>
      <c r="T1347" s="6" t="str">
        <f>HYPERLINK("https://kanzpp.ru/api/getInfo/image/fbbec95f-313e-11ee-a23e-00155d82e902")</f>
        <v>https://kanzpp.ru/api/getInfo/image/fbbec95f-313e-11ee-a23e-00155d82e902</v>
      </c>
      <c r="U1347" s="6"/>
      <c r="V1347" s="33" t="s">
        <v>35</v>
      </c>
    </row>
    <row r="1348" spans="2:22" ht="21" customHeight="1" outlineLevel="6" x14ac:dyDescent="0.2">
      <c r="B1348" s="69">
        <v>1007</v>
      </c>
      <c r="C1348" s="6" t="s">
        <v>4212</v>
      </c>
      <c r="D1348" s="6" t="s">
        <v>4213</v>
      </c>
      <c r="E1348" s="7" t="s">
        <v>4214</v>
      </c>
      <c r="F1348" s="13"/>
      <c r="G1348" s="14"/>
      <c r="H1348" s="15">
        <v>500</v>
      </c>
      <c r="I1348" s="15">
        <v>20</v>
      </c>
      <c r="J1348" s="15">
        <v>5</v>
      </c>
      <c r="K1348" s="5">
        <v>5</v>
      </c>
      <c r="L1348" s="16">
        <v>4.666666666666667</v>
      </c>
      <c r="M1348" s="12"/>
      <c r="N1348" s="14">
        <f>L1348*M1348</f>
        <v>0</v>
      </c>
      <c r="O1348" s="28">
        <f>0.01*M1348</f>
        <v>0</v>
      </c>
      <c r="P1348" s="24">
        <f>0.00004*M1348</f>
        <v>0</v>
      </c>
      <c r="Q1348" s="25"/>
      <c r="R1348" s="26" t="s">
        <v>4215</v>
      </c>
      <c r="S1348" s="26" t="s">
        <v>93</v>
      </c>
      <c r="T1348" s="6" t="str">
        <f>HYPERLINK("https://kanzpp.ru/api/getInfo/image/42687e25-17a9-11ec-a20f-ac1f6b442185")</f>
        <v>https://kanzpp.ru/api/getInfo/image/42687e25-17a9-11ec-a20f-ac1f6b442185</v>
      </c>
      <c r="U1348" s="6"/>
      <c r="V1348" s="33" t="s">
        <v>35</v>
      </c>
    </row>
    <row r="1349" spans="2:22" ht="21" customHeight="1" outlineLevel="6" x14ac:dyDescent="0.2">
      <c r="B1349" s="69">
        <v>1008</v>
      </c>
      <c r="C1349" s="6" t="s">
        <v>4216</v>
      </c>
      <c r="D1349" s="6" t="s">
        <v>4217</v>
      </c>
      <c r="E1349" s="7" t="s">
        <v>4218</v>
      </c>
      <c r="F1349" s="13"/>
      <c r="G1349" s="14"/>
      <c r="H1349" s="15">
        <v>500</v>
      </c>
      <c r="I1349" s="15">
        <v>20</v>
      </c>
      <c r="J1349" s="15">
        <v>50</v>
      </c>
      <c r="K1349" s="5">
        <v>30</v>
      </c>
      <c r="L1349" s="16">
        <v>6.5333333333333341</v>
      </c>
      <c r="M1349" s="12"/>
      <c r="N1349" s="14">
        <f>L1349*M1349</f>
        <v>0</v>
      </c>
      <c r="O1349" s="28">
        <f>0.01*M1349</f>
        <v>0</v>
      </c>
      <c r="P1349" s="24">
        <f>0.00004*M1349</f>
        <v>0</v>
      </c>
      <c r="Q1349" s="25"/>
      <c r="R1349" s="26" t="s">
        <v>4219</v>
      </c>
      <c r="S1349" s="26" t="s">
        <v>93</v>
      </c>
      <c r="T1349" s="6" t="str">
        <f>HYPERLINK("https://kanzpp.ru/api/getInfo/image/d2f9510c-0738-11ec-a20e-ac1f6b442185")</f>
        <v>https://kanzpp.ru/api/getInfo/image/d2f9510c-0738-11ec-a20e-ac1f6b442185</v>
      </c>
      <c r="U1349" s="6"/>
      <c r="V1349" s="33" t="s">
        <v>35</v>
      </c>
    </row>
    <row r="1350" spans="2:22" ht="22.95" customHeight="1" outlineLevel="5" x14ac:dyDescent="0.2">
      <c r="B1350" s="83" t="s">
        <v>4220</v>
      </c>
      <c r="C1350" s="83"/>
      <c r="D1350" s="83"/>
      <c r="L1350">
        <v>0</v>
      </c>
    </row>
    <row r="1351" spans="2:22" ht="21" customHeight="1" outlineLevel="6" x14ac:dyDescent="0.2">
      <c r="B1351" s="70">
        <v>1009</v>
      </c>
      <c r="C1351" s="3" t="s">
        <v>4221</v>
      </c>
      <c r="D1351" s="3" t="s">
        <v>4222</v>
      </c>
      <c r="E1351" s="4" t="s">
        <v>4223</v>
      </c>
      <c r="F1351" s="8"/>
      <c r="G1351" s="9"/>
      <c r="H1351" s="10">
        <v>500</v>
      </c>
      <c r="I1351" s="10">
        <v>20</v>
      </c>
      <c r="J1351" s="10">
        <v>20</v>
      </c>
      <c r="K1351" s="2">
        <v>20</v>
      </c>
      <c r="L1351" s="18">
        <v>5.8266666666666671</v>
      </c>
      <c r="M1351" s="12"/>
      <c r="N1351" s="9">
        <f>L1351*M1351</f>
        <v>0</v>
      </c>
      <c r="O1351" s="11">
        <f>0.01*M1351</f>
        <v>0</v>
      </c>
      <c r="P1351" s="30">
        <f>0.00005*M1351</f>
        <v>0</v>
      </c>
      <c r="Q1351" s="21"/>
      <c r="R1351" s="22" t="s">
        <v>4224</v>
      </c>
      <c r="S1351" s="22" t="s">
        <v>93</v>
      </c>
      <c r="T1351" s="3" t="str">
        <f>HYPERLINK("https://kanzpp.ru/api/getInfo/image/d728c36b-115f-11ec-a20f-ac1f6b442185")</f>
        <v>https://kanzpp.ru/api/getInfo/image/d728c36b-115f-11ec-a20f-ac1f6b442185</v>
      </c>
      <c r="U1351" s="3"/>
      <c r="V1351" s="32" t="s">
        <v>30</v>
      </c>
    </row>
    <row r="1352" spans="2:22" ht="22.95" customHeight="1" outlineLevel="5" x14ac:dyDescent="0.2">
      <c r="B1352" s="83" t="s">
        <v>4225</v>
      </c>
      <c r="C1352" s="83"/>
      <c r="D1352" s="83"/>
      <c r="L1352">
        <v>0</v>
      </c>
    </row>
    <row r="1353" spans="2:22" ht="21" customHeight="1" outlineLevel="6" x14ac:dyDescent="0.2">
      <c r="B1353" s="69">
        <v>1010</v>
      </c>
      <c r="C1353" s="6" t="s">
        <v>4226</v>
      </c>
      <c r="D1353" s="6" t="s">
        <v>4227</v>
      </c>
      <c r="E1353" s="7" t="s">
        <v>4228</v>
      </c>
      <c r="F1353" s="13"/>
      <c r="G1353" s="14"/>
      <c r="H1353" s="15">
        <v>500</v>
      </c>
      <c r="I1353" s="15">
        <v>20</v>
      </c>
      <c r="J1353" s="17">
        <v>1235</v>
      </c>
      <c r="K1353" s="5">
        <v>20</v>
      </c>
      <c r="L1353" s="16">
        <v>4.666666666666667</v>
      </c>
      <c r="M1353" s="12"/>
      <c r="N1353" s="14">
        <f>L1353*M1353</f>
        <v>0</v>
      </c>
      <c r="O1353" s="28">
        <f>0.03*M1353</f>
        <v>0</v>
      </c>
      <c r="P1353" s="24">
        <f>0.00032*M1353</f>
        <v>0</v>
      </c>
      <c r="Q1353" s="25"/>
      <c r="R1353" s="26" t="s">
        <v>4229</v>
      </c>
      <c r="S1353" s="26" t="s">
        <v>93</v>
      </c>
      <c r="T1353" s="6" t="str">
        <f>HYPERLINK("https://kanzpp.ru/api/getInfo/image/d5b3eb2d-01d6-11ed-a213-ac1f6b442185")</f>
        <v>https://kanzpp.ru/api/getInfo/image/d5b3eb2d-01d6-11ed-a213-ac1f6b442185</v>
      </c>
      <c r="U1353" s="6"/>
      <c r="V1353" s="33" t="s">
        <v>35</v>
      </c>
    </row>
    <row r="1354" spans="2:22" ht="21" customHeight="1" outlineLevel="6" x14ac:dyDescent="0.2">
      <c r="B1354" s="69">
        <v>1011</v>
      </c>
      <c r="C1354" s="6" t="s">
        <v>4230</v>
      </c>
      <c r="D1354" s="6" t="s">
        <v>4231</v>
      </c>
      <c r="E1354" s="7" t="s">
        <v>4232</v>
      </c>
      <c r="F1354" s="13"/>
      <c r="G1354" s="14"/>
      <c r="H1354" s="15">
        <v>500</v>
      </c>
      <c r="I1354" s="15">
        <v>20</v>
      </c>
      <c r="J1354" s="15">
        <v>522</v>
      </c>
      <c r="K1354" s="5">
        <v>20</v>
      </c>
      <c r="L1354" s="16">
        <v>4.666666666666667</v>
      </c>
      <c r="M1354" s="12"/>
      <c r="N1354" s="14">
        <f>L1354*M1354</f>
        <v>0</v>
      </c>
      <c r="O1354" s="28">
        <f>0.03*M1354</f>
        <v>0</v>
      </c>
      <c r="P1354" s="14">
        <v>0</v>
      </c>
      <c r="Q1354" s="25"/>
      <c r="R1354" s="26" t="s">
        <v>4233</v>
      </c>
      <c r="S1354" s="26" t="s">
        <v>93</v>
      </c>
      <c r="T1354" s="6" t="str">
        <f>HYPERLINK("https://kanzpp.ru/api/getInfo/image/22a7efb4-01d7-11ed-a213-ac1f6b442185")</f>
        <v>https://kanzpp.ru/api/getInfo/image/22a7efb4-01d7-11ed-a213-ac1f6b442185</v>
      </c>
      <c r="U1354" s="6"/>
      <c r="V1354" s="33" t="s">
        <v>35</v>
      </c>
    </row>
    <row r="1355" spans="2:22" ht="22.95" customHeight="1" outlineLevel="5" x14ac:dyDescent="0.2">
      <c r="B1355" s="83" t="s">
        <v>4234</v>
      </c>
      <c r="C1355" s="83"/>
      <c r="D1355" s="83"/>
      <c r="L1355">
        <v>0</v>
      </c>
    </row>
    <row r="1356" spans="2:22" ht="21" customHeight="1" outlineLevel="6" x14ac:dyDescent="0.2">
      <c r="B1356" s="69">
        <v>1012</v>
      </c>
      <c r="C1356" s="6" t="s">
        <v>4235</v>
      </c>
      <c r="D1356" s="6" t="s">
        <v>4236</v>
      </c>
      <c r="E1356" s="7" t="s">
        <v>4237</v>
      </c>
      <c r="F1356" s="13"/>
      <c r="G1356" s="14"/>
      <c r="H1356" s="15">
        <v>500</v>
      </c>
      <c r="I1356" s="15">
        <v>20</v>
      </c>
      <c r="J1356" s="15">
        <v>20</v>
      </c>
      <c r="K1356" s="5">
        <v>10</v>
      </c>
      <c r="L1356" s="16">
        <v>6.5333333333333341</v>
      </c>
      <c r="M1356" s="12"/>
      <c r="N1356" s="14">
        <f>L1356*M1356</f>
        <v>0</v>
      </c>
      <c r="O1356" s="28">
        <f>0.02*M1356</f>
        <v>0</v>
      </c>
      <c r="P1356" s="24">
        <f>0.00007*M1356</f>
        <v>0</v>
      </c>
      <c r="Q1356" s="25"/>
      <c r="R1356" s="26" t="s">
        <v>4238</v>
      </c>
      <c r="S1356" s="26" t="s">
        <v>93</v>
      </c>
      <c r="T1356" s="6" t="str">
        <f>HYPERLINK("https://kanzpp.ru/api/getInfo/image/5e405b43-5e55-11ec-a20f-ac1f6b442185")</f>
        <v>https://kanzpp.ru/api/getInfo/image/5e405b43-5e55-11ec-a20f-ac1f6b442185</v>
      </c>
      <c r="U1356" s="6"/>
      <c r="V1356" s="33" t="s">
        <v>35</v>
      </c>
    </row>
    <row r="1357" spans="2:22" ht="22.95" customHeight="1" outlineLevel="4" x14ac:dyDescent="0.2">
      <c r="B1357" s="82" t="s">
        <v>4239</v>
      </c>
      <c r="C1357" s="82"/>
      <c r="D1357" s="82"/>
      <c r="L1357">
        <v>0</v>
      </c>
    </row>
    <row r="1358" spans="2:22" ht="22.95" customHeight="1" outlineLevel="5" x14ac:dyDescent="0.2">
      <c r="B1358" s="83" t="s">
        <v>4240</v>
      </c>
      <c r="C1358" s="83"/>
      <c r="D1358" s="83"/>
      <c r="L1358">
        <v>0</v>
      </c>
    </row>
    <row r="1359" spans="2:22" ht="22.95" customHeight="1" outlineLevel="6" x14ac:dyDescent="0.2">
      <c r="B1359" s="84" t="s">
        <v>4241</v>
      </c>
      <c r="C1359" s="84"/>
      <c r="D1359" s="84"/>
      <c r="L1359">
        <v>0</v>
      </c>
    </row>
    <row r="1360" spans="2:22" ht="21" customHeight="1" outlineLevel="7" x14ac:dyDescent="0.2">
      <c r="B1360" s="69">
        <v>1013</v>
      </c>
      <c r="C1360" s="6" t="s">
        <v>4242</v>
      </c>
      <c r="D1360" s="6" t="s">
        <v>4243</v>
      </c>
      <c r="E1360" s="7" t="s">
        <v>4244</v>
      </c>
      <c r="F1360" s="13"/>
      <c r="G1360" s="14"/>
      <c r="H1360" s="15">
        <v>50</v>
      </c>
      <c r="I1360" s="14"/>
      <c r="J1360" s="15">
        <v>30</v>
      </c>
      <c r="K1360" s="5">
        <v>3</v>
      </c>
      <c r="L1360" s="16">
        <v>105.33333333333333</v>
      </c>
      <c r="M1360" s="12"/>
      <c r="N1360" s="14">
        <f>L1360*M1360</f>
        <v>0</v>
      </c>
      <c r="O1360" s="23">
        <f>0.384*M1360</f>
        <v>0</v>
      </c>
      <c r="P1360" s="24">
        <f>0.00122*M1360</f>
        <v>0</v>
      </c>
      <c r="Q1360" s="25"/>
      <c r="R1360" s="26"/>
      <c r="S1360" s="26" t="s">
        <v>29</v>
      </c>
      <c r="T1360" s="6"/>
      <c r="U1360" s="6" t="s">
        <v>4245</v>
      </c>
      <c r="V1360" s="33" t="s">
        <v>35</v>
      </c>
    </row>
    <row r="1361" spans="2:22" ht="22.95" customHeight="1" outlineLevel="6" x14ac:dyDescent="0.2">
      <c r="B1361" s="84" t="s">
        <v>4246</v>
      </c>
      <c r="C1361" s="84"/>
      <c r="D1361" s="84"/>
      <c r="L1361">
        <v>0</v>
      </c>
    </row>
    <row r="1362" spans="2:22" ht="21" customHeight="1" outlineLevel="7" x14ac:dyDescent="0.2">
      <c r="B1362" s="69">
        <v>1014</v>
      </c>
      <c r="C1362" s="6" t="s">
        <v>4247</v>
      </c>
      <c r="D1362" s="6" t="s">
        <v>4248</v>
      </c>
      <c r="E1362" s="7" t="s">
        <v>4249</v>
      </c>
      <c r="F1362" s="13"/>
      <c r="G1362" s="14"/>
      <c r="H1362" s="14"/>
      <c r="I1362" s="15">
        <v>30</v>
      </c>
      <c r="J1362" s="15">
        <v>61</v>
      </c>
      <c r="K1362" s="5">
        <v>6</v>
      </c>
      <c r="L1362" s="16">
        <v>12</v>
      </c>
      <c r="M1362" s="12"/>
      <c r="N1362" s="14">
        <f>L1362*M1362</f>
        <v>0</v>
      </c>
      <c r="O1362" s="23">
        <f>0.082*M1362</f>
        <v>0</v>
      </c>
      <c r="P1362" s="24">
        <f>0.00005*M1362</f>
        <v>0</v>
      </c>
      <c r="Q1362" s="25"/>
      <c r="R1362" s="26" t="s">
        <v>4250</v>
      </c>
      <c r="S1362" s="26" t="s">
        <v>29</v>
      </c>
      <c r="T1362" s="6" t="str">
        <f>HYPERLINK("https://kanzpp.ru/api/getInfo/image/075c6a57-b120-11ed-a230-00155d82e902")</f>
        <v>https://kanzpp.ru/api/getInfo/image/075c6a57-b120-11ed-a230-00155d82e902</v>
      </c>
      <c r="U1362" s="6"/>
      <c r="V1362" s="33" t="s">
        <v>35</v>
      </c>
    </row>
    <row r="1363" spans="2:22" ht="22.95" customHeight="1" outlineLevel="5" x14ac:dyDescent="0.2">
      <c r="B1363" s="83" t="s">
        <v>4251</v>
      </c>
      <c r="C1363" s="83"/>
      <c r="D1363" s="83"/>
      <c r="L1363">
        <v>0</v>
      </c>
    </row>
    <row r="1364" spans="2:22" ht="22.95" customHeight="1" outlineLevel="6" x14ac:dyDescent="0.2">
      <c r="B1364" s="84" t="s">
        <v>4252</v>
      </c>
      <c r="C1364" s="84"/>
      <c r="D1364" s="84"/>
      <c r="L1364">
        <v>0</v>
      </c>
    </row>
    <row r="1365" spans="2:22" ht="21" customHeight="1" outlineLevel="7" x14ac:dyDescent="0.2">
      <c r="B1365" s="69">
        <v>1015</v>
      </c>
      <c r="C1365" s="6" t="s">
        <v>4253</v>
      </c>
      <c r="D1365" s="6" t="s">
        <v>4254</v>
      </c>
      <c r="E1365" s="7" t="s">
        <v>4255</v>
      </c>
      <c r="F1365" s="13"/>
      <c r="G1365" s="14"/>
      <c r="H1365" s="15">
        <v>30</v>
      </c>
      <c r="I1365" s="14"/>
      <c r="J1365" s="15">
        <v>52</v>
      </c>
      <c r="K1365" s="5">
        <v>2</v>
      </c>
      <c r="L1365" s="16">
        <v>212</v>
      </c>
      <c r="M1365" s="12"/>
      <c r="N1365" s="14">
        <f>L1365*M1365</f>
        <v>0</v>
      </c>
      <c r="O1365" s="23">
        <f>0.202*M1365</f>
        <v>0</v>
      </c>
      <c r="P1365" s="31">
        <f>0.0009*M1365</f>
        <v>0</v>
      </c>
      <c r="Q1365" s="25"/>
      <c r="R1365" s="26" t="s">
        <v>4256</v>
      </c>
      <c r="S1365" s="26" t="s">
        <v>93</v>
      </c>
      <c r="T1365" s="6" t="str">
        <f>HYPERLINK("https://kanzpp.ru/api/getInfo/image/acbfe38f-cbf3-11ee-a25a-00155d82e908")</f>
        <v>https://kanzpp.ru/api/getInfo/image/acbfe38f-cbf3-11ee-a25a-00155d82e908</v>
      </c>
      <c r="U1365" s="6"/>
      <c r="V1365" s="33" t="s">
        <v>35</v>
      </c>
    </row>
    <row r="1366" spans="2:22" ht="22.95" customHeight="1" outlineLevel="5" x14ac:dyDescent="0.2">
      <c r="B1366" s="83" t="s">
        <v>4257</v>
      </c>
      <c r="C1366" s="83"/>
      <c r="D1366" s="83"/>
      <c r="L1366">
        <v>0</v>
      </c>
    </row>
    <row r="1367" spans="2:22" ht="22.95" customHeight="1" outlineLevel="6" x14ac:dyDescent="0.2">
      <c r="B1367" s="84" t="s">
        <v>4258</v>
      </c>
      <c r="C1367" s="84"/>
      <c r="D1367" s="84"/>
      <c r="L1367">
        <v>0</v>
      </c>
    </row>
    <row r="1368" spans="2:22" ht="21" customHeight="1" outlineLevel="7" x14ac:dyDescent="0.2">
      <c r="B1368" s="69">
        <v>1016</v>
      </c>
      <c r="C1368" s="6" t="s">
        <v>4259</v>
      </c>
      <c r="D1368" s="6" t="s">
        <v>4260</v>
      </c>
      <c r="E1368" s="7" t="s">
        <v>4261</v>
      </c>
      <c r="F1368" s="13"/>
      <c r="G1368" s="14"/>
      <c r="H1368" s="15">
        <v>50</v>
      </c>
      <c r="I1368" s="14"/>
      <c r="J1368" s="15">
        <v>20</v>
      </c>
      <c r="K1368" s="5">
        <v>10</v>
      </c>
      <c r="L1368" s="16">
        <v>52</v>
      </c>
      <c r="M1368" s="12"/>
      <c r="N1368" s="14">
        <f>L1368*M1368</f>
        <v>0</v>
      </c>
      <c r="O1368" s="28">
        <f>0.05*M1368</f>
        <v>0</v>
      </c>
      <c r="P1368" s="24">
        <f>0.00051*M1368</f>
        <v>0</v>
      </c>
      <c r="Q1368" s="25"/>
      <c r="R1368" s="26"/>
      <c r="S1368" s="26" t="s">
        <v>29</v>
      </c>
      <c r="T1368" s="6"/>
      <c r="U1368" s="6" t="s">
        <v>4262</v>
      </c>
      <c r="V1368" s="33" t="s">
        <v>35</v>
      </c>
    </row>
    <row r="1369" spans="2:22" ht="22.95" customHeight="1" outlineLevel="5" x14ac:dyDescent="0.2">
      <c r="B1369" s="83" t="s">
        <v>293</v>
      </c>
      <c r="C1369" s="83"/>
      <c r="D1369" s="83"/>
      <c r="L1369">
        <v>0</v>
      </c>
    </row>
    <row r="1370" spans="2:22" ht="22.95" customHeight="1" outlineLevel="6" x14ac:dyDescent="0.2">
      <c r="B1370" s="84" t="s">
        <v>4263</v>
      </c>
      <c r="C1370" s="84"/>
      <c r="D1370" s="84"/>
      <c r="L1370">
        <v>0</v>
      </c>
    </row>
    <row r="1371" spans="2:22" ht="21" customHeight="1" outlineLevel="7" x14ac:dyDescent="0.2">
      <c r="B1371" s="69">
        <v>1017</v>
      </c>
      <c r="C1371" s="6" t="s">
        <v>4264</v>
      </c>
      <c r="D1371" s="6" t="s">
        <v>4265</v>
      </c>
      <c r="E1371" s="7" t="s">
        <v>4266</v>
      </c>
      <c r="F1371" s="13"/>
      <c r="G1371" s="14"/>
      <c r="H1371" s="14"/>
      <c r="I1371" s="15">
        <v>30</v>
      </c>
      <c r="J1371" s="15">
        <v>392</v>
      </c>
      <c r="K1371" s="5">
        <v>10</v>
      </c>
      <c r="L1371" s="16">
        <v>9.2000000000000011</v>
      </c>
      <c r="M1371" s="12"/>
      <c r="N1371" s="14">
        <f>L1371*M1371</f>
        <v>0</v>
      </c>
      <c r="O1371" s="23">
        <f>0.071*M1371</f>
        <v>0</v>
      </c>
      <c r="P1371" s="24">
        <f>0.00022*M1371</f>
        <v>0</v>
      </c>
      <c r="Q1371" s="25"/>
      <c r="R1371" s="26" t="s">
        <v>4267</v>
      </c>
      <c r="S1371" s="26" t="s">
        <v>29</v>
      </c>
      <c r="T1371" s="6" t="str">
        <f>HYPERLINK("https://kanzpp.ru/api/getInfo/image/3622bc49-e3fa-11ed-a233-00155d82e902")</f>
        <v>https://kanzpp.ru/api/getInfo/image/3622bc49-e3fa-11ed-a233-00155d82e902</v>
      </c>
      <c r="U1371" s="6"/>
      <c r="V1371" s="33" t="s">
        <v>35</v>
      </c>
    </row>
    <row r="1372" spans="2:22" ht="21" customHeight="1" outlineLevel="7" x14ac:dyDescent="0.2">
      <c r="B1372" s="69">
        <v>1018</v>
      </c>
      <c r="C1372" s="6" t="s">
        <v>4268</v>
      </c>
      <c r="D1372" s="6" t="s">
        <v>4269</v>
      </c>
      <c r="E1372" s="7" t="s">
        <v>4270</v>
      </c>
      <c r="F1372" s="13"/>
      <c r="G1372" s="14"/>
      <c r="H1372" s="14"/>
      <c r="I1372" s="15">
        <v>30</v>
      </c>
      <c r="J1372" s="15">
        <v>5</v>
      </c>
      <c r="K1372" s="5">
        <v>5</v>
      </c>
      <c r="L1372" s="16">
        <v>9.2000000000000011</v>
      </c>
      <c r="M1372" s="12"/>
      <c r="N1372" s="14">
        <f>L1372*M1372</f>
        <v>0</v>
      </c>
      <c r="O1372" s="23">
        <f>0.071*M1372</f>
        <v>0</v>
      </c>
      <c r="P1372" s="24">
        <f>0.00016*M1372</f>
        <v>0</v>
      </c>
      <c r="Q1372" s="25"/>
      <c r="R1372" s="26" t="s">
        <v>4271</v>
      </c>
      <c r="S1372" s="26" t="s">
        <v>29</v>
      </c>
      <c r="T1372" s="6" t="str">
        <f>HYPERLINK("https://kanzpp.ru/api/getInfo/image/d9eb6fee-e3fa-11ed-a233-00155d82e902")</f>
        <v>https://kanzpp.ru/api/getInfo/image/d9eb6fee-e3fa-11ed-a233-00155d82e902</v>
      </c>
      <c r="U1372" s="6"/>
      <c r="V1372" s="33" t="s">
        <v>35</v>
      </c>
    </row>
    <row r="1373" spans="2:22" ht="22.95" customHeight="1" outlineLevel="5" x14ac:dyDescent="0.2">
      <c r="B1373" s="83" t="s">
        <v>4272</v>
      </c>
      <c r="C1373" s="83"/>
      <c r="D1373" s="83"/>
      <c r="L1373">
        <v>0</v>
      </c>
    </row>
    <row r="1374" spans="2:22" ht="22.95" customHeight="1" outlineLevel="6" x14ac:dyDescent="0.2">
      <c r="B1374" s="84" t="s">
        <v>4273</v>
      </c>
      <c r="C1374" s="84"/>
      <c r="D1374" s="84"/>
      <c r="L1374">
        <v>0</v>
      </c>
    </row>
    <row r="1375" spans="2:22" ht="21" customHeight="1" outlineLevel="7" x14ac:dyDescent="0.2">
      <c r="B1375" s="69">
        <v>1019</v>
      </c>
      <c r="C1375" s="6" t="s">
        <v>4274</v>
      </c>
      <c r="D1375" s="6" t="s">
        <v>4275</v>
      </c>
      <c r="E1375" s="7" t="s">
        <v>4276</v>
      </c>
      <c r="F1375" s="13"/>
      <c r="G1375" s="14"/>
      <c r="H1375" s="14"/>
      <c r="I1375" s="15">
        <v>30</v>
      </c>
      <c r="J1375" s="15">
        <v>865</v>
      </c>
      <c r="K1375" s="5">
        <v>5</v>
      </c>
      <c r="L1375" s="16">
        <v>13.200000000000001</v>
      </c>
      <c r="M1375" s="12"/>
      <c r="N1375" s="14">
        <f>L1375*M1375</f>
        <v>0</v>
      </c>
      <c r="O1375" s="23">
        <f>0.098*M1375</f>
        <v>0</v>
      </c>
      <c r="P1375" s="24">
        <f>0.00042*M1375</f>
        <v>0</v>
      </c>
      <c r="Q1375" s="25"/>
      <c r="R1375" s="26" t="s">
        <v>4277</v>
      </c>
      <c r="S1375" s="26" t="s">
        <v>29</v>
      </c>
      <c r="T1375" s="6" t="str">
        <f>HYPERLINK("https://kanzpp.ru/api/getInfo/image/4b8d90b0-0359-11ed-a213-ac1f6b442185")</f>
        <v>https://kanzpp.ru/api/getInfo/image/4b8d90b0-0359-11ed-a213-ac1f6b442185</v>
      </c>
      <c r="U1375" s="6"/>
      <c r="V1375" s="33" t="s">
        <v>35</v>
      </c>
    </row>
    <row r="1376" spans="2:22" ht="22.95" customHeight="1" outlineLevel="3" x14ac:dyDescent="0.2">
      <c r="B1376" s="81" t="s">
        <v>4278</v>
      </c>
      <c r="C1376" s="81"/>
      <c r="D1376" s="81"/>
      <c r="L1376">
        <v>0</v>
      </c>
    </row>
    <row r="1377" spans="2:22" ht="22.95" customHeight="1" outlineLevel="4" x14ac:dyDescent="0.2">
      <c r="B1377" s="82" t="s">
        <v>4279</v>
      </c>
      <c r="C1377" s="82"/>
      <c r="D1377" s="82"/>
      <c r="L1377">
        <v>0</v>
      </c>
    </row>
    <row r="1378" spans="2:22" ht="22.95" customHeight="1" outlineLevel="5" x14ac:dyDescent="0.2">
      <c r="B1378" s="83" t="s">
        <v>4280</v>
      </c>
      <c r="C1378" s="83"/>
      <c r="D1378" s="83"/>
      <c r="L1378">
        <v>0</v>
      </c>
    </row>
    <row r="1379" spans="2:22" ht="21" customHeight="1" outlineLevel="6" x14ac:dyDescent="0.2">
      <c r="B1379" s="69">
        <v>1020</v>
      </c>
      <c r="C1379" s="6" t="s">
        <v>4281</v>
      </c>
      <c r="D1379" s="6" t="s">
        <v>4282</v>
      </c>
      <c r="E1379" s="7" t="s">
        <v>4283</v>
      </c>
      <c r="F1379" s="13"/>
      <c r="G1379" s="14"/>
      <c r="H1379" s="14"/>
      <c r="I1379" s="15">
        <v>50</v>
      </c>
      <c r="J1379" s="14" t="s">
        <v>144</v>
      </c>
      <c r="K1379" s="5">
        <v>50</v>
      </c>
      <c r="L1379" s="16">
        <v>7.8666666666666671</v>
      </c>
      <c r="M1379" s="12"/>
      <c r="N1379" s="14">
        <f>L1379*M1379</f>
        <v>0</v>
      </c>
      <c r="O1379" s="23">
        <f>0.026*M1379</f>
        <v>0</v>
      </c>
      <c r="P1379" s="24">
        <f>0.00003*M1379</f>
        <v>0</v>
      </c>
      <c r="Q1379" s="25"/>
      <c r="R1379" s="26" t="s">
        <v>4284</v>
      </c>
      <c r="S1379" s="26" t="s">
        <v>29</v>
      </c>
      <c r="T1379" s="6" t="str">
        <f>HYPERLINK("https://kanzpp.ru/api/getInfo/image/8dd82bcd-dc8f-11e6-b747-5cf3fc4a2490")</f>
        <v>https://kanzpp.ru/api/getInfo/image/8dd82bcd-dc8f-11e6-b747-5cf3fc4a2490</v>
      </c>
      <c r="U1379" s="6"/>
      <c r="V1379" s="33" t="s">
        <v>35</v>
      </c>
    </row>
    <row r="1380" spans="2:22" ht="21" customHeight="1" outlineLevel="6" x14ac:dyDescent="0.2">
      <c r="B1380" s="69">
        <v>1021</v>
      </c>
      <c r="C1380" s="6" t="s">
        <v>4285</v>
      </c>
      <c r="D1380" s="6" t="s">
        <v>4286</v>
      </c>
      <c r="E1380" s="7" t="s">
        <v>4287</v>
      </c>
      <c r="F1380" s="13"/>
      <c r="G1380" s="14"/>
      <c r="H1380" s="14"/>
      <c r="I1380" s="15">
        <v>50</v>
      </c>
      <c r="J1380" s="15">
        <v>1</v>
      </c>
      <c r="K1380" s="5">
        <v>1</v>
      </c>
      <c r="L1380" s="16">
        <v>9.2000000000000011</v>
      </c>
      <c r="M1380" s="12"/>
      <c r="N1380" s="14">
        <f>L1380*M1380</f>
        <v>0</v>
      </c>
      <c r="O1380" s="23">
        <f>0.026*M1380</f>
        <v>0</v>
      </c>
      <c r="P1380" s="24">
        <f>0.00003*M1380</f>
        <v>0</v>
      </c>
      <c r="Q1380" s="25"/>
      <c r="R1380" s="26" t="s">
        <v>4288</v>
      </c>
      <c r="S1380" s="26" t="s">
        <v>29</v>
      </c>
      <c r="T1380" s="6" t="str">
        <f>HYPERLINK("https://kanzpp.ru/api/getInfo/image/13c6023f-ed17-11e1-b88e-5cf3fc4a2492")</f>
        <v>https://kanzpp.ru/api/getInfo/image/13c6023f-ed17-11e1-b88e-5cf3fc4a2492</v>
      </c>
      <c r="U1380" s="6"/>
      <c r="V1380" s="33" t="s">
        <v>35</v>
      </c>
    </row>
    <row r="1381" spans="2:22" ht="22.95" customHeight="1" outlineLevel="4" x14ac:dyDescent="0.2">
      <c r="B1381" s="82" t="s">
        <v>4289</v>
      </c>
      <c r="C1381" s="82"/>
      <c r="D1381" s="82"/>
      <c r="L1381">
        <v>0</v>
      </c>
    </row>
    <row r="1382" spans="2:22" ht="22.95" customHeight="1" outlineLevel="5" x14ac:dyDescent="0.2">
      <c r="B1382" s="83" t="s">
        <v>4290</v>
      </c>
      <c r="C1382" s="83"/>
      <c r="D1382" s="83"/>
      <c r="L1382">
        <v>0</v>
      </c>
    </row>
    <row r="1383" spans="2:22" ht="22.95" customHeight="1" outlineLevel="6" x14ac:dyDescent="0.2">
      <c r="B1383" s="84" t="s">
        <v>4291</v>
      </c>
      <c r="C1383" s="84"/>
      <c r="D1383" s="84"/>
      <c r="L1383">
        <v>0</v>
      </c>
    </row>
    <row r="1384" spans="2:22" ht="21" customHeight="1" outlineLevel="7" x14ac:dyDescent="0.2">
      <c r="B1384" s="69">
        <v>1022</v>
      </c>
      <c r="C1384" s="6" t="s">
        <v>4292</v>
      </c>
      <c r="D1384" s="6" t="s">
        <v>4293</v>
      </c>
      <c r="E1384" s="7" t="s">
        <v>4294</v>
      </c>
      <c r="F1384" s="13"/>
      <c r="G1384" s="14"/>
      <c r="H1384" s="14"/>
      <c r="I1384" s="15">
        <v>50</v>
      </c>
      <c r="J1384" s="15">
        <v>399</v>
      </c>
      <c r="K1384" s="5">
        <v>25</v>
      </c>
      <c r="L1384" s="16">
        <v>26.533333333333331</v>
      </c>
      <c r="M1384" s="12"/>
      <c r="N1384" s="14">
        <f>L1384*M1384</f>
        <v>0</v>
      </c>
      <c r="O1384" s="23">
        <f>0.048*M1384</f>
        <v>0</v>
      </c>
      <c r="P1384" s="24">
        <f>0.00005*M1384</f>
        <v>0</v>
      </c>
      <c r="Q1384" s="25"/>
      <c r="R1384" s="26" t="s">
        <v>4295</v>
      </c>
      <c r="S1384" s="26" t="s">
        <v>29</v>
      </c>
      <c r="T1384" s="6" t="str">
        <f>HYPERLINK("https://kanzpp.ru/api/getInfo/image/b670bdb8-ae23-11e5-9e79-5cf3fc4a2490")</f>
        <v>https://kanzpp.ru/api/getInfo/image/b670bdb8-ae23-11e5-9e79-5cf3fc4a2490</v>
      </c>
      <c r="U1384" s="6"/>
      <c r="V1384" s="33" t="s">
        <v>35</v>
      </c>
    </row>
    <row r="1385" spans="2:22" ht="22.95" customHeight="1" outlineLevel="6" x14ac:dyDescent="0.2">
      <c r="B1385" s="84" t="s">
        <v>4296</v>
      </c>
      <c r="C1385" s="84"/>
      <c r="D1385" s="84"/>
      <c r="L1385">
        <v>0</v>
      </c>
    </row>
    <row r="1386" spans="2:22" ht="21" customHeight="1" outlineLevel="7" x14ac:dyDescent="0.2">
      <c r="B1386" s="69">
        <v>1023</v>
      </c>
      <c r="C1386" s="6" t="s">
        <v>4297</v>
      </c>
      <c r="D1386" s="6" t="s">
        <v>4298</v>
      </c>
      <c r="E1386" s="7" t="s">
        <v>4299</v>
      </c>
      <c r="F1386" s="13"/>
      <c r="G1386" s="14"/>
      <c r="H1386" s="14"/>
      <c r="I1386" s="15">
        <v>50</v>
      </c>
      <c r="J1386" s="17">
        <v>1354</v>
      </c>
      <c r="K1386" s="5">
        <v>40</v>
      </c>
      <c r="L1386" s="16">
        <v>13.200000000000001</v>
      </c>
      <c r="M1386" s="12"/>
      <c r="N1386" s="14">
        <f>L1386*M1386</f>
        <v>0</v>
      </c>
      <c r="O1386" s="23">
        <f>0.027*M1386</f>
        <v>0</v>
      </c>
      <c r="P1386" s="24">
        <f>0.00003*M1386</f>
        <v>0</v>
      </c>
      <c r="Q1386" s="25"/>
      <c r="R1386" s="26" t="s">
        <v>4300</v>
      </c>
      <c r="S1386" s="26" t="s">
        <v>29</v>
      </c>
      <c r="T1386" s="6" t="str">
        <f>HYPERLINK("https://kanzpp.ru/api/getInfo/image/790a5c10-b874-11e6-8e43-5cf3fc4a2490")</f>
        <v>https://kanzpp.ru/api/getInfo/image/790a5c10-b874-11e6-8e43-5cf3fc4a2490</v>
      </c>
      <c r="U1386" s="6"/>
      <c r="V1386" s="33" t="s">
        <v>35</v>
      </c>
    </row>
    <row r="1387" spans="2:22" ht="22.95" customHeight="1" outlineLevel="5" x14ac:dyDescent="0.2">
      <c r="B1387" s="83" t="s">
        <v>4301</v>
      </c>
      <c r="C1387" s="83"/>
      <c r="D1387" s="83"/>
      <c r="L1387">
        <v>0</v>
      </c>
    </row>
    <row r="1388" spans="2:22" ht="21" customHeight="1" outlineLevel="6" x14ac:dyDescent="0.2">
      <c r="B1388" s="69">
        <v>1024</v>
      </c>
      <c r="C1388" s="6" t="s">
        <v>4302</v>
      </c>
      <c r="D1388" s="6" t="s">
        <v>4303</v>
      </c>
      <c r="E1388" s="7" t="s">
        <v>4304</v>
      </c>
      <c r="F1388" s="13"/>
      <c r="G1388" s="14"/>
      <c r="H1388" s="14"/>
      <c r="I1388" s="15">
        <v>50</v>
      </c>
      <c r="J1388" s="14" t="s">
        <v>144</v>
      </c>
      <c r="K1388" s="5">
        <v>40</v>
      </c>
      <c r="L1388" s="16">
        <v>7.8666666666666671</v>
      </c>
      <c r="M1388" s="12"/>
      <c r="N1388" s="14">
        <f>L1388*M1388</f>
        <v>0</v>
      </c>
      <c r="O1388" s="23">
        <f>0.023*M1388</f>
        <v>0</v>
      </c>
      <c r="P1388" s="24">
        <f>0.00003*M1388</f>
        <v>0</v>
      </c>
      <c r="Q1388" s="25"/>
      <c r="R1388" s="26" t="s">
        <v>4305</v>
      </c>
      <c r="S1388" s="26" t="s">
        <v>29</v>
      </c>
      <c r="T1388" s="6" t="str">
        <f>HYPERLINK("https://kanzpp.ru/api/getInfo/image/c8a7a357-b790-11e6-8e43-5cf3fc4a2490")</f>
        <v>https://kanzpp.ru/api/getInfo/image/c8a7a357-b790-11e6-8e43-5cf3fc4a2490</v>
      </c>
      <c r="U1388" s="6"/>
      <c r="V1388" s="33" t="s">
        <v>35</v>
      </c>
    </row>
    <row r="1389" spans="2:22" ht="21" customHeight="1" outlineLevel="6" x14ac:dyDescent="0.2">
      <c r="B1389" s="69">
        <v>1025</v>
      </c>
      <c r="C1389" s="6" t="s">
        <v>4306</v>
      </c>
      <c r="D1389" s="6" t="s">
        <v>4307</v>
      </c>
      <c r="E1389" s="7" t="s">
        <v>4308</v>
      </c>
      <c r="F1389" s="13"/>
      <c r="G1389" s="14"/>
      <c r="H1389" s="14"/>
      <c r="I1389" s="15">
        <v>50</v>
      </c>
      <c r="J1389" s="15">
        <v>343</v>
      </c>
      <c r="K1389" s="5">
        <v>40</v>
      </c>
      <c r="L1389" s="16">
        <v>7.8666666666666671</v>
      </c>
      <c r="M1389" s="12"/>
      <c r="N1389" s="14">
        <f>L1389*M1389</f>
        <v>0</v>
      </c>
      <c r="O1389" s="23">
        <f>0.023*M1389</f>
        <v>0</v>
      </c>
      <c r="P1389" s="24">
        <f>0.00003*M1389</f>
        <v>0</v>
      </c>
      <c r="Q1389" s="25"/>
      <c r="R1389" s="26" t="s">
        <v>4309</v>
      </c>
      <c r="S1389" s="26" t="s">
        <v>29</v>
      </c>
      <c r="T1389" s="6" t="str">
        <f>HYPERLINK("https://kanzpp.ru/api/getInfo/image/639ee717-b791-11e6-8e43-5cf3fc4a2490")</f>
        <v>https://kanzpp.ru/api/getInfo/image/639ee717-b791-11e6-8e43-5cf3fc4a2490</v>
      </c>
      <c r="U1389" s="6"/>
      <c r="V1389" s="33" t="s">
        <v>35</v>
      </c>
    </row>
    <row r="1390" spans="2:22" ht="22.95" customHeight="1" outlineLevel="5" x14ac:dyDescent="0.2">
      <c r="B1390" s="83" t="s">
        <v>4310</v>
      </c>
      <c r="C1390" s="83"/>
      <c r="D1390" s="83"/>
      <c r="L1390">
        <v>0</v>
      </c>
    </row>
    <row r="1391" spans="2:22" ht="21" customHeight="1" outlineLevel="6" x14ac:dyDescent="0.2">
      <c r="B1391" s="69">
        <v>1026</v>
      </c>
      <c r="C1391" s="6" t="s">
        <v>4311</v>
      </c>
      <c r="D1391" s="6" t="s">
        <v>4312</v>
      </c>
      <c r="E1391" s="7" t="s">
        <v>4313</v>
      </c>
      <c r="F1391" s="13"/>
      <c r="G1391" s="14"/>
      <c r="H1391" s="14"/>
      <c r="I1391" s="15">
        <v>50</v>
      </c>
      <c r="J1391" s="15">
        <v>955</v>
      </c>
      <c r="K1391" s="5">
        <v>40</v>
      </c>
      <c r="L1391" s="16">
        <v>4.5866666666666669</v>
      </c>
      <c r="M1391" s="12"/>
      <c r="N1391" s="14">
        <f>L1391*M1391</f>
        <v>0</v>
      </c>
      <c r="O1391" s="23">
        <f>0.023*M1391</f>
        <v>0</v>
      </c>
      <c r="P1391" s="24">
        <f>0.00003*M1391</f>
        <v>0</v>
      </c>
      <c r="Q1391" s="25"/>
      <c r="R1391" s="26" t="s">
        <v>4314</v>
      </c>
      <c r="S1391" s="26" t="s">
        <v>29</v>
      </c>
      <c r="T1391" s="6" t="str">
        <f>HYPERLINK("https://kanzpp.ru/api/getInfo/image/bd187918-f410-11e6-81a9-5cf3fc4a2490")</f>
        <v>https://kanzpp.ru/api/getInfo/image/bd187918-f410-11e6-81a9-5cf3fc4a2490</v>
      </c>
      <c r="U1391" s="6"/>
      <c r="V1391" s="33" t="s">
        <v>35</v>
      </c>
    </row>
    <row r="1392" spans="2:22" ht="22.95" customHeight="1" outlineLevel="5" x14ac:dyDescent="0.2">
      <c r="B1392" s="83" t="s">
        <v>4315</v>
      </c>
      <c r="C1392" s="83"/>
      <c r="D1392" s="83"/>
      <c r="L1392">
        <v>0</v>
      </c>
    </row>
    <row r="1393" spans="2:22" ht="21" customHeight="1" outlineLevel="6" x14ac:dyDescent="0.2">
      <c r="B1393" s="69">
        <v>1027</v>
      </c>
      <c r="C1393" s="6" t="s">
        <v>4316</v>
      </c>
      <c r="D1393" s="6" t="s">
        <v>4317</v>
      </c>
      <c r="E1393" s="7" t="s">
        <v>4318</v>
      </c>
      <c r="F1393" s="13"/>
      <c r="G1393" s="14"/>
      <c r="H1393" s="14"/>
      <c r="I1393" s="15">
        <v>50</v>
      </c>
      <c r="J1393" s="15">
        <v>962</v>
      </c>
      <c r="K1393" s="5">
        <v>50</v>
      </c>
      <c r="L1393" s="16">
        <v>6.5333333333333341</v>
      </c>
      <c r="M1393" s="12"/>
      <c r="N1393" s="14">
        <f>L1393*M1393</f>
        <v>0</v>
      </c>
      <c r="O1393" s="23">
        <f>0.015*M1393</f>
        <v>0</v>
      </c>
      <c r="P1393" s="24">
        <f>0.00003*M1393</f>
        <v>0</v>
      </c>
      <c r="Q1393" s="25"/>
      <c r="R1393" s="26" t="s">
        <v>4319</v>
      </c>
      <c r="S1393" s="26" t="s">
        <v>29</v>
      </c>
      <c r="T1393" s="6" t="str">
        <f>HYPERLINK("https://kanzpp.ru/api/getInfo/image/949166e8-ad82-11e7-b8ef-5cf3fc4a2490")</f>
        <v>https://kanzpp.ru/api/getInfo/image/949166e8-ad82-11e7-b8ef-5cf3fc4a2490</v>
      </c>
      <c r="U1393" s="6"/>
      <c r="V1393" s="33" t="s">
        <v>35</v>
      </c>
    </row>
    <row r="1394" spans="2:22" ht="21" customHeight="1" outlineLevel="6" x14ac:dyDescent="0.2">
      <c r="B1394" s="69">
        <v>1028</v>
      </c>
      <c r="C1394" s="6" t="s">
        <v>4320</v>
      </c>
      <c r="D1394" s="6" t="s">
        <v>4321</v>
      </c>
      <c r="E1394" s="7" t="s">
        <v>4322</v>
      </c>
      <c r="F1394" s="13"/>
      <c r="G1394" s="14"/>
      <c r="H1394" s="14"/>
      <c r="I1394" s="15">
        <v>50</v>
      </c>
      <c r="J1394" s="15">
        <v>575</v>
      </c>
      <c r="K1394" s="5">
        <v>50</v>
      </c>
      <c r="L1394" s="16">
        <v>6.5333333333333341</v>
      </c>
      <c r="M1394" s="12"/>
      <c r="N1394" s="14">
        <f>L1394*M1394</f>
        <v>0</v>
      </c>
      <c r="O1394" s="23">
        <f>0.015*M1394</f>
        <v>0</v>
      </c>
      <c r="P1394" s="24">
        <f>0.00003*M1394</f>
        <v>0</v>
      </c>
      <c r="Q1394" s="25"/>
      <c r="R1394" s="26" t="s">
        <v>4323</v>
      </c>
      <c r="S1394" s="26" t="s">
        <v>29</v>
      </c>
      <c r="T1394" s="6" t="str">
        <f>HYPERLINK("https://kanzpp.ru/api/getInfo/image/aba0c298-ad82-11e7-b8ef-5cf3fc4a2490")</f>
        <v>https://kanzpp.ru/api/getInfo/image/aba0c298-ad82-11e7-b8ef-5cf3fc4a2490</v>
      </c>
      <c r="U1394" s="6"/>
      <c r="V1394" s="33" t="s">
        <v>35</v>
      </c>
    </row>
    <row r="1395" spans="2:22" ht="21" customHeight="1" outlineLevel="6" x14ac:dyDescent="0.2">
      <c r="B1395" s="69">
        <v>1029</v>
      </c>
      <c r="C1395" s="6" t="s">
        <v>4324</v>
      </c>
      <c r="D1395" s="6" t="s">
        <v>4325</v>
      </c>
      <c r="E1395" s="7" t="s">
        <v>4326</v>
      </c>
      <c r="F1395" s="13"/>
      <c r="G1395" s="14"/>
      <c r="H1395" s="14"/>
      <c r="I1395" s="15">
        <v>50</v>
      </c>
      <c r="J1395" s="17">
        <v>1131</v>
      </c>
      <c r="K1395" s="5">
        <v>50</v>
      </c>
      <c r="L1395" s="16">
        <v>6.5333333333333341</v>
      </c>
      <c r="M1395" s="12"/>
      <c r="N1395" s="14">
        <f>L1395*M1395</f>
        <v>0</v>
      </c>
      <c r="O1395" s="23">
        <f>0.015*M1395</f>
        <v>0</v>
      </c>
      <c r="P1395" s="24">
        <f>0.00003*M1395</f>
        <v>0</v>
      </c>
      <c r="Q1395" s="25"/>
      <c r="R1395" s="26" t="s">
        <v>4327</v>
      </c>
      <c r="S1395" s="26" t="s">
        <v>29</v>
      </c>
      <c r="T1395" s="6" t="str">
        <f>HYPERLINK("https://kanzpp.ru/api/getInfo/image/cfafe5ff-ad82-11e7-b8ef-5cf3fc4a2490")</f>
        <v>https://kanzpp.ru/api/getInfo/image/cfafe5ff-ad82-11e7-b8ef-5cf3fc4a2490</v>
      </c>
      <c r="U1395" s="6"/>
      <c r="V1395" s="33" t="s">
        <v>35</v>
      </c>
    </row>
    <row r="1396" spans="2:22" ht="21" customHeight="1" outlineLevel="6" x14ac:dyDescent="0.2">
      <c r="B1396" s="69">
        <v>1030</v>
      </c>
      <c r="C1396" s="6" t="s">
        <v>4328</v>
      </c>
      <c r="D1396" s="6" t="s">
        <v>4329</v>
      </c>
      <c r="E1396" s="7" t="s">
        <v>4330</v>
      </c>
      <c r="F1396" s="13"/>
      <c r="G1396" s="14"/>
      <c r="H1396" s="14"/>
      <c r="I1396" s="15">
        <v>50</v>
      </c>
      <c r="J1396" s="17">
        <v>1023</v>
      </c>
      <c r="K1396" s="5">
        <v>50</v>
      </c>
      <c r="L1396" s="16">
        <v>6.5333333333333341</v>
      </c>
      <c r="M1396" s="12"/>
      <c r="N1396" s="14">
        <f>L1396*M1396</f>
        <v>0</v>
      </c>
      <c r="O1396" s="23">
        <f>0.015*M1396</f>
        <v>0</v>
      </c>
      <c r="P1396" s="24">
        <f>0.00003*M1396</f>
        <v>0</v>
      </c>
      <c r="Q1396" s="25"/>
      <c r="R1396" s="26" t="s">
        <v>4331</v>
      </c>
      <c r="S1396" s="26" t="s">
        <v>29</v>
      </c>
      <c r="T1396" s="6" t="str">
        <f>HYPERLINK("https://kanzpp.ru/api/getInfo/image/e6e094fc-ad82-11e7-b8ef-5cf3fc4a2490")</f>
        <v>https://kanzpp.ru/api/getInfo/image/e6e094fc-ad82-11e7-b8ef-5cf3fc4a2490</v>
      </c>
      <c r="U1396" s="6"/>
      <c r="V1396" s="33" t="s">
        <v>35</v>
      </c>
    </row>
    <row r="1397" spans="2:22" ht="22.95" customHeight="1" outlineLevel="2" x14ac:dyDescent="0.2">
      <c r="B1397" s="80" t="s">
        <v>4332</v>
      </c>
      <c r="C1397" s="80"/>
      <c r="D1397" s="80"/>
      <c r="L1397">
        <v>0</v>
      </c>
    </row>
    <row r="1398" spans="2:22" ht="22.95" customHeight="1" outlineLevel="3" x14ac:dyDescent="0.2">
      <c r="B1398" s="81" t="s">
        <v>4333</v>
      </c>
      <c r="C1398" s="81"/>
      <c r="D1398" s="81"/>
      <c r="L1398">
        <v>0</v>
      </c>
    </row>
    <row r="1399" spans="2:22" ht="22.95" customHeight="1" outlineLevel="4" x14ac:dyDescent="0.2">
      <c r="B1399" s="82" t="s">
        <v>4334</v>
      </c>
      <c r="C1399" s="82"/>
      <c r="D1399" s="82"/>
      <c r="L1399">
        <v>0</v>
      </c>
    </row>
    <row r="1400" spans="2:22" ht="21" customHeight="1" outlineLevel="5" x14ac:dyDescent="0.2">
      <c r="B1400" s="71">
        <v>1031</v>
      </c>
      <c r="C1400" s="37" t="s">
        <v>4335</v>
      </c>
      <c r="D1400" s="37" t="s">
        <v>4336</v>
      </c>
      <c r="E1400" s="38" t="s">
        <v>4337</v>
      </c>
      <c r="F1400" s="39"/>
      <c r="G1400" s="40"/>
      <c r="H1400" s="40"/>
      <c r="I1400" s="41">
        <v>30</v>
      </c>
      <c r="J1400" s="41">
        <v>30</v>
      </c>
      <c r="K1400" s="36">
        <v>30</v>
      </c>
      <c r="L1400" s="42">
        <f>(28.91*(1-O3/100))/0.75</f>
        <v>38.546666666666667</v>
      </c>
      <c r="M1400" s="12"/>
      <c r="N1400" s="40">
        <f>L1400*M1400</f>
        <v>0</v>
      </c>
      <c r="O1400" s="43">
        <f>0.115*M1400</f>
        <v>0</v>
      </c>
      <c r="P1400" s="47">
        <f>0.00045*M1400</f>
        <v>0</v>
      </c>
      <c r="Q1400" s="44"/>
      <c r="R1400" s="45" t="s">
        <v>4338</v>
      </c>
      <c r="S1400" s="45" t="s">
        <v>93</v>
      </c>
      <c r="T1400" s="37" t="str">
        <f>HYPERLINK("https://kanzpp.ru/api/getInfo/image/908bd2dd-45f9-11f0-a27c-00155d82e908")</f>
        <v>https://kanzpp.ru/api/getInfo/image/908bd2dd-45f9-11f0-a27c-00155d82e908</v>
      </c>
      <c r="U1400" s="37"/>
    </row>
    <row r="1401" spans="2:22" ht="21" customHeight="1" outlineLevel="5" x14ac:dyDescent="0.2">
      <c r="B1401" s="71">
        <v>1032</v>
      </c>
      <c r="C1401" s="37" t="s">
        <v>4339</v>
      </c>
      <c r="D1401" s="37" t="s">
        <v>4340</v>
      </c>
      <c r="E1401" s="38" t="s">
        <v>4341</v>
      </c>
      <c r="F1401" s="39"/>
      <c r="G1401" s="40"/>
      <c r="H1401" s="40"/>
      <c r="I1401" s="41">
        <v>30</v>
      </c>
      <c r="J1401" s="50">
        <v>1200</v>
      </c>
      <c r="K1401" s="36">
        <v>30</v>
      </c>
      <c r="L1401" s="42">
        <f>(34*(1-O3/100))/0.75</f>
        <v>45.333333333333336</v>
      </c>
      <c r="M1401" s="12"/>
      <c r="N1401" s="40">
        <f>L1401*M1401</f>
        <v>0</v>
      </c>
      <c r="O1401" s="43">
        <f>0.118*M1401</f>
        <v>0</v>
      </c>
      <c r="P1401" s="47">
        <f>0.00026*M1401</f>
        <v>0</v>
      </c>
      <c r="Q1401" s="44"/>
      <c r="R1401" s="45" t="s">
        <v>4342</v>
      </c>
      <c r="S1401" s="45" t="s">
        <v>93</v>
      </c>
      <c r="T1401" s="37" t="str">
        <f>HYPERLINK("https://kanzpp.ru/api/getInfo/image/f78f739f-45f8-11f0-a27c-00155d82e908")</f>
        <v>https://kanzpp.ru/api/getInfo/image/f78f739f-45f8-11f0-a27c-00155d82e908</v>
      </c>
      <c r="U1401" s="37"/>
    </row>
    <row r="1402" spans="2:22" ht="22.95" customHeight="1" outlineLevel="4" x14ac:dyDescent="0.2">
      <c r="B1402" s="82" t="s">
        <v>4343</v>
      </c>
      <c r="C1402" s="82"/>
      <c r="D1402" s="82"/>
      <c r="L1402">
        <v>0</v>
      </c>
    </row>
    <row r="1403" spans="2:22" ht="21" customHeight="1" outlineLevel="5" x14ac:dyDescent="0.2">
      <c r="B1403" s="69">
        <v>1033</v>
      </c>
      <c r="C1403" s="6" t="s">
        <v>4344</v>
      </c>
      <c r="D1403" s="6" t="s">
        <v>4345</v>
      </c>
      <c r="E1403" s="7" t="s">
        <v>4346</v>
      </c>
      <c r="F1403" s="13"/>
      <c r="G1403" s="14"/>
      <c r="H1403" s="14"/>
      <c r="I1403" s="15">
        <v>30</v>
      </c>
      <c r="J1403" s="15">
        <v>240</v>
      </c>
      <c r="K1403" s="5">
        <v>30</v>
      </c>
      <c r="L1403" s="16">
        <v>27.866666666666664</v>
      </c>
      <c r="M1403" s="12"/>
      <c r="N1403" s="14">
        <f>L1403*M1403</f>
        <v>0</v>
      </c>
      <c r="O1403" s="23">
        <f>0.152*M1403</f>
        <v>0</v>
      </c>
      <c r="P1403" s="24">
        <f>0.00016*M1403</f>
        <v>0</v>
      </c>
      <c r="Q1403" s="25"/>
      <c r="R1403" s="26" t="s">
        <v>4347</v>
      </c>
      <c r="S1403" s="26" t="s">
        <v>93</v>
      </c>
      <c r="T1403" s="6" t="str">
        <f>HYPERLINK("https://kanzpp.ru/api/getInfo/image/70ef531f-c657-11ee-a25a-00155d82e908")</f>
        <v>https://kanzpp.ru/api/getInfo/image/70ef531f-c657-11ee-a25a-00155d82e908</v>
      </c>
      <c r="U1403" s="6"/>
      <c r="V1403" s="33" t="s">
        <v>35</v>
      </c>
    </row>
    <row r="1404" spans="2:22" ht="21" customHeight="1" outlineLevel="5" x14ac:dyDescent="0.2">
      <c r="B1404" s="69">
        <v>1034</v>
      </c>
      <c r="C1404" s="6" t="s">
        <v>4348</v>
      </c>
      <c r="D1404" s="6" t="s">
        <v>4349</v>
      </c>
      <c r="E1404" s="7" t="s">
        <v>4350</v>
      </c>
      <c r="F1404" s="13"/>
      <c r="G1404" s="14"/>
      <c r="H1404" s="14"/>
      <c r="I1404" s="15">
        <v>30</v>
      </c>
      <c r="J1404" s="15">
        <v>854</v>
      </c>
      <c r="K1404" s="5">
        <v>30</v>
      </c>
      <c r="L1404" s="16">
        <v>27.866666666666664</v>
      </c>
      <c r="M1404" s="12"/>
      <c r="N1404" s="14">
        <f>L1404*M1404</f>
        <v>0</v>
      </c>
      <c r="O1404" s="23">
        <f>0.134*M1404</f>
        <v>0</v>
      </c>
      <c r="P1404" s="24">
        <f>0.00017*M1404</f>
        <v>0</v>
      </c>
      <c r="Q1404" s="25"/>
      <c r="R1404" s="26" t="s">
        <v>4351</v>
      </c>
      <c r="S1404" s="26" t="s">
        <v>93</v>
      </c>
      <c r="T1404" s="6" t="str">
        <f>HYPERLINK("https://kanzpp.ru/api/getInfo/image/91686c3a-3565-11eb-a25e-ac1f6b442184")</f>
        <v>https://kanzpp.ru/api/getInfo/image/91686c3a-3565-11eb-a25e-ac1f6b442184</v>
      </c>
      <c r="U1404" s="6"/>
      <c r="V1404" s="33" t="s">
        <v>35</v>
      </c>
    </row>
    <row r="1405" spans="2:22" ht="22.95" customHeight="1" outlineLevel="4" x14ac:dyDescent="0.2">
      <c r="B1405" s="82" t="s">
        <v>4352</v>
      </c>
      <c r="C1405" s="82"/>
      <c r="D1405" s="82"/>
      <c r="L1405">
        <v>0</v>
      </c>
    </row>
    <row r="1406" spans="2:22" ht="21" customHeight="1" outlineLevel="5" x14ac:dyDescent="0.2">
      <c r="B1406" s="72">
        <v>1035</v>
      </c>
      <c r="C1406" s="56" t="s">
        <v>4353</v>
      </c>
      <c r="D1406" s="56" t="s">
        <v>4354</v>
      </c>
      <c r="E1406" s="57" t="s">
        <v>4355</v>
      </c>
      <c r="F1406" s="58"/>
      <c r="G1406" s="59"/>
      <c r="H1406" s="59"/>
      <c r="I1406" s="60">
        <v>30</v>
      </c>
      <c r="J1406" s="59" t="s">
        <v>144</v>
      </c>
      <c r="K1406" s="55">
        <v>30</v>
      </c>
      <c r="L1406" s="61">
        <f>(53.2*(1-O3/100))/0.75</f>
        <v>70.933333333333337</v>
      </c>
      <c r="M1406" s="12"/>
      <c r="N1406" s="59">
        <f>L1406*M1406</f>
        <v>0</v>
      </c>
      <c r="O1406" s="62">
        <f>0.133*M1406</f>
        <v>0</v>
      </c>
      <c r="P1406" s="63">
        <f>0.00026*M1406</f>
        <v>0</v>
      </c>
      <c r="Q1406" s="64" t="s">
        <v>344</v>
      </c>
      <c r="R1406" s="65" t="s">
        <v>4356</v>
      </c>
      <c r="S1406" s="65" t="s">
        <v>93</v>
      </c>
      <c r="T1406" s="56" t="str">
        <f>HYPERLINK("https://kanzpp.ru/api/getInfo/image/96e868fb-01a7-11f1-a28e-00155d82e908")</f>
        <v>https://kanzpp.ru/api/getInfo/image/96e868fb-01a7-11f1-a28e-00155d82e908</v>
      </c>
      <c r="U1406" s="56"/>
      <c r="V1406" s="66"/>
    </row>
    <row r="1407" spans="2:22" ht="21" customHeight="1" outlineLevel="5" x14ac:dyDescent="0.2">
      <c r="B1407" s="72">
        <v>1036</v>
      </c>
      <c r="C1407" s="56" t="s">
        <v>4357</v>
      </c>
      <c r="D1407" s="56" t="s">
        <v>4358</v>
      </c>
      <c r="E1407" s="57" t="s">
        <v>4359</v>
      </c>
      <c r="F1407" s="58"/>
      <c r="G1407" s="59"/>
      <c r="H1407" s="59"/>
      <c r="I1407" s="60">
        <v>30</v>
      </c>
      <c r="J1407" s="59" t="s">
        <v>144</v>
      </c>
      <c r="K1407" s="55">
        <v>30</v>
      </c>
      <c r="L1407" s="61">
        <f>(53.2*(1-O3/100))/0.75</f>
        <v>70.933333333333337</v>
      </c>
      <c r="M1407" s="12"/>
      <c r="N1407" s="59">
        <f>L1407*M1407</f>
        <v>0</v>
      </c>
      <c r="O1407" s="62">
        <f>0.133*M1407</f>
        <v>0</v>
      </c>
      <c r="P1407" s="63">
        <f>0.00035*M1407</f>
        <v>0</v>
      </c>
      <c r="Q1407" s="64" t="s">
        <v>344</v>
      </c>
      <c r="R1407" s="65" t="s">
        <v>4360</v>
      </c>
      <c r="S1407" s="65" t="s">
        <v>93</v>
      </c>
      <c r="T1407" s="56" t="str">
        <f>HYPERLINK("https://kanzpp.ru/api/getInfo/image/5c4b7573-01a7-11f1-a28e-00155d82e908")</f>
        <v>https://kanzpp.ru/api/getInfo/image/5c4b7573-01a7-11f1-a28e-00155d82e908</v>
      </c>
      <c r="U1407" s="56"/>
      <c r="V1407" s="66"/>
    </row>
    <row r="1408" spans="2:22" ht="22.95" customHeight="1" outlineLevel="4" x14ac:dyDescent="0.2">
      <c r="B1408" s="82" t="s">
        <v>4361</v>
      </c>
      <c r="C1408" s="82"/>
      <c r="D1408" s="82"/>
      <c r="L1408">
        <v>0</v>
      </c>
    </row>
    <row r="1409" spans="2:22" ht="21" customHeight="1" outlineLevel="5" x14ac:dyDescent="0.2">
      <c r="B1409" s="69">
        <v>1037</v>
      </c>
      <c r="C1409" s="6" t="s">
        <v>4362</v>
      </c>
      <c r="D1409" s="6" t="s">
        <v>4363</v>
      </c>
      <c r="E1409" s="7" t="s">
        <v>4364</v>
      </c>
      <c r="F1409" s="13"/>
      <c r="G1409" s="14"/>
      <c r="H1409" s="14"/>
      <c r="I1409" s="15">
        <v>30</v>
      </c>
      <c r="J1409" s="15">
        <v>820</v>
      </c>
      <c r="K1409" s="5">
        <v>30</v>
      </c>
      <c r="L1409" s="16">
        <v>18.653333333333332</v>
      </c>
      <c r="M1409" s="12"/>
      <c r="N1409" s="14">
        <f>L1409*M1409</f>
        <v>0</v>
      </c>
      <c r="O1409" s="23">
        <f>0.115*M1409</f>
        <v>0</v>
      </c>
      <c r="P1409" s="24">
        <f>0.00016*M1409</f>
        <v>0</v>
      </c>
      <c r="Q1409" s="25"/>
      <c r="R1409" s="26" t="s">
        <v>4365</v>
      </c>
      <c r="S1409" s="26" t="s">
        <v>93</v>
      </c>
      <c r="T1409" s="6" t="str">
        <f>HYPERLINK("https://kanzpp.ru/api/getInfo/image/01d55a27-3b7c-11eb-a25e-ac1f6b442184")</f>
        <v>https://kanzpp.ru/api/getInfo/image/01d55a27-3b7c-11eb-a25e-ac1f6b442184</v>
      </c>
      <c r="U1409" s="6"/>
      <c r="V1409" s="33" t="s">
        <v>35</v>
      </c>
    </row>
    <row r="1410" spans="2:22" ht="21" customHeight="1" outlineLevel="5" x14ac:dyDescent="0.2">
      <c r="B1410" s="69">
        <v>1038</v>
      </c>
      <c r="C1410" s="6" t="s">
        <v>4366</v>
      </c>
      <c r="D1410" s="6" t="s">
        <v>4367</v>
      </c>
      <c r="E1410" s="7" t="s">
        <v>4368</v>
      </c>
      <c r="F1410" s="13"/>
      <c r="G1410" s="14"/>
      <c r="H1410" s="14"/>
      <c r="I1410" s="15">
        <v>30</v>
      </c>
      <c r="J1410" s="14" t="s">
        <v>144</v>
      </c>
      <c r="K1410" s="5">
        <v>30</v>
      </c>
      <c r="L1410" s="16">
        <v>18.653333333333332</v>
      </c>
      <c r="M1410" s="12"/>
      <c r="N1410" s="14">
        <f>L1410*M1410</f>
        <v>0</v>
      </c>
      <c r="O1410" s="23">
        <f>0.115*M1410</f>
        <v>0</v>
      </c>
      <c r="P1410" s="24">
        <f>0.00016*M1410</f>
        <v>0</v>
      </c>
      <c r="Q1410" s="25"/>
      <c r="R1410" s="26" t="s">
        <v>4369</v>
      </c>
      <c r="S1410" s="26" t="s">
        <v>93</v>
      </c>
      <c r="T1410" s="6" t="str">
        <f>HYPERLINK("https://kanzpp.ru/api/getInfo/image/884b3548-3b7b-11eb-a25e-ac1f6b442184")</f>
        <v>https://kanzpp.ru/api/getInfo/image/884b3548-3b7b-11eb-a25e-ac1f6b442184</v>
      </c>
      <c r="U1410" s="6"/>
      <c r="V1410" s="33" t="s">
        <v>35</v>
      </c>
    </row>
    <row r="1411" spans="2:22" ht="22.95" customHeight="1" outlineLevel="4" x14ac:dyDescent="0.2">
      <c r="B1411" s="82" t="s">
        <v>4370</v>
      </c>
      <c r="C1411" s="82"/>
      <c r="D1411" s="82"/>
      <c r="L1411">
        <v>0</v>
      </c>
    </row>
    <row r="1412" spans="2:22" ht="21" customHeight="1" outlineLevel="5" x14ac:dyDescent="0.2">
      <c r="B1412" s="72">
        <v>1039</v>
      </c>
      <c r="C1412" s="56" t="s">
        <v>4371</v>
      </c>
      <c r="D1412" s="56" t="s">
        <v>4372</v>
      </c>
      <c r="E1412" s="57" t="s">
        <v>4373</v>
      </c>
      <c r="F1412" s="58"/>
      <c r="G1412" s="59"/>
      <c r="H1412" s="59"/>
      <c r="I1412" s="60">
        <v>30</v>
      </c>
      <c r="J1412" s="60">
        <v>630</v>
      </c>
      <c r="K1412" s="55">
        <v>30</v>
      </c>
      <c r="L1412" s="61">
        <f>(41.32*(1-O3/100))/0.75</f>
        <v>55.093333333333334</v>
      </c>
      <c r="M1412" s="12"/>
      <c r="N1412" s="59">
        <f>L1412*M1412</f>
        <v>0</v>
      </c>
      <c r="O1412" s="62">
        <f>0.111*M1412</f>
        <v>0</v>
      </c>
      <c r="P1412" s="68">
        <f>0.0002*M1412</f>
        <v>0</v>
      </c>
      <c r="Q1412" s="64" t="s">
        <v>344</v>
      </c>
      <c r="R1412" s="65" t="s">
        <v>4374</v>
      </c>
      <c r="S1412" s="65" t="s">
        <v>93</v>
      </c>
      <c r="T1412" s="56" t="str">
        <f>HYPERLINK("https://kanzpp.ru/api/getInfo/image/cdfa03b9-1610-11f1-a28f-00155d82e908")</f>
        <v>https://kanzpp.ru/api/getInfo/image/cdfa03b9-1610-11f1-a28f-00155d82e908</v>
      </c>
      <c r="U1412" s="56"/>
      <c r="V1412" s="66"/>
    </row>
    <row r="1413" spans="2:22" ht="22.95" customHeight="1" outlineLevel="4" x14ac:dyDescent="0.2">
      <c r="B1413" s="82" t="s">
        <v>4375</v>
      </c>
      <c r="C1413" s="82"/>
      <c r="D1413" s="82"/>
      <c r="L1413">
        <v>0</v>
      </c>
    </row>
    <row r="1414" spans="2:22" ht="21" customHeight="1" outlineLevel="5" x14ac:dyDescent="0.2">
      <c r="B1414" s="69">
        <v>1040</v>
      </c>
      <c r="C1414" s="6" t="s">
        <v>4376</v>
      </c>
      <c r="D1414" s="6" t="s">
        <v>4377</v>
      </c>
      <c r="E1414" s="7" t="s">
        <v>4378</v>
      </c>
      <c r="F1414" s="13"/>
      <c r="G1414" s="14"/>
      <c r="H1414" s="15">
        <v>20</v>
      </c>
      <c r="I1414" s="14"/>
      <c r="J1414" s="15">
        <v>20</v>
      </c>
      <c r="K1414" s="5">
        <v>10</v>
      </c>
      <c r="L1414" s="16">
        <v>133.20000000000002</v>
      </c>
      <c r="M1414" s="12"/>
      <c r="N1414" s="14">
        <f>L1414*M1414</f>
        <v>0</v>
      </c>
      <c r="O1414" s="23">
        <f>0.681*M1414</f>
        <v>0</v>
      </c>
      <c r="P1414" s="24">
        <f>0.00771*M1414</f>
        <v>0</v>
      </c>
      <c r="Q1414" s="25"/>
      <c r="R1414" s="26" t="s">
        <v>4379</v>
      </c>
      <c r="S1414" s="26" t="s">
        <v>93</v>
      </c>
      <c r="T1414" s="6" t="str">
        <f>HYPERLINK("https://kanzpp.ru/api/getInfo/image/44a68275-7020-11ef-a265-00155d82e908")</f>
        <v>https://kanzpp.ru/api/getInfo/image/44a68275-7020-11ef-a265-00155d82e908</v>
      </c>
      <c r="U1414" s="6"/>
      <c r="V1414" s="33" t="s">
        <v>35</v>
      </c>
    </row>
    <row r="1415" spans="2:22" ht="22.95" customHeight="1" outlineLevel="3" x14ac:dyDescent="0.2">
      <c r="B1415" s="81" t="s">
        <v>4380</v>
      </c>
      <c r="C1415" s="81"/>
      <c r="D1415" s="81"/>
      <c r="L1415">
        <v>0</v>
      </c>
    </row>
    <row r="1416" spans="2:22" ht="22.95" customHeight="1" outlineLevel="4" x14ac:dyDescent="0.2">
      <c r="B1416" s="82" t="s">
        <v>4381</v>
      </c>
      <c r="C1416" s="82"/>
      <c r="D1416" s="82"/>
      <c r="L1416">
        <v>0</v>
      </c>
    </row>
    <row r="1417" spans="2:22" ht="21" customHeight="1" outlineLevel="5" x14ac:dyDescent="0.2">
      <c r="B1417" s="71">
        <v>1041</v>
      </c>
      <c r="C1417" s="37" t="s">
        <v>4382</v>
      </c>
      <c r="D1417" s="37" t="s">
        <v>4383</v>
      </c>
      <c r="E1417" s="38" t="s">
        <v>4384</v>
      </c>
      <c r="F1417" s="39"/>
      <c r="G1417" s="40"/>
      <c r="H1417" s="40"/>
      <c r="I1417" s="41">
        <v>30</v>
      </c>
      <c r="J1417" s="50">
        <v>1140</v>
      </c>
      <c r="K1417" s="36">
        <v>30</v>
      </c>
      <c r="L1417" s="42">
        <f>(52.67*(1-O3/100))/0.75</f>
        <v>70.226666666666674</v>
      </c>
      <c r="M1417" s="12"/>
      <c r="N1417" s="40">
        <f>L1417*M1417</f>
        <v>0</v>
      </c>
      <c r="O1417" s="43">
        <f>0.081*M1417</f>
        <v>0</v>
      </c>
      <c r="P1417" s="47">
        <f>0.00005*M1417</f>
        <v>0</v>
      </c>
      <c r="Q1417" s="44"/>
      <c r="R1417" s="45" t="s">
        <v>4385</v>
      </c>
      <c r="S1417" s="45" t="s">
        <v>93</v>
      </c>
      <c r="T1417" s="37" t="str">
        <f>HYPERLINK("https://kanzpp.ru/api/getInfo/image/4ec70c3c-0656-11f1-a28f-00155d82e908")</f>
        <v>https://kanzpp.ru/api/getInfo/image/4ec70c3c-0656-11f1-a28f-00155d82e908</v>
      </c>
      <c r="U1417" s="37"/>
    </row>
    <row r="1418" spans="2:22" ht="22.95" customHeight="1" outlineLevel="4" x14ac:dyDescent="0.2">
      <c r="B1418" s="82" t="s">
        <v>4386</v>
      </c>
      <c r="C1418" s="82"/>
      <c r="D1418" s="82"/>
      <c r="L1418">
        <v>0</v>
      </c>
    </row>
    <row r="1419" spans="2:22" ht="21" customHeight="1" outlineLevel="5" x14ac:dyDescent="0.2">
      <c r="B1419" s="72">
        <v>1042</v>
      </c>
      <c r="C1419" s="56" t="s">
        <v>4387</v>
      </c>
      <c r="D1419" s="56" t="s">
        <v>4388</v>
      </c>
      <c r="E1419" s="57" t="s">
        <v>4389</v>
      </c>
      <c r="F1419" s="58"/>
      <c r="G1419" s="59"/>
      <c r="H1419" s="59"/>
      <c r="I1419" s="60">
        <v>30</v>
      </c>
      <c r="J1419" s="67">
        <v>1740</v>
      </c>
      <c r="K1419" s="55">
        <v>30</v>
      </c>
      <c r="L1419" s="61">
        <f>(55.47*(1-O3/100))/0.75</f>
        <v>73.959999999999994</v>
      </c>
      <c r="M1419" s="12"/>
      <c r="N1419" s="59">
        <f>L1419*M1419</f>
        <v>0</v>
      </c>
      <c r="O1419" s="62">
        <f>0.112*M1419</f>
        <v>0</v>
      </c>
      <c r="P1419" s="63">
        <f>0.00033*M1419</f>
        <v>0</v>
      </c>
      <c r="Q1419" s="64" t="s">
        <v>344</v>
      </c>
      <c r="R1419" s="65" t="s">
        <v>4390</v>
      </c>
      <c r="S1419" s="65" t="s">
        <v>93</v>
      </c>
      <c r="T1419" s="56" t="str">
        <f>HYPERLINK("https://kanzpp.ru/api/getInfo/image/fc754d37-0654-11f1-a28f-00155d82e908")</f>
        <v>https://kanzpp.ru/api/getInfo/image/fc754d37-0654-11f1-a28f-00155d82e908</v>
      </c>
      <c r="U1419" s="56"/>
      <c r="V1419" s="66"/>
    </row>
    <row r="1420" spans="2:22" ht="21" customHeight="1" outlineLevel="5" x14ac:dyDescent="0.2">
      <c r="B1420" s="72">
        <v>1043</v>
      </c>
      <c r="C1420" s="56" t="s">
        <v>4391</v>
      </c>
      <c r="D1420" s="56" t="s">
        <v>4392</v>
      </c>
      <c r="E1420" s="57" t="s">
        <v>4393</v>
      </c>
      <c r="F1420" s="58"/>
      <c r="G1420" s="59"/>
      <c r="H1420" s="59"/>
      <c r="I1420" s="60">
        <v>30</v>
      </c>
      <c r="J1420" s="59" t="s">
        <v>144</v>
      </c>
      <c r="K1420" s="55">
        <v>30</v>
      </c>
      <c r="L1420" s="61">
        <f>(55.47*(1-O3/100))/0.75</f>
        <v>73.959999999999994</v>
      </c>
      <c r="M1420" s="12"/>
      <c r="N1420" s="59">
        <f>L1420*M1420</f>
        <v>0</v>
      </c>
      <c r="O1420" s="62">
        <f>0.114*M1420</f>
        <v>0</v>
      </c>
      <c r="P1420" s="63">
        <f>0.00039*M1420</f>
        <v>0</v>
      </c>
      <c r="Q1420" s="64" t="s">
        <v>344</v>
      </c>
      <c r="R1420" s="65" t="s">
        <v>4394</v>
      </c>
      <c r="S1420" s="65" t="s">
        <v>93</v>
      </c>
      <c r="T1420" s="56" t="str">
        <f>HYPERLINK("https://kanzpp.ru/api/getInfo/image/468dc6a4-0655-11f1-a28f-00155d82e908")</f>
        <v>https://kanzpp.ru/api/getInfo/image/468dc6a4-0655-11f1-a28f-00155d82e908</v>
      </c>
      <c r="U1420" s="56"/>
      <c r="V1420" s="66"/>
    </row>
    <row r="1421" spans="2:22" ht="22.95" customHeight="1" outlineLevel="4" x14ac:dyDescent="0.2">
      <c r="B1421" s="82" t="s">
        <v>4395</v>
      </c>
      <c r="C1421" s="82"/>
      <c r="D1421" s="82"/>
      <c r="L1421">
        <v>0</v>
      </c>
    </row>
    <row r="1422" spans="2:22" ht="21" customHeight="1" outlineLevel="5" x14ac:dyDescent="0.2">
      <c r="B1422" s="72">
        <v>1044</v>
      </c>
      <c r="C1422" s="56" t="s">
        <v>4396</v>
      </c>
      <c r="D1422" s="56" t="s">
        <v>4397</v>
      </c>
      <c r="E1422" s="57" t="s">
        <v>4398</v>
      </c>
      <c r="F1422" s="58"/>
      <c r="G1422" s="59"/>
      <c r="H1422" s="59"/>
      <c r="I1422" s="60">
        <v>30</v>
      </c>
      <c r="J1422" s="60">
        <v>870</v>
      </c>
      <c r="K1422" s="55">
        <v>30</v>
      </c>
      <c r="L1422" s="61">
        <f>(69.95*(1-O3/100))/0.75</f>
        <v>93.266666666666666</v>
      </c>
      <c r="M1422" s="12"/>
      <c r="N1422" s="59">
        <f>L1422*M1422</f>
        <v>0</v>
      </c>
      <c r="O1422" s="62">
        <f>0.129*M1422</f>
        <v>0</v>
      </c>
      <c r="P1422" s="63">
        <f>0.00033*M1422</f>
        <v>0</v>
      </c>
      <c r="Q1422" s="64" t="s">
        <v>344</v>
      </c>
      <c r="R1422" s="65" t="s">
        <v>4399</v>
      </c>
      <c r="S1422" s="65" t="s">
        <v>93</v>
      </c>
      <c r="T1422" s="56" t="str">
        <f>HYPERLINK("https://kanzpp.ru/api/getInfo/image/dc2b63bf-0657-11f1-a28f-00155d82e908")</f>
        <v>https://kanzpp.ru/api/getInfo/image/dc2b63bf-0657-11f1-a28f-00155d82e908</v>
      </c>
      <c r="U1422" s="56"/>
      <c r="V1422" s="66"/>
    </row>
    <row r="1423" spans="2:22" ht="21" customHeight="1" outlineLevel="5" x14ac:dyDescent="0.2">
      <c r="B1423" s="72">
        <v>1045</v>
      </c>
      <c r="C1423" s="56" t="s">
        <v>4400</v>
      </c>
      <c r="D1423" s="56" t="s">
        <v>4401</v>
      </c>
      <c r="E1423" s="57" t="s">
        <v>4402</v>
      </c>
      <c r="F1423" s="58"/>
      <c r="G1423" s="59"/>
      <c r="H1423" s="59"/>
      <c r="I1423" s="60">
        <v>30</v>
      </c>
      <c r="J1423" s="67">
        <v>1570</v>
      </c>
      <c r="K1423" s="55">
        <v>30</v>
      </c>
      <c r="L1423" s="61">
        <f>(69.95*(1-O3/100))/0.75</f>
        <v>93.266666666666666</v>
      </c>
      <c r="M1423" s="12"/>
      <c r="N1423" s="59">
        <f>L1423*M1423</f>
        <v>0</v>
      </c>
      <c r="O1423" s="62">
        <f>0.136*M1423</f>
        <v>0</v>
      </c>
      <c r="P1423" s="63">
        <f>0.00032*M1423</f>
        <v>0</v>
      </c>
      <c r="Q1423" s="64" t="s">
        <v>344</v>
      </c>
      <c r="R1423" s="65" t="s">
        <v>4403</v>
      </c>
      <c r="S1423" s="65" t="s">
        <v>93</v>
      </c>
      <c r="T1423" s="56" t="str">
        <f>HYPERLINK("https://kanzpp.ru/api/getInfo/image/ba059283-0657-11f1-a28f-00155d82e908")</f>
        <v>https://kanzpp.ru/api/getInfo/image/ba059283-0657-11f1-a28f-00155d82e908</v>
      </c>
      <c r="U1423" s="56"/>
      <c r="V1423" s="66"/>
    </row>
    <row r="1424" spans="2:22" ht="22.95" customHeight="1" outlineLevel="4" x14ac:dyDescent="0.2">
      <c r="B1424" s="82" t="s">
        <v>4404</v>
      </c>
      <c r="C1424" s="82"/>
      <c r="D1424" s="82"/>
      <c r="L1424">
        <v>0</v>
      </c>
    </row>
    <row r="1425" spans="2:22" ht="21" customHeight="1" outlineLevel="5" x14ac:dyDescent="0.2">
      <c r="B1425" s="70">
        <v>1046</v>
      </c>
      <c r="C1425" s="3" t="s">
        <v>4405</v>
      </c>
      <c r="D1425" s="3" t="s">
        <v>4406</v>
      </c>
      <c r="E1425" s="4" t="s">
        <v>4407</v>
      </c>
      <c r="F1425" s="8"/>
      <c r="G1425" s="9"/>
      <c r="H1425" s="10">
        <v>30</v>
      </c>
      <c r="I1425" s="9"/>
      <c r="J1425" s="10">
        <v>1</v>
      </c>
      <c r="K1425" s="2">
        <v>1</v>
      </c>
      <c r="L1425" s="54">
        <v>34.382222222222218</v>
      </c>
      <c r="M1425" s="12"/>
      <c r="N1425" s="9">
        <f>L1425*M1425</f>
        <v>0</v>
      </c>
      <c r="O1425" s="29">
        <f>0.135*M1425</f>
        <v>0</v>
      </c>
      <c r="P1425" s="30">
        <f>0.00028*M1425</f>
        <v>0</v>
      </c>
      <c r="Q1425" s="21"/>
      <c r="R1425" s="22"/>
      <c r="S1425" s="22" t="s">
        <v>93</v>
      </c>
      <c r="T1425" s="3"/>
      <c r="U1425" s="3"/>
      <c r="V1425" s="32" t="s">
        <v>30</v>
      </c>
    </row>
    <row r="1426" spans="2:22" ht="22.95" customHeight="1" outlineLevel="5" x14ac:dyDescent="0.2">
      <c r="B1426" s="83" t="s">
        <v>4408</v>
      </c>
      <c r="C1426" s="83"/>
      <c r="D1426" s="83"/>
      <c r="L1426">
        <v>0</v>
      </c>
    </row>
    <row r="1427" spans="2:22" ht="21" customHeight="1" outlineLevel="6" x14ac:dyDescent="0.2">
      <c r="B1427" s="69">
        <v>1047</v>
      </c>
      <c r="C1427" s="6" t="s">
        <v>4409</v>
      </c>
      <c r="D1427" s="6" t="s">
        <v>4410</v>
      </c>
      <c r="E1427" s="7" t="s">
        <v>4411</v>
      </c>
      <c r="F1427" s="13"/>
      <c r="G1427" s="14"/>
      <c r="H1427" s="15">
        <v>30</v>
      </c>
      <c r="I1427" s="15">
        <v>30</v>
      </c>
      <c r="J1427" s="14" t="s">
        <v>144</v>
      </c>
      <c r="K1427" s="5">
        <v>30</v>
      </c>
      <c r="L1427" s="16">
        <v>21.32</v>
      </c>
      <c r="M1427" s="12"/>
      <c r="N1427" s="14">
        <f>L1427*M1427</f>
        <v>0</v>
      </c>
      <c r="O1427" s="23">
        <f>0.083*M1427</f>
        <v>0</v>
      </c>
      <c r="P1427" s="24">
        <f>0.00011*M1427</f>
        <v>0</v>
      </c>
      <c r="Q1427" s="25"/>
      <c r="R1427" s="26" t="s">
        <v>4412</v>
      </c>
      <c r="S1427" s="26" t="s">
        <v>93</v>
      </c>
      <c r="T1427" s="6" t="str">
        <f>HYPERLINK("https://kanzpp.ru/api/getInfo/image/80932112-5670-11eb-a26d-ac1f6b442184")</f>
        <v>https://kanzpp.ru/api/getInfo/image/80932112-5670-11eb-a26d-ac1f6b442184</v>
      </c>
      <c r="U1427" s="6"/>
      <c r="V1427" s="33" t="s">
        <v>35</v>
      </c>
    </row>
    <row r="1428" spans="2:22" ht="21" customHeight="1" outlineLevel="6" x14ac:dyDescent="0.2">
      <c r="B1428" s="69">
        <v>1048</v>
      </c>
      <c r="C1428" s="6" t="s">
        <v>4413</v>
      </c>
      <c r="D1428" s="6" t="s">
        <v>4414</v>
      </c>
      <c r="E1428" s="7" t="s">
        <v>4415</v>
      </c>
      <c r="F1428" s="13"/>
      <c r="G1428" s="14"/>
      <c r="H1428" s="15">
        <v>30</v>
      </c>
      <c r="I1428" s="15">
        <v>30</v>
      </c>
      <c r="J1428" s="14" t="s">
        <v>144</v>
      </c>
      <c r="K1428" s="5">
        <v>30</v>
      </c>
      <c r="L1428" s="16">
        <v>21.32</v>
      </c>
      <c r="M1428" s="12"/>
      <c r="N1428" s="14">
        <f>L1428*M1428</f>
        <v>0</v>
      </c>
      <c r="O1428" s="23">
        <f>0.083*M1428</f>
        <v>0</v>
      </c>
      <c r="P1428" s="24">
        <f>0.00011*M1428</f>
        <v>0</v>
      </c>
      <c r="Q1428" s="25"/>
      <c r="R1428" s="26" t="s">
        <v>4416</v>
      </c>
      <c r="S1428" s="26" t="s">
        <v>93</v>
      </c>
      <c r="T1428" s="6" t="str">
        <f>HYPERLINK("https://kanzpp.ru/api/getInfo/image/3c0b663d-566f-11eb-a26d-ac1f6b442184")</f>
        <v>https://kanzpp.ru/api/getInfo/image/3c0b663d-566f-11eb-a26d-ac1f6b442184</v>
      </c>
      <c r="U1428" s="6"/>
      <c r="V1428" s="33" t="s">
        <v>35</v>
      </c>
    </row>
    <row r="1429" spans="2:22" ht="21" customHeight="1" outlineLevel="6" x14ac:dyDescent="0.2">
      <c r="B1429" s="69">
        <v>1049</v>
      </c>
      <c r="C1429" s="6" t="s">
        <v>4417</v>
      </c>
      <c r="D1429" s="6" t="s">
        <v>4418</v>
      </c>
      <c r="E1429" s="7" t="s">
        <v>4419</v>
      </c>
      <c r="F1429" s="13"/>
      <c r="G1429" s="14"/>
      <c r="H1429" s="15">
        <v>30</v>
      </c>
      <c r="I1429" s="15">
        <v>30</v>
      </c>
      <c r="J1429" s="14" t="s">
        <v>144</v>
      </c>
      <c r="K1429" s="5">
        <v>30</v>
      </c>
      <c r="L1429" s="16">
        <v>21.32</v>
      </c>
      <c r="M1429" s="12"/>
      <c r="N1429" s="14">
        <f>L1429*M1429</f>
        <v>0</v>
      </c>
      <c r="O1429" s="23">
        <f>0.083*M1429</f>
        <v>0</v>
      </c>
      <c r="P1429" s="24">
        <f>0.00011*M1429</f>
        <v>0</v>
      </c>
      <c r="Q1429" s="25"/>
      <c r="R1429" s="26" t="s">
        <v>4420</v>
      </c>
      <c r="S1429" s="26" t="s">
        <v>93</v>
      </c>
      <c r="T1429" s="6" t="str">
        <f>HYPERLINK("https://kanzpp.ru/api/getInfo/image/3fc2466c-5670-11eb-a26d-ac1f6b442184")</f>
        <v>https://kanzpp.ru/api/getInfo/image/3fc2466c-5670-11eb-a26d-ac1f6b442184</v>
      </c>
      <c r="U1429" s="6"/>
      <c r="V1429" s="33" t="s">
        <v>35</v>
      </c>
    </row>
    <row r="1430" spans="2:22" ht="21" customHeight="1" outlineLevel="6" x14ac:dyDescent="0.2">
      <c r="B1430" s="69">
        <v>1050</v>
      </c>
      <c r="C1430" s="6" t="s">
        <v>4421</v>
      </c>
      <c r="D1430" s="6" t="s">
        <v>4422</v>
      </c>
      <c r="E1430" s="7" t="s">
        <v>4423</v>
      </c>
      <c r="F1430" s="13"/>
      <c r="G1430" s="14"/>
      <c r="H1430" s="15">
        <v>30</v>
      </c>
      <c r="I1430" s="15">
        <v>30</v>
      </c>
      <c r="J1430" s="14" t="s">
        <v>144</v>
      </c>
      <c r="K1430" s="5">
        <v>30</v>
      </c>
      <c r="L1430" s="16">
        <v>21.32</v>
      </c>
      <c r="M1430" s="12"/>
      <c r="N1430" s="14">
        <f>L1430*M1430</f>
        <v>0</v>
      </c>
      <c r="O1430" s="23">
        <f>0.083*M1430</f>
        <v>0</v>
      </c>
      <c r="P1430" s="24">
        <f>0.00011*M1430</f>
        <v>0</v>
      </c>
      <c r="Q1430" s="25"/>
      <c r="R1430" s="26" t="s">
        <v>4424</v>
      </c>
      <c r="S1430" s="26" t="s">
        <v>93</v>
      </c>
      <c r="T1430" s="6" t="str">
        <f>HYPERLINK("https://kanzpp.ru/api/getInfo/image/e237a619-566f-11eb-a26d-ac1f6b442184")</f>
        <v>https://kanzpp.ru/api/getInfo/image/e237a619-566f-11eb-a26d-ac1f6b442184</v>
      </c>
      <c r="U1430" s="6"/>
      <c r="V1430" s="33" t="s">
        <v>35</v>
      </c>
    </row>
    <row r="1431" spans="2:22" ht="22.95" customHeight="1" outlineLevel="3" x14ac:dyDescent="0.2">
      <c r="B1431" s="81" t="s">
        <v>4425</v>
      </c>
      <c r="C1431" s="81"/>
      <c r="D1431" s="81"/>
      <c r="L1431">
        <v>0</v>
      </c>
    </row>
    <row r="1432" spans="2:22" ht="22.95" customHeight="1" outlineLevel="4" x14ac:dyDescent="0.2">
      <c r="B1432" s="82" t="s">
        <v>4426</v>
      </c>
      <c r="C1432" s="82"/>
      <c r="D1432" s="82"/>
      <c r="L1432">
        <v>0</v>
      </c>
    </row>
    <row r="1433" spans="2:22" ht="22.95" customHeight="1" outlineLevel="5" x14ac:dyDescent="0.2">
      <c r="B1433" s="83" t="s">
        <v>4427</v>
      </c>
      <c r="C1433" s="83"/>
      <c r="D1433" s="83"/>
      <c r="L1433">
        <v>0</v>
      </c>
    </row>
    <row r="1434" spans="2:22" ht="22.95" customHeight="1" outlineLevel="6" x14ac:dyDescent="0.2">
      <c r="B1434" s="84" t="s">
        <v>4428</v>
      </c>
      <c r="C1434" s="84"/>
      <c r="D1434" s="84"/>
      <c r="L1434">
        <v>0</v>
      </c>
    </row>
    <row r="1435" spans="2:22" ht="21" customHeight="1" outlineLevel="7" x14ac:dyDescent="0.2">
      <c r="B1435" s="71">
        <v>1051</v>
      </c>
      <c r="C1435" s="37" t="s">
        <v>4429</v>
      </c>
      <c r="D1435" s="37" t="s">
        <v>4430</v>
      </c>
      <c r="E1435" s="38" t="s">
        <v>4431</v>
      </c>
      <c r="F1435" s="39"/>
      <c r="G1435" s="40"/>
      <c r="H1435" s="40"/>
      <c r="I1435" s="41">
        <v>50</v>
      </c>
      <c r="J1435" s="40" t="s">
        <v>144</v>
      </c>
      <c r="K1435" s="36">
        <v>50</v>
      </c>
      <c r="L1435" s="42">
        <f>(15.6*(1-O3/100))/0.75</f>
        <v>20.8</v>
      </c>
      <c r="M1435" s="12"/>
      <c r="N1435" s="40">
        <f t="shared" ref="N1435:N1440" si="63">L1435*M1435</f>
        <v>0</v>
      </c>
      <c r="O1435" s="43">
        <f>0.034*M1435</f>
        <v>0</v>
      </c>
      <c r="P1435" s="47">
        <f>0.00006*M1435</f>
        <v>0</v>
      </c>
      <c r="Q1435" s="44"/>
      <c r="R1435" s="45" t="s">
        <v>4432</v>
      </c>
      <c r="S1435" s="45" t="s">
        <v>93</v>
      </c>
      <c r="T1435" s="37" t="str">
        <f>HYPERLINK("https://kanzpp.ru/api/getInfo/image/286b3c5e-12e5-11f1-a28f-00155d82e908")</f>
        <v>https://kanzpp.ru/api/getInfo/image/286b3c5e-12e5-11f1-a28f-00155d82e908</v>
      </c>
      <c r="U1435" s="37"/>
    </row>
    <row r="1436" spans="2:22" ht="21" customHeight="1" outlineLevel="7" x14ac:dyDescent="0.2">
      <c r="B1436" s="71">
        <v>1052</v>
      </c>
      <c r="C1436" s="37" t="s">
        <v>4433</v>
      </c>
      <c r="D1436" s="37" t="s">
        <v>4434</v>
      </c>
      <c r="E1436" s="38" t="s">
        <v>4435</v>
      </c>
      <c r="F1436" s="39"/>
      <c r="G1436" s="40"/>
      <c r="H1436" s="40"/>
      <c r="I1436" s="41">
        <v>50</v>
      </c>
      <c r="J1436" s="50">
        <v>1684</v>
      </c>
      <c r="K1436" s="36">
        <v>50</v>
      </c>
      <c r="L1436" s="42">
        <f>(15.6*(1-O3/100))/0.75</f>
        <v>20.8</v>
      </c>
      <c r="M1436" s="12"/>
      <c r="N1436" s="40">
        <f t="shared" si="63"/>
        <v>0</v>
      </c>
      <c r="O1436" s="43">
        <f>0.034*M1436</f>
        <v>0</v>
      </c>
      <c r="P1436" s="47">
        <f>0.00011*M1436</f>
        <v>0</v>
      </c>
      <c r="Q1436" s="44"/>
      <c r="R1436" s="45" t="s">
        <v>4436</v>
      </c>
      <c r="S1436" s="45" t="s">
        <v>93</v>
      </c>
      <c r="T1436" s="37" t="str">
        <f>HYPERLINK("https://kanzpp.ru/api/getInfo/image/42611763-12e5-11f1-a28f-00155d82e908")</f>
        <v>https://kanzpp.ru/api/getInfo/image/42611763-12e5-11f1-a28f-00155d82e908</v>
      </c>
      <c r="U1436" s="37"/>
    </row>
    <row r="1437" spans="2:22" ht="21" customHeight="1" outlineLevel="7" x14ac:dyDescent="0.2">
      <c r="B1437" s="71">
        <v>1053</v>
      </c>
      <c r="C1437" s="37" t="s">
        <v>4437</v>
      </c>
      <c r="D1437" s="37" t="s">
        <v>4438</v>
      </c>
      <c r="E1437" s="38" t="s">
        <v>4439</v>
      </c>
      <c r="F1437" s="39"/>
      <c r="G1437" s="40"/>
      <c r="H1437" s="40"/>
      <c r="I1437" s="41">
        <v>50</v>
      </c>
      <c r="J1437" s="40" t="s">
        <v>144</v>
      </c>
      <c r="K1437" s="36">
        <v>50</v>
      </c>
      <c r="L1437" s="42">
        <f>(15.6*(1-O3/100))/0.75</f>
        <v>20.8</v>
      </c>
      <c r="M1437" s="12"/>
      <c r="N1437" s="40">
        <f t="shared" si="63"/>
        <v>0</v>
      </c>
      <c r="O1437" s="43">
        <f>0.034*M1437</f>
        <v>0</v>
      </c>
      <c r="P1437" s="47">
        <f>0.00011*M1437</f>
        <v>0</v>
      </c>
      <c r="Q1437" s="44"/>
      <c r="R1437" s="45" t="s">
        <v>4440</v>
      </c>
      <c r="S1437" s="45" t="s">
        <v>93</v>
      </c>
      <c r="T1437" s="37" t="str">
        <f>HYPERLINK("https://kanzpp.ru/api/getInfo/image/5c6179cf-12e5-11f1-a28f-00155d82e908")</f>
        <v>https://kanzpp.ru/api/getInfo/image/5c6179cf-12e5-11f1-a28f-00155d82e908</v>
      </c>
      <c r="U1437" s="37"/>
    </row>
    <row r="1438" spans="2:22" ht="21" customHeight="1" outlineLevel="7" x14ac:dyDescent="0.2">
      <c r="B1438" s="71">
        <v>1054</v>
      </c>
      <c r="C1438" s="37" t="s">
        <v>4441</v>
      </c>
      <c r="D1438" s="37" t="s">
        <v>4442</v>
      </c>
      <c r="E1438" s="38" t="s">
        <v>4443</v>
      </c>
      <c r="F1438" s="39"/>
      <c r="G1438" s="40"/>
      <c r="H1438" s="40"/>
      <c r="I1438" s="41">
        <v>50</v>
      </c>
      <c r="J1438" s="40" t="s">
        <v>144</v>
      </c>
      <c r="K1438" s="36">
        <v>50</v>
      </c>
      <c r="L1438" s="42">
        <f>(12.87*(1-O3/100))/0.75</f>
        <v>17.16</v>
      </c>
      <c r="M1438" s="12"/>
      <c r="N1438" s="40">
        <f t="shared" si="63"/>
        <v>0</v>
      </c>
      <c r="O1438" s="43">
        <f>0.034*M1438</f>
        <v>0</v>
      </c>
      <c r="P1438" s="47">
        <f>0.00011*M1438</f>
        <v>0</v>
      </c>
      <c r="Q1438" s="44"/>
      <c r="R1438" s="45" t="s">
        <v>4444</v>
      </c>
      <c r="S1438" s="45" t="s">
        <v>93</v>
      </c>
      <c r="T1438" s="37" t="str">
        <f>HYPERLINK("https://kanzpp.ru/api/getInfo/image/addbe9d7-12e4-11f1-a28f-00155d82e908")</f>
        <v>https://kanzpp.ru/api/getInfo/image/addbe9d7-12e4-11f1-a28f-00155d82e908</v>
      </c>
      <c r="U1438" s="37"/>
    </row>
    <row r="1439" spans="2:22" ht="21" customHeight="1" outlineLevel="7" x14ac:dyDescent="0.2">
      <c r="B1439" s="71">
        <v>1055</v>
      </c>
      <c r="C1439" s="37" t="s">
        <v>4445</v>
      </c>
      <c r="D1439" s="37" t="s">
        <v>4446</v>
      </c>
      <c r="E1439" s="38" t="s">
        <v>4447</v>
      </c>
      <c r="F1439" s="39"/>
      <c r="G1439" s="40"/>
      <c r="H1439" s="40"/>
      <c r="I1439" s="41">
        <v>50</v>
      </c>
      <c r="J1439" s="40" t="s">
        <v>144</v>
      </c>
      <c r="K1439" s="36">
        <v>50</v>
      </c>
      <c r="L1439" s="42">
        <f>(12.87*(1-O3/100))/0.75</f>
        <v>17.16</v>
      </c>
      <c r="M1439" s="12"/>
      <c r="N1439" s="40">
        <f t="shared" si="63"/>
        <v>0</v>
      </c>
      <c r="O1439" s="43">
        <f>0.032*M1439</f>
        <v>0</v>
      </c>
      <c r="P1439" s="47">
        <f>0.00014*M1439</f>
        <v>0</v>
      </c>
      <c r="Q1439" s="44"/>
      <c r="R1439" s="45" t="s">
        <v>4448</v>
      </c>
      <c r="S1439" s="45" t="s">
        <v>93</v>
      </c>
      <c r="T1439" s="37" t="str">
        <f>HYPERLINK("https://kanzpp.ru/api/getInfo/image/e689487e-12e4-11f1-a28f-00155d82e908")</f>
        <v>https://kanzpp.ru/api/getInfo/image/e689487e-12e4-11f1-a28f-00155d82e908</v>
      </c>
      <c r="U1439" s="37"/>
    </row>
    <row r="1440" spans="2:22" ht="21" customHeight="1" outlineLevel="7" x14ac:dyDescent="0.2">
      <c r="B1440" s="71">
        <v>1056</v>
      </c>
      <c r="C1440" s="37" t="s">
        <v>4449</v>
      </c>
      <c r="D1440" s="37" t="s">
        <v>4450</v>
      </c>
      <c r="E1440" s="38" t="s">
        <v>4451</v>
      </c>
      <c r="F1440" s="39"/>
      <c r="G1440" s="40"/>
      <c r="H1440" s="40"/>
      <c r="I1440" s="41">
        <v>50</v>
      </c>
      <c r="J1440" s="40" t="s">
        <v>144</v>
      </c>
      <c r="K1440" s="36">
        <v>50</v>
      </c>
      <c r="L1440" s="42">
        <f>(12.87*(1-O3/100))/0.75</f>
        <v>17.16</v>
      </c>
      <c r="M1440" s="12"/>
      <c r="N1440" s="40">
        <f t="shared" si="63"/>
        <v>0</v>
      </c>
      <c r="O1440" s="43">
        <f>0.032*M1440</f>
        <v>0</v>
      </c>
      <c r="P1440" s="47">
        <f>0.00011*M1440</f>
        <v>0</v>
      </c>
      <c r="Q1440" s="44"/>
      <c r="R1440" s="45" t="s">
        <v>4452</v>
      </c>
      <c r="S1440" s="45" t="s">
        <v>93</v>
      </c>
      <c r="T1440" s="37" t="str">
        <f>HYPERLINK("https://kanzpp.ru/api/getInfo/image/05ebd9bb-12e5-11f1-a28f-00155d82e908")</f>
        <v>https://kanzpp.ru/api/getInfo/image/05ebd9bb-12e5-11f1-a28f-00155d82e908</v>
      </c>
      <c r="U1440" s="37"/>
    </row>
    <row r="1441" spans="2:21" ht="22.95" customHeight="1" outlineLevel="6" x14ac:dyDescent="0.2">
      <c r="B1441" s="84" t="s">
        <v>4453</v>
      </c>
      <c r="C1441" s="84"/>
      <c r="D1441" s="84"/>
      <c r="L1441">
        <v>0</v>
      </c>
    </row>
    <row r="1442" spans="2:21" ht="21" customHeight="1" outlineLevel="7" x14ac:dyDescent="0.2">
      <c r="B1442" s="71">
        <v>1057</v>
      </c>
      <c r="C1442" s="37" t="s">
        <v>4454</v>
      </c>
      <c r="D1442" s="37" t="s">
        <v>4455</v>
      </c>
      <c r="E1442" s="38" t="s">
        <v>4456</v>
      </c>
      <c r="F1442" s="39"/>
      <c r="G1442" s="40"/>
      <c r="H1442" s="40"/>
      <c r="I1442" s="41">
        <v>50</v>
      </c>
      <c r="J1442" s="40" t="s">
        <v>144</v>
      </c>
      <c r="K1442" s="36">
        <v>50</v>
      </c>
      <c r="L1442" s="42">
        <f>(15.6*(1-O3/100))/0.75</f>
        <v>20.8</v>
      </c>
      <c r="M1442" s="12"/>
      <c r="N1442" s="40">
        <f>L1442*M1442</f>
        <v>0</v>
      </c>
      <c r="O1442" s="43">
        <f>0.032*M1442</f>
        <v>0</v>
      </c>
      <c r="P1442" s="47">
        <f>0.00014*M1442</f>
        <v>0</v>
      </c>
      <c r="Q1442" s="44"/>
      <c r="R1442" s="45" t="s">
        <v>4457</v>
      </c>
      <c r="S1442" s="45" t="s">
        <v>93</v>
      </c>
      <c r="T1442" s="37" t="str">
        <f>HYPERLINK("https://kanzpp.ru/api/getInfo/image/b4c04d8e-12e5-11f1-a28f-00155d82e908")</f>
        <v>https://kanzpp.ru/api/getInfo/image/b4c04d8e-12e5-11f1-a28f-00155d82e908</v>
      </c>
      <c r="U1442" s="37"/>
    </row>
    <row r="1443" spans="2:21" ht="21" customHeight="1" outlineLevel="7" x14ac:dyDescent="0.2">
      <c r="B1443" s="71">
        <v>1058</v>
      </c>
      <c r="C1443" s="37" t="s">
        <v>4458</v>
      </c>
      <c r="D1443" s="37" t="s">
        <v>4459</v>
      </c>
      <c r="E1443" s="38" t="s">
        <v>4460</v>
      </c>
      <c r="F1443" s="39"/>
      <c r="G1443" s="40"/>
      <c r="H1443" s="40"/>
      <c r="I1443" s="41">
        <v>50</v>
      </c>
      <c r="J1443" s="40" t="s">
        <v>144</v>
      </c>
      <c r="K1443" s="36">
        <v>50</v>
      </c>
      <c r="L1443" s="42">
        <f>(15.6*(1-O3/100))/0.75</f>
        <v>20.8</v>
      </c>
      <c r="M1443" s="12"/>
      <c r="N1443" s="40">
        <f>L1443*M1443</f>
        <v>0</v>
      </c>
      <c r="O1443" s="43">
        <f>0.034*M1443</f>
        <v>0</v>
      </c>
      <c r="P1443" s="47">
        <f>0.00011*M1443</f>
        <v>0</v>
      </c>
      <c r="Q1443" s="44"/>
      <c r="R1443" s="45" t="s">
        <v>4461</v>
      </c>
      <c r="S1443" s="45" t="s">
        <v>93</v>
      </c>
      <c r="T1443" s="37" t="str">
        <f>HYPERLINK("https://kanzpp.ru/api/getInfo/image/d89a376f-12e5-11f1-a28f-00155d82e908")</f>
        <v>https://kanzpp.ru/api/getInfo/image/d89a376f-12e5-11f1-a28f-00155d82e908</v>
      </c>
      <c r="U1443" s="37"/>
    </row>
    <row r="1444" spans="2:21" ht="21" customHeight="1" outlineLevel="7" x14ac:dyDescent="0.2">
      <c r="B1444" s="71">
        <v>1059</v>
      </c>
      <c r="C1444" s="37" t="s">
        <v>4462</v>
      </c>
      <c r="D1444" s="37" t="s">
        <v>4463</v>
      </c>
      <c r="E1444" s="38" t="s">
        <v>4464</v>
      </c>
      <c r="F1444" s="39"/>
      <c r="G1444" s="40"/>
      <c r="H1444" s="40"/>
      <c r="I1444" s="41">
        <v>50</v>
      </c>
      <c r="J1444" s="40" t="s">
        <v>144</v>
      </c>
      <c r="K1444" s="36">
        <v>50</v>
      </c>
      <c r="L1444" s="42">
        <f>(15.6*(1-O3/100))/0.75</f>
        <v>20.8</v>
      </c>
      <c r="M1444" s="12"/>
      <c r="N1444" s="40">
        <f>L1444*M1444</f>
        <v>0</v>
      </c>
      <c r="O1444" s="43">
        <f>0.034*M1444</f>
        <v>0</v>
      </c>
      <c r="P1444" s="47">
        <f>0.00011*M1444</f>
        <v>0</v>
      </c>
      <c r="Q1444" s="44"/>
      <c r="R1444" s="45" t="s">
        <v>4465</v>
      </c>
      <c r="S1444" s="45" t="s">
        <v>93</v>
      </c>
      <c r="T1444" s="37" t="str">
        <f>HYPERLINK("https://kanzpp.ru/api/getInfo/image/938886a1-12e5-11f1-a28f-00155d82e908")</f>
        <v>https://kanzpp.ru/api/getInfo/image/938886a1-12e5-11f1-a28f-00155d82e908</v>
      </c>
      <c r="U1444" s="37"/>
    </row>
    <row r="1445" spans="2:21" ht="22.95" customHeight="1" outlineLevel="5" x14ac:dyDescent="0.2">
      <c r="B1445" s="83" t="s">
        <v>4466</v>
      </c>
      <c r="C1445" s="83"/>
      <c r="D1445" s="83"/>
      <c r="L1445">
        <v>0</v>
      </c>
    </row>
    <row r="1446" spans="2:21" ht="22.95" customHeight="1" outlineLevel="6" x14ac:dyDescent="0.2">
      <c r="B1446" s="84" t="s">
        <v>4467</v>
      </c>
      <c r="C1446" s="84"/>
      <c r="D1446" s="84"/>
      <c r="L1446">
        <v>0</v>
      </c>
    </row>
    <row r="1447" spans="2:21" ht="21" customHeight="1" outlineLevel="7" x14ac:dyDescent="0.2">
      <c r="B1447" s="71">
        <v>1060</v>
      </c>
      <c r="C1447" s="37" t="s">
        <v>4468</v>
      </c>
      <c r="D1447" s="37" t="s">
        <v>4469</v>
      </c>
      <c r="E1447" s="38" t="s">
        <v>4470</v>
      </c>
      <c r="F1447" s="39"/>
      <c r="G1447" s="40"/>
      <c r="H1447" s="40"/>
      <c r="I1447" s="41">
        <v>50</v>
      </c>
      <c r="J1447" s="40" t="s">
        <v>144</v>
      </c>
      <c r="K1447" s="36">
        <v>50</v>
      </c>
      <c r="L1447" s="42">
        <f>(16.93*(1-O3/100))/0.75</f>
        <v>22.573333333333334</v>
      </c>
      <c r="M1447" s="12"/>
      <c r="N1447" s="40">
        <f>L1447*M1447</f>
        <v>0</v>
      </c>
      <c r="O1447" s="43">
        <f>0.056*M1447</f>
        <v>0</v>
      </c>
      <c r="P1447" s="47">
        <f>0.00017*M1447</f>
        <v>0</v>
      </c>
      <c r="Q1447" s="44"/>
      <c r="R1447" s="45" t="s">
        <v>4471</v>
      </c>
      <c r="S1447" s="45" t="s">
        <v>93</v>
      </c>
      <c r="T1447" s="37" t="str">
        <f>HYPERLINK("https://kanzpp.ru/api/getInfo/image/e11ae352-12e2-11f1-a28f-00155d82e908")</f>
        <v>https://kanzpp.ru/api/getInfo/image/e11ae352-12e2-11f1-a28f-00155d82e908</v>
      </c>
      <c r="U1447" s="37"/>
    </row>
    <row r="1448" spans="2:21" ht="21" customHeight="1" outlineLevel="7" x14ac:dyDescent="0.2">
      <c r="B1448" s="71">
        <v>1061</v>
      </c>
      <c r="C1448" s="37" t="s">
        <v>4472</v>
      </c>
      <c r="D1448" s="37" t="s">
        <v>4473</v>
      </c>
      <c r="E1448" s="38" t="s">
        <v>4474</v>
      </c>
      <c r="F1448" s="39"/>
      <c r="G1448" s="40"/>
      <c r="H1448" s="40"/>
      <c r="I1448" s="41">
        <v>50</v>
      </c>
      <c r="J1448" s="40" t="s">
        <v>144</v>
      </c>
      <c r="K1448" s="36">
        <v>50</v>
      </c>
      <c r="L1448" s="42">
        <f>(16.93*(1-O3/100))/0.75</f>
        <v>22.573333333333334</v>
      </c>
      <c r="M1448" s="12"/>
      <c r="N1448" s="40">
        <f>L1448*M1448</f>
        <v>0</v>
      </c>
      <c r="O1448" s="43">
        <f>0.057*M1448</f>
        <v>0</v>
      </c>
      <c r="P1448" s="47">
        <f>0.00033*M1448</f>
        <v>0</v>
      </c>
      <c r="Q1448" s="44"/>
      <c r="R1448" s="45" t="s">
        <v>4475</v>
      </c>
      <c r="S1448" s="45" t="s">
        <v>93</v>
      </c>
      <c r="T1448" s="37" t="str">
        <f>HYPERLINK("https://kanzpp.ru/api/getInfo/image/887f3704-1612-11f1-a28f-00155d82e908")</f>
        <v>https://kanzpp.ru/api/getInfo/image/887f3704-1612-11f1-a28f-00155d82e908</v>
      </c>
      <c r="U1448" s="37"/>
    </row>
    <row r="1449" spans="2:21" ht="22.95" customHeight="1" outlineLevel="6" x14ac:dyDescent="0.2">
      <c r="B1449" s="84" t="s">
        <v>4476</v>
      </c>
      <c r="C1449" s="84"/>
      <c r="D1449" s="84"/>
      <c r="L1449">
        <v>0</v>
      </c>
    </row>
    <row r="1450" spans="2:21" ht="21" customHeight="1" outlineLevel="7" x14ac:dyDescent="0.2">
      <c r="B1450" s="71">
        <v>1062</v>
      </c>
      <c r="C1450" s="37" t="s">
        <v>4477</v>
      </c>
      <c r="D1450" s="37" t="s">
        <v>4478</v>
      </c>
      <c r="E1450" s="38" t="s">
        <v>4479</v>
      </c>
      <c r="F1450" s="39"/>
      <c r="G1450" s="40"/>
      <c r="H1450" s="40"/>
      <c r="I1450" s="41">
        <v>50</v>
      </c>
      <c r="J1450" s="41">
        <v>260</v>
      </c>
      <c r="K1450" s="36">
        <v>50</v>
      </c>
      <c r="L1450" s="42">
        <f>(24.19*(1-O3/100))/0.75</f>
        <v>32.253333333333337</v>
      </c>
      <c r="M1450" s="12"/>
      <c r="N1450" s="40">
        <f t="shared" ref="N1450:N1455" si="64">L1450*M1450</f>
        <v>0</v>
      </c>
      <c r="O1450" s="43">
        <f>0.057*M1450</f>
        <v>0</v>
      </c>
      <c r="P1450" s="47">
        <f>0.00033*M1450</f>
        <v>0</v>
      </c>
      <c r="Q1450" s="44"/>
      <c r="R1450" s="45" t="s">
        <v>4480</v>
      </c>
      <c r="S1450" s="45" t="s">
        <v>93</v>
      </c>
      <c r="T1450" s="37" t="str">
        <f>HYPERLINK("https://kanzpp.ru/api/getInfo/image/17dfa31e-2441-11f1-a290-00155d82e908")</f>
        <v>https://kanzpp.ru/api/getInfo/image/17dfa31e-2441-11f1-a290-00155d82e908</v>
      </c>
      <c r="U1450" s="37"/>
    </row>
    <row r="1451" spans="2:21" ht="21" customHeight="1" outlineLevel="7" x14ac:dyDescent="0.2">
      <c r="B1451" s="71">
        <v>1063</v>
      </c>
      <c r="C1451" s="37" t="s">
        <v>4481</v>
      </c>
      <c r="D1451" s="37" t="s">
        <v>4482</v>
      </c>
      <c r="E1451" s="38" t="s">
        <v>4483</v>
      </c>
      <c r="F1451" s="39"/>
      <c r="G1451" s="40"/>
      <c r="H1451" s="40"/>
      <c r="I1451" s="41">
        <v>50</v>
      </c>
      <c r="J1451" s="40" t="s">
        <v>144</v>
      </c>
      <c r="K1451" s="36">
        <v>50</v>
      </c>
      <c r="L1451" s="42">
        <f>(24.19*(1-O3/100))/0.75</f>
        <v>32.253333333333337</v>
      </c>
      <c r="M1451" s="12"/>
      <c r="N1451" s="40">
        <f t="shared" si="64"/>
        <v>0</v>
      </c>
      <c r="O1451" s="43">
        <f>0.051*M1451</f>
        <v>0</v>
      </c>
      <c r="P1451" s="40">
        <v>0</v>
      </c>
      <c r="Q1451" s="44"/>
      <c r="R1451" s="45" t="s">
        <v>4484</v>
      </c>
      <c r="S1451" s="45" t="s">
        <v>93</v>
      </c>
      <c r="T1451" s="37" t="str">
        <f>HYPERLINK("https://kanzpp.ru/api/getInfo/image/6ba9348c-2441-11f1-a290-00155d82e908")</f>
        <v>https://kanzpp.ru/api/getInfo/image/6ba9348c-2441-11f1-a290-00155d82e908</v>
      </c>
      <c r="U1451" s="37"/>
    </row>
    <row r="1452" spans="2:21" ht="21" customHeight="1" outlineLevel="7" x14ac:dyDescent="0.2">
      <c r="B1452" s="71">
        <v>1064</v>
      </c>
      <c r="C1452" s="37" t="s">
        <v>4485</v>
      </c>
      <c r="D1452" s="37" t="s">
        <v>4486</v>
      </c>
      <c r="E1452" s="38" t="s">
        <v>4487</v>
      </c>
      <c r="F1452" s="39"/>
      <c r="G1452" s="40"/>
      <c r="H1452" s="40"/>
      <c r="I1452" s="41">
        <v>50</v>
      </c>
      <c r="J1452" s="40" t="s">
        <v>144</v>
      </c>
      <c r="K1452" s="36">
        <v>50</v>
      </c>
      <c r="L1452" s="42">
        <f>(24.19*(1-O3/100))/0.75</f>
        <v>32.253333333333337</v>
      </c>
      <c r="M1452" s="12"/>
      <c r="N1452" s="40">
        <f t="shared" si="64"/>
        <v>0</v>
      </c>
      <c r="O1452" s="43">
        <f>0.057*M1452</f>
        <v>0</v>
      </c>
      <c r="P1452" s="47">
        <f>0.00033*M1452</f>
        <v>0</v>
      </c>
      <c r="Q1452" s="44"/>
      <c r="R1452" s="45" t="s">
        <v>4488</v>
      </c>
      <c r="S1452" s="45" t="s">
        <v>93</v>
      </c>
      <c r="T1452" s="37" t="str">
        <f>HYPERLINK("https://kanzpp.ru/api/getInfo/image/f5b6c529-2440-11f1-a290-00155d82e908")</f>
        <v>https://kanzpp.ru/api/getInfo/image/f5b6c529-2440-11f1-a290-00155d82e908</v>
      </c>
      <c r="U1452" s="37"/>
    </row>
    <row r="1453" spans="2:21" ht="21" customHeight="1" outlineLevel="7" x14ac:dyDescent="0.2">
      <c r="B1453" s="71">
        <v>1065</v>
      </c>
      <c r="C1453" s="37" t="s">
        <v>4489</v>
      </c>
      <c r="D1453" s="37" t="s">
        <v>4490</v>
      </c>
      <c r="E1453" s="38" t="s">
        <v>4491</v>
      </c>
      <c r="F1453" s="39"/>
      <c r="G1453" s="40"/>
      <c r="H1453" s="40"/>
      <c r="I1453" s="41">
        <v>50</v>
      </c>
      <c r="J1453" s="40" t="s">
        <v>144</v>
      </c>
      <c r="K1453" s="36">
        <v>50</v>
      </c>
      <c r="L1453" s="42">
        <f>(24.19*(1-O3/100))/0.75</f>
        <v>32.253333333333337</v>
      </c>
      <c r="M1453" s="12"/>
      <c r="N1453" s="40">
        <f t="shared" si="64"/>
        <v>0</v>
      </c>
      <c r="O1453" s="43">
        <f>0.057*M1453</f>
        <v>0</v>
      </c>
      <c r="P1453" s="47">
        <f>0.00033*M1453</f>
        <v>0</v>
      </c>
      <c r="Q1453" s="44"/>
      <c r="R1453" s="45" t="s">
        <v>4492</v>
      </c>
      <c r="S1453" s="45" t="s">
        <v>93</v>
      </c>
      <c r="T1453" s="37" t="str">
        <f>HYPERLINK("https://kanzpp.ru/api/getInfo/image/9de0353b-2441-11f1-a290-00155d82e908")</f>
        <v>https://kanzpp.ru/api/getInfo/image/9de0353b-2441-11f1-a290-00155d82e908</v>
      </c>
      <c r="U1453" s="37"/>
    </row>
    <row r="1454" spans="2:21" ht="21" customHeight="1" outlineLevel="7" x14ac:dyDescent="0.2">
      <c r="B1454" s="71">
        <v>1066</v>
      </c>
      <c r="C1454" s="37" t="s">
        <v>4493</v>
      </c>
      <c r="D1454" s="37" t="s">
        <v>4494</v>
      </c>
      <c r="E1454" s="38" t="s">
        <v>4495</v>
      </c>
      <c r="F1454" s="39"/>
      <c r="G1454" s="40"/>
      <c r="H1454" s="40"/>
      <c r="I1454" s="41">
        <v>50</v>
      </c>
      <c r="J1454" s="50">
        <v>1510</v>
      </c>
      <c r="K1454" s="36">
        <v>50</v>
      </c>
      <c r="L1454" s="42">
        <f>(17.73*(1-O3/100))/0.75</f>
        <v>23.64</v>
      </c>
      <c r="M1454" s="12"/>
      <c r="N1454" s="40">
        <f t="shared" si="64"/>
        <v>0</v>
      </c>
      <c r="O1454" s="43">
        <f>0.057*M1454</f>
        <v>0</v>
      </c>
      <c r="P1454" s="47">
        <f>0.00033*M1454</f>
        <v>0</v>
      </c>
      <c r="Q1454" s="44"/>
      <c r="R1454" s="45" t="s">
        <v>4496</v>
      </c>
      <c r="S1454" s="45" t="s">
        <v>93</v>
      </c>
      <c r="T1454" s="37" t="str">
        <f>HYPERLINK("https://kanzpp.ru/api/getInfo/image/313b56e1-243f-11f1-a290-00155d82e908")</f>
        <v>https://kanzpp.ru/api/getInfo/image/313b56e1-243f-11f1-a290-00155d82e908</v>
      </c>
      <c r="U1454" s="37"/>
    </row>
    <row r="1455" spans="2:21" ht="21" customHeight="1" outlineLevel="7" x14ac:dyDescent="0.2">
      <c r="B1455" s="71">
        <v>1067</v>
      </c>
      <c r="C1455" s="37" t="s">
        <v>4497</v>
      </c>
      <c r="D1455" s="37" t="s">
        <v>4498</v>
      </c>
      <c r="E1455" s="38" t="s">
        <v>4499</v>
      </c>
      <c r="F1455" s="39"/>
      <c r="G1455" s="40"/>
      <c r="H1455" s="40"/>
      <c r="I1455" s="41">
        <v>50</v>
      </c>
      <c r="J1455" s="40" t="s">
        <v>144</v>
      </c>
      <c r="K1455" s="36">
        <v>50</v>
      </c>
      <c r="L1455" s="42">
        <f>(17.73*(1-O3/100))/0.75</f>
        <v>23.64</v>
      </c>
      <c r="M1455" s="12"/>
      <c r="N1455" s="40">
        <f t="shared" si="64"/>
        <v>0</v>
      </c>
      <c r="O1455" s="43">
        <f>0.057*M1455</f>
        <v>0</v>
      </c>
      <c r="P1455" s="47">
        <f>0.00033*M1455</f>
        <v>0</v>
      </c>
      <c r="Q1455" s="44"/>
      <c r="R1455" s="45" t="s">
        <v>4500</v>
      </c>
      <c r="S1455" s="45" t="s">
        <v>93</v>
      </c>
      <c r="T1455" s="37" t="str">
        <f>HYPERLINK("https://kanzpp.ru/api/getInfo/image/87986850-243f-11f1-a290-00155d82e908")</f>
        <v>https://kanzpp.ru/api/getInfo/image/87986850-243f-11f1-a290-00155d82e908</v>
      </c>
      <c r="U1455" s="37"/>
    </row>
    <row r="1456" spans="2:21" ht="22.95" customHeight="1" outlineLevel="2" x14ac:dyDescent="0.2">
      <c r="B1456" s="80" t="s">
        <v>4501</v>
      </c>
      <c r="C1456" s="80"/>
      <c r="D1456" s="80"/>
      <c r="L1456">
        <v>0</v>
      </c>
    </row>
    <row r="1457" spans="2:22" ht="22.95" customHeight="1" outlineLevel="3" x14ac:dyDescent="0.2">
      <c r="B1457" s="81" t="s">
        <v>4502</v>
      </c>
      <c r="C1457" s="81"/>
      <c r="D1457" s="81"/>
      <c r="L1457">
        <v>0</v>
      </c>
    </row>
    <row r="1458" spans="2:22" ht="22.95" customHeight="1" outlineLevel="4" x14ac:dyDescent="0.2">
      <c r="B1458" s="82" t="s">
        <v>4503</v>
      </c>
      <c r="C1458" s="82"/>
      <c r="D1458" s="82"/>
      <c r="L1458">
        <v>0</v>
      </c>
    </row>
    <row r="1459" spans="2:22" ht="21" customHeight="1" outlineLevel="5" x14ac:dyDescent="0.2">
      <c r="B1459" s="69">
        <v>1068</v>
      </c>
      <c r="C1459" s="6" t="s">
        <v>4504</v>
      </c>
      <c r="D1459" s="6" t="s">
        <v>4505</v>
      </c>
      <c r="E1459" s="7" t="s">
        <v>4506</v>
      </c>
      <c r="F1459" s="13"/>
      <c r="G1459" s="14"/>
      <c r="H1459" s="14"/>
      <c r="I1459" s="15">
        <v>20</v>
      </c>
      <c r="J1459" s="14" t="s">
        <v>144</v>
      </c>
      <c r="K1459" s="5">
        <v>20</v>
      </c>
      <c r="L1459" s="16">
        <v>52</v>
      </c>
      <c r="M1459" s="12"/>
      <c r="N1459" s="14">
        <f>L1459*M1459</f>
        <v>0</v>
      </c>
      <c r="O1459" s="23">
        <f>0.176*M1459</f>
        <v>0</v>
      </c>
      <c r="P1459" s="24">
        <f>0.00066*M1459</f>
        <v>0</v>
      </c>
      <c r="Q1459" s="25"/>
      <c r="R1459" s="26" t="s">
        <v>4507</v>
      </c>
      <c r="S1459" s="26" t="s">
        <v>29</v>
      </c>
      <c r="T1459" s="6" t="str">
        <f>HYPERLINK("https://kanzpp.ru/api/getInfo/image/80800c13-499b-11ef-a262-00155d82e908")</f>
        <v>https://kanzpp.ru/api/getInfo/image/80800c13-499b-11ef-a262-00155d82e908</v>
      </c>
      <c r="U1459" s="6"/>
      <c r="V1459" s="33" t="s">
        <v>35</v>
      </c>
    </row>
    <row r="1460" spans="2:22" ht="21" customHeight="1" outlineLevel="5" x14ac:dyDescent="0.2">
      <c r="B1460" s="69">
        <v>1069</v>
      </c>
      <c r="C1460" s="6" t="s">
        <v>4508</v>
      </c>
      <c r="D1460" s="6" t="s">
        <v>4509</v>
      </c>
      <c r="E1460" s="7" t="s">
        <v>4510</v>
      </c>
      <c r="F1460" s="13"/>
      <c r="G1460" s="14"/>
      <c r="H1460" s="14"/>
      <c r="I1460" s="15">
        <v>20</v>
      </c>
      <c r="J1460" s="14" t="s">
        <v>144</v>
      </c>
      <c r="K1460" s="5">
        <v>20</v>
      </c>
      <c r="L1460" s="16">
        <v>52</v>
      </c>
      <c r="M1460" s="12"/>
      <c r="N1460" s="14">
        <f>L1460*M1460</f>
        <v>0</v>
      </c>
      <c r="O1460" s="23">
        <f>0.172*M1460</f>
        <v>0</v>
      </c>
      <c r="P1460" s="24">
        <f>0.00077*M1460</f>
        <v>0</v>
      </c>
      <c r="Q1460" s="25"/>
      <c r="R1460" s="26" t="s">
        <v>4511</v>
      </c>
      <c r="S1460" s="26" t="s">
        <v>29</v>
      </c>
      <c r="T1460" s="6" t="str">
        <f>HYPERLINK("https://kanzpp.ru/api/getInfo/image/4a341c11-499b-11ef-a262-00155d82e908")</f>
        <v>https://kanzpp.ru/api/getInfo/image/4a341c11-499b-11ef-a262-00155d82e908</v>
      </c>
      <c r="U1460" s="6"/>
      <c r="V1460" s="33" t="s">
        <v>35</v>
      </c>
    </row>
    <row r="1461" spans="2:22" ht="22.95" customHeight="1" outlineLevel="4" x14ac:dyDescent="0.2">
      <c r="B1461" s="82" t="s">
        <v>4512</v>
      </c>
      <c r="C1461" s="82"/>
      <c r="D1461" s="82"/>
      <c r="L1461">
        <v>0</v>
      </c>
    </row>
    <row r="1462" spans="2:22" ht="21" customHeight="1" outlineLevel="5" x14ac:dyDescent="0.2">
      <c r="B1462" s="69">
        <v>1070</v>
      </c>
      <c r="C1462" s="6" t="s">
        <v>4513</v>
      </c>
      <c r="D1462" s="6" t="s">
        <v>4514</v>
      </c>
      <c r="E1462" s="7" t="s">
        <v>4515</v>
      </c>
      <c r="F1462" s="13"/>
      <c r="G1462" s="14"/>
      <c r="H1462" s="14"/>
      <c r="I1462" s="15">
        <v>30</v>
      </c>
      <c r="J1462" s="14" t="s">
        <v>144</v>
      </c>
      <c r="K1462" s="5">
        <v>30</v>
      </c>
      <c r="L1462" s="16">
        <v>38.666666666666664</v>
      </c>
      <c r="M1462" s="12"/>
      <c r="N1462" s="14">
        <f>L1462*M1462</f>
        <v>0</v>
      </c>
      <c r="O1462" s="23">
        <f>0.103*M1462</f>
        <v>0</v>
      </c>
      <c r="P1462" s="24">
        <f>0.00039*M1462</f>
        <v>0</v>
      </c>
      <c r="Q1462" s="25"/>
      <c r="R1462" s="26" t="s">
        <v>4516</v>
      </c>
      <c r="S1462" s="26" t="s">
        <v>29</v>
      </c>
      <c r="T1462" s="6" t="str">
        <f>HYPERLINK("https://kanzpp.ru/api/getInfo/image/f50bf06f-499b-11ef-a262-00155d82e908")</f>
        <v>https://kanzpp.ru/api/getInfo/image/f50bf06f-499b-11ef-a262-00155d82e908</v>
      </c>
      <c r="U1462" s="6"/>
      <c r="V1462" s="33" t="s">
        <v>35</v>
      </c>
    </row>
    <row r="1463" spans="2:22" ht="21" customHeight="1" outlineLevel="5" x14ac:dyDescent="0.2">
      <c r="B1463" s="69">
        <v>1071</v>
      </c>
      <c r="C1463" s="6" t="s">
        <v>4517</v>
      </c>
      <c r="D1463" s="6" t="s">
        <v>4518</v>
      </c>
      <c r="E1463" s="7" t="s">
        <v>4519</v>
      </c>
      <c r="F1463" s="13"/>
      <c r="G1463" s="14"/>
      <c r="H1463" s="14"/>
      <c r="I1463" s="15">
        <v>30</v>
      </c>
      <c r="J1463" s="14" t="s">
        <v>144</v>
      </c>
      <c r="K1463" s="5">
        <v>30</v>
      </c>
      <c r="L1463" s="16">
        <v>38.666666666666664</v>
      </c>
      <c r="M1463" s="12"/>
      <c r="N1463" s="14">
        <f>L1463*M1463</f>
        <v>0</v>
      </c>
      <c r="O1463" s="23">
        <f>0.103*M1463</f>
        <v>0</v>
      </c>
      <c r="P1463" s="24">
        <f>0.00039*M1463</f>
        <v>0</v>
      </c>
      <c r="Q1463" s="25"/>
      <c r="R1463" s="26" t="s">
        <v>4520</v>
      </c>
      <c r="S1463" s="26" t="s">
        <v>29</v>
      </c>
      <c r="T1463" s="6" t="str">
        <f>HYPERLINK("https://kanzpp.ru/api/getInfo/image/217d6153-499c-11ef-a262-00155d82e908")</f>
        <v>https://kanzpp.ru/api/getInfo/image/217d6153-499c-11ef-a262-00155d82e908</v>
      </c>
      <c r="U1463" s="6"/>
      <c r="V1463" s="33" t="s">
        <v>35</v>
      </c>
    </row>
    <row r="1464" spans="2:22" ht="21" customHeight="1" outlineLevel="5" x14ac:dyDescent="0.2">
      <c r="B1464" s="69">
        <v>1072</v>
      </c>
      <c r="C1464" s="6" t="s">
        <v>4521</v>
      </c>
      <c r="D1464" s="6" t="s">
        <v>4522</v>
      </c>
      <c r="E1464" s="7" t="s">
        <v>4523</v>
      </c>
      <c r="F1464" s="13"/>
      <c r="G1464" s="14"/>
      <c r="H1464" s="15">
        <v>70</v>
      </c>
      <c r="I1464" s="14"/>
      <c r="J1464" s="15">
        <v>40</v>
      </c>
      <c r="K1464" s="5">
        <v>15</v>
      </c>
      <c r="L1464" s="16">
        <v>19.866666666666667</v>
      </c>
      <c r="M1464" s="12"/>
      <c r="N1464" s="14">
        <f>L1464*M1464</f>
        <v>0</v>
      </c>
      <c r="O1464" s="23">
        <f>0.105*M1464</f>
        <v>0</v>
      </c>
      <c r="P1464" s="24">
        <f>0.00013*M1464</f>
        <v>0</v>
      </c>
      <c r="Q1464" s="25"/>
      <c r="R1464" s="26"/>
      <c r="S1464" s="26" t="s">
        <v>29</v>
      </c>
      <c r="T1464" s="6" t="str">
        <f>HYPERLINK("https://kanzpp.ru/api/getInfo/image/e5f496cf-b0f0-11ed-a230-00155d82e902")</f>
        <v>https://kanzpp.ru/api/getInfo/image/e5f496cf-b0f0-11ed-a230-00155d82e902</v>
      </c>
      <c r="U1464" s="6" t="s">
        <v>4524</v>
      </c>
      <c r="V1464" s="33" t="s">
        <v>35</v>
      </c>
    </row>
    <row r="1465" spans="2:22" ht="22.95" customHeight="1" outlineLevel="4" x14ac:dyDescent="0.2">
      <c r="B1465" s="82" t="s">
        <v>4525</v>
      </c>
      <c r="C1465" s="82"/>
      <c r="D1465" s="82"/>
      <c r="L1465">
        <v>0</v>
      </c>
    </row>
    <row r="1466" spans="2:22" ht="21" customHeight="1" outlineLevel="5" x14ac:dyDescent="0.2">
      <c r="B1466" s="69">
        <v>1073</v>
      </c>
      <c r="C1466" s="6" t="s">
        <v>4526</v>
      </c>
      <c r="D1466" s="6" t="s">
        <v>4527</v>
      </c>
      <c r="E1466" s="7" t="s">
        <v>4528</v>
      </c>
      <c r="F1466" s="13"/>
      <c r="G1466" s="14"/>
      <c r="H1466" s="15">
        <v>20</v>
      </c>
      <c r="I1466" s="15">
        <v>20</v>
      </c>
      <c r="J1466" s="15">
        <v>20</v>
      </c>
      <c r="K1466" s="5">
        <v>20</v>
      </c>
      <c r="L1466" s="16">
        <v>39.866666666666667</v>
      </c>
      <c r="M1466" s="12"/>
      <c r="N1466" s="14">
        <f>L1466*M1466</f>
        <v>0</v>
      </c>
      <c r="O1466" s="23">
        <f>0.181*M1466</f>
        <v>0</v>
      </c>
      <c r="P1466" s="24">
        <f>0.00019*M1466</f>
        <v>0</v>
      </c>
      <c r="Q1466" s="25"/>
      <c r="R1466" s="26" t="s">
        <v>4529</v>
      </c>
      <c r="S1466" s="26" t="s">
        <v>29</v>
      </c>
      <c r="T1466" s="6" t="str">
        <f>HYPERLINK("https://kanzpp.ru/api/getInfo/image/0b8ca098-c828-11e6-b929-5cf3fc4a2490")</f>
        <v>https://kanzpp.ru/api/getInfo/image/0b8ca098-c828-11e6-b929-5cf3fc4a2490</v>
      </c>
      <c r="U1466" s="6"/>
      <c r="V1466" s="33" t="s">
        <v>35</v>
      </c>
    </row>
    <row r="1467" spans="2:22" ht="21" customHeight="1" outlineLevel="5" x14ac:dyDescent="0.2">
      <c r="B1467" s="69">
        <v>1074</v>
      </c>
      <c r="C1467" s="6" t="s">
        <v>4530</v>
      </c>
      <c r="D1467" s="6" t="s">
        <v>4531</v>
      </c>
      <c r="E1467" s="7" t="s">
        <v>4532</v>
      </c>
      <c r="F1467" s="13"/>
      <c r="G1467" s="14"/>
      <c r="H1467" s="15">
        <v>20</v>
      </c>
      <c r="I1467" s="14"/>
      <c r="J1467" s="15">
        <v>10</v>
      </c>
      <c r="K1467" s="5">
        <v>10</v>
      </c>
      <c r="L1467" s="16">
        <v>39.866666666666667</v>
      </c>
      <c r="M1467" s="12"/>
      <c r="N1467" s="14">
        <f>L1467*M1467</f>
        <v>0</v>
      </c>
      <c r="O1467" s="23">
        <f>0.185*M1467</f>
        <v>0</v>
      </c>
      <c r="P1467" s="24">
        <f>0.00139*M1467</f>
        <v>0</v>
      </c>
      <c r="Q1467" s="25"/>
      <c r="R1467" s="26"/>
      <c r="S1467" s="26" t="s">
        <v>29</v>
      </c>
      <c r="T1467" s="6" t="str">
        <f>HYPERLINK("https://kanzpp.ru/api/getInfo/image/a0e891d5-0fad-11ec-a20f-ac1f6b442185")</f>
        <v>https://kanzpp.ru/api/getInfo/image/a0e891d5-0fad-11ec-a20f-ac1f6b442185</v>
      </c>
      <c r="U1467" s="6" t="s">
        <v>4533</v>
      </c>
      <c r="V1467" s="33" t="s">
        <v>35</v>
      </c>
    </row>
    <row r="1468" spans="2:22" ht="21" customHeight="1" outlineLevel="5" x14ac:dyDescent="0.2">
      <c r="B1468" s="69">
        <v>1075</v>
      </c>
      <c r="C1468" s="6" t="s">
        <v>4534</v>
      </c>
      <c r="D1468" s="6" t="s">
        <v>4535</v>
      </c>
      <c r="E1468" s="7" t="s">
        <v>4536</v>
      </c>
      <c r="F1468" s="13"/>
      <c r="G1468" s="14"/>
      <c r="H1468" s="14"/>
      <c r="I1468" s="15">
        <v>20</v>
      </c>
      <c r="J1468" s="14" t="s">
        <v>144</v>
      </c>
      <c r="K1468" s="5">
        <v>20</v>
      </c>
      <c r="L1468" s="16">
        <v>66.653333333333336</v>
      </c>
      <c r="M1468" s="12"/>
      <c r="N1468" s="14">
        <f>L1468*M1468</f>
        <v>0</v>
      </c>
      <c r="O1468" s="23">
        <f>0.178*M1468</f>
        <v>0</v>
      </c>
      <c r="P1468" s="24">
        <f>0.00039*M1468</f>
        <v>0</v>
      </c>
      <c r="Q1468" s="25"/>
      <c r="R1468" s="26" t="s">
        <v>4537</v>
      </c>
      <c r="S1468" s="26" t="s">
        <v>29</v>
      </c>
      <c r="T1468" s="6" t="str">
        <f>HYPERLINK("https://kanzpp.ru/api/getInfo/image/6c6a6708-499c-11ef-a262-00155d82e908")</f>
        <v>https://kanzpp.ru/api/getInfo/image/6c6a6708-499c-11ef-a262-00155d82e908</v>
      </c>
      <c r="U1468" s="6"/>
      <c r="V1468" s="33" t="s">
        <v>35</v>
      </c>
    </row>
    <row r="1469" spans="2:22" ht="21" customHeight="1" outlineLevel="5" x14ac:dyDescent="0.2">
      <c r="B1469" s="69">
        <v>1076</v>
      </c>
      <c r="C1469" s="6" t="s">
        <v>4538</v>
      </c>
      <c r="D1469" s="6" t="s">
        <v>4539</v>
      </c>
      <c r="E1469" s="7" t="s">
        <v>4540</v>
      </c>
      <c r="F1469" s="13"/>
      <c r="G1469" s="14"/>
      <c r="H1469" s="14"/>
      <c r="I1469" s="15">
        <v>20</v>
      </c>
      <c r="J1469" s="14" t="s">
        <v>144</v>
      </c>
      <c r="K1469" s="5">
        <v>20</v>
      </c>
      <c r="L1469" s="16">
        <v>66.653333333333336</v>
      </c>
      <c r="M1469" s="12"/>
      <c r="N1469" s="14">
        <f>L1469*M1469</f>
        <v>0</v>
      </c>
      <c r="O1469" s="23">
        <f>0.103*M1469</f>
        <v>0</v>
      </c>
      <c r="P1469" s="24">
        <f>0.00039*M1469</f>
        <v>0</v>
      </c>
      <c r="Q1469" s="25"/>
      <c r="R1469" s="26" t="s">
        <v>4541</v>
      </c>
      <c r="S1469" s="26" t="s">
        <v>29</v>
      </c>
      <c r="T1469" s="6" t="str">
        <f>HYPERLINK("https://kanzpp.ru/api/getInfo/image/a489b0f5-499c-11ef-a262-00155d82e908")</f>
        <v>https://kanzpp.ru/api/getInfo/image/a489b0f5-499c-11ef-a262-00155d82e908</v>
      </c>
      <c r="U1469" s="6"/>
      <c r="V1469" s="33" t="s">
        <v>35</v>
      </c>
    </row>
    <row r="1470" spans="2:22" ht="22.95" customHeight="1" outlineLevel="3" x14ac:dyDescent="0.2">
      <c r="B1470" s="81" t="s">
        <v>4542</v>
      </c>
      <c r="C1470" s="81"/>
      <c r="D1470" s="81"/>
      <c r="L1470">
        <v>0</v>
      </c>
    </row>
    <row r="1471" spans="2:22" ht="22.95" customHeight="1" outlineLevel="4" x14ac:dyDescent="0.2">
      <c r="B1471" s="82" t="s">
        <v>4543</v>
      </c>
      <c r="C1471" s="82"/>
      <c r="D1471" s="82"/>
      <c r="L1471">
        <v>0</v>
      </c>
    </row>
    <row r="1472" spans="2:22" ht="22.95" customHeight="1" outlineLevel="5" x14ac:dyDescent="0.2">
      <c r="B1472" s="83" t="s">
        <v>4544</v>
      </c>
      <c r="C1472" s="83"/>
      <c r="D1472" s="83"/>
      <c r="L1472">
        <v>0</v>
      </c>
    </row>
    <row r="1473" spans="2:22" ht="21" customHeight="1" outlineLevel="6" x14ac:dyDescent="0.2">
      <c r="B1473" s="69">
        <v>1077</v>
      </c>
      <c r="C1473" s="6" t="s">
        <v>4545</v>
      </c>
      <c r="D1473" s="6" t="s">
        <v>4546</v>
      </c>
      <c r="E1473" s="7" t="s">
        <v>4547</v>
      </c>
      <c r="F1473" s="13"/>
      <c r="G1473" s="14"/>
      <c r="H1473" s="14"/>
      <c r="I1473" s="15">
        <v>20</v>
      </c>
      <c r="J1473" s="15">
        <v>519</v>
      </c>
      <c r="K1473" s="5">
        <v>20</v>
      </c>
      <c r="L1473" s="16">
        <v>82.666666666666671</v>
      </c>
      <c r="M1473" s="12"/>
      <c r="N1473" s="14">
        <f>L1473*M1473</f>
        <v>0</v>
      </c>
      <c r="O1473" s="23">
        <f>0.307*M1473</f>
        <v>0</v>
      </c>
      <c r="P1473" s="24">
        <f>0.00078*M1473</f>
        <v>0</v>
      </c>
      <c r="Q1473" s="25"/>
      <c r="R1473" s="26" t="s">
        <v>4548</v>
      </c>
      <c r="S1473" s="26" t="s">
        <v>29</v>
      </c>
      <c r="T1473" s="6" t="str">
        <f>HYPERLINK("https://kanzpp.ru/api/getInfo/image/8800fb22-2d67-11ef-a261-00155d82e908")</f>
        <v>https://kanzpp.ru/api/getInfo/image/8800fb22-2d67-11ef-a261-00155d82e908</v>
      </c>
      <c r="U1473" s="6"/>
      <c r="V1473" s="33" t="s">
        <v>35</v>
      </c>
    </row>
    <row r="1474" spans="2:22" ht="22.95" customHeight="1" outlineLevel="5" x14ac:dyDescent="0.2">
      <c r="B1474" s="83" t="s">
        <v>4549</v>
      </c>
      <c r="C1474" s="83"/>
      <c r="D1474" s="83"/>
      <c r="L1474">
        <v>0</v>
      </c>
    </row>
    <row r="1475" spans="2:22" ht="21" customHeight="1" outlineLevel="6" x14ac:dyDescent="0.2">
      <c r="B1475" s="69">
        <v>1078</v>
      </c>
      <c r="C1475" s="6" t="s">
        <v>4550</v>
      </c>
      <c r="D1475" s="6" t="s">
        <v>4551</v>
      </c>
      <c r="E1475" s="7" t="s">
        <v>4552</v>
      </c>
      <c r="F1475" s="13"/>
      <c r="G1475" s="14"/>
      <c r="H1475" s="14"/>
      <c r="I1475" s="15">
        <v>10</v>
      </c>
      <c r="J1475" s="15">
        <v>18</v>
      </c>
      <c r="K1475" s="5">
        <v>10</v>
      </c>
      <c r="L1475" s="16">
        <v>145.33333333333334</v>
      </c>
      <c r="M1475" s="12"/>
      <c r="N1475" s="14">
        <f>L1475*M1475</f>
        <v>0</v>
      </c>
      <c r="O1475" s="23">
        <f>0.307*M1475</f>
        <v>0</v>
      </c>
      <c r="P1475" s="24">
        <f>0.00078*M1475</f>
        <v>0</v>
      </c>
      <c r="Q1475" s="25"/>
      <c r="R1475" s="26" t="s">
        <v>4553</v>
      </c>
      <c r="S1475" s="26" t="s">
        <v>29</v>
      </c>
      <c r="T1475" s="6" t="str">
        <f>HYPERLINK("https://kanzpp.ru/api/getInfo/image/2673a2d4-2d68-11ef-a261-00155d82e908")</f>
        <v>https://kanzpp.ru/api/getInfo/image/2673a2d4-2d68-11ef-a261-00155d82e908</v>
      </c>
      <c r="U1475" s="6"/>
      <c r="V1475" s="33" t="s">
        <v>35</v>
      </c>
    </row>
    <row r="1476" spans="2:22" ht="22.95" customHeight="1" outlineLevel="5" x14ac:dyDescent="0.2">
      <c r="B1476" s="83" t="s">
        <v>4554</v>
      </c>
      <c r="C1476" s="83"/>
      <c r="D1476" s="83"/>
      <c r="L1476">
        <v>0</v>
      </c>
    </row>
    <row r="1477" spans="2:22" ht="21" customHeight="1" outlineLevel="6" x14ac:dyDescent="0.2">
      <c r="B1477" s="71">
        <v>1079</v>
      </c>
      <c r="C1477" s="37" t="s">
        <v>4555</v>
      </c>
      <c r="D1477" s="37" t="s">
        <v>4556</v>
      </c>
      <c r="E1477" s="38" t="s">
        <v>4557</v>
      </c>
      <c r="F1477" s="39"/>
      <c r="G1477" s="40"/>
      <c r="H1477" s="40"/>
      <c r="I1477" s="41">
        <v>30</v>
      </c>
      <c r="J1477" s="41">
        <v>689</v>
      </c>
      <c r="K1477" s="36">
        <v>30</v>
      </c>
      <c r="L1477" s="42">
        <f>(44.8*(1-O3/100))/0.75</f>
        <v>59.733333333333327</v>
      </c>
      <c r="M1477" s="12"/>
      <c r="N1477" s="40">
        <f>L1477*M1477</f>
        <v>0</v>
      </c>
      <c r="O1477" s="43">
        <f>0.154*M1477</f>
        <v>0</v>
      </c>
      <c r="P1477" s="47">
        <f>0.00086*M1477</f>
        <v>0</v>
      </c>
      <c r="Q1477" s="44"/>
      <c r="R1477" s="45" t="s">
        <v>4558</v>
      </c>
      <c r="S1477" s="45" t="s">
        <v>29</v>
      </c>
      <c r="T1477" s="37" t="str">
        <f>HYPERLINK("https://kanzpp.ru/api/getInfo/image/9f922bb2-2d68-11ef-a261-00155d82e908")</f>
        <v>https://kanzpp.ru/api/getInfo/image/9f922bb2-2d68-11ef-a261-00155d82e908</v>
      </c>
      <c r="U1477" s="37"/>
    </row>
    <row r="1478" spans="2:22" ht="22.95" customHeight="1" outlineLevel="5" x14ac:dyDescent="0.2">
      <c r="B1478" s="83" t="s">
        <v>4559</v>
      </c>
      <c r="C1478" s="83"/>
      <c r="D1478" s="83"/>
      <c r="L1478">
        <v>0</v>
      </c>
    </row>
    <row r="1479" spans="2:22" ht="21" customHeight="1" outlineLevel="6" x14ac:dyDescent="0.2">
      <c r="B1479" s="71">
        <v>1080</v>
      </c>
      <c r="C1479" s="37" t="s">
        <v>4560</v>
      </c>
      <c r="D1479" s="37" t="s">
        <v>4561</v>
      </c>
      <c r="E1479" s="38" t="s">
        <v>4562</v>
      </c>
      <c r="F1479" s="39"/>
      <c r="G1479" s="40"/>
      <c r="H1479" s="40"/>
      <c r="I1479" s="41">
        <v>20</v>
      </c>
      <c r="J1479" s="40" t="s">
        <v>144</v>
      </c>
      <c r="K1479" s="36">
        <v>20</v>
      </c>
      <c r="L1479" s="42">
        <f>(68.89*(1-O3/100))/0.75</f>
        <v>91.853333333333339</v>
      </c>
      <c r="M1479" s="12"/>
      <c r="N1479" s="40">
        <f>L1479*M1479</f>
        <v>0</v>
      </c>
      <c r="O1479" s="48">
        <f>0.26*M1479</f>
        <v>0</v>
      </c>
      <c r="P1479" s="47">
        <f>0.00046*M1479</f>
        <v>0</v>
      </c>
      <c r="Q1479" s="44"/>
      <c r="R1479" s="45" t="s">
        <v>4563</v>
      </c>
      <c r="S1479" s="45" t="s">
        <v>29</v>
      </c>
      <c r="T1479" s="37" t="str">
        <f>HYPERLINK("https://kanzpp.ru/api/getInfo/image/061c3969-2d69-11ef-a261-00155d82e908")</f>
        <v>https://kanzpp.ru/api/getInfo/image/061c3969-2d69-11ef-a261-00155d82e908</v>
      </c>
      <c r="U1479" s="37"/>
    </row>
    <row r="1480" spans="2:22" ht="22.95" customHeight="1" outlineLevel="5" x14ac:dyDescent="0.2">
      <c r="B1480" s="83" t="s">
        <v>4564</v>
      </c>
      <c r="C1480" s="83"/>
      <c r="D1480" s="83"/>
      <c r="L1480">
        <v>0</v>
      </c>
    </row>
    <row r="1481" spans="2:22" ht="21" customHeight="1" outlineLevel="6" x14ac:dyDescent="0.2">
      <c r="B1481" s="69">
        <v>1081</v>
      </c>
      <c r="C1481" s="6" t="s">
        <v>4565</v>
      </c>
      <c r="D1481" s="6" t="s">
        <v>4566</v>
      </c>
      <c r="E1481" s="7" t="s">
        <v>4567</v>
      </c>
      <c r="F1481" s="13"/>
      <c r="G1481" s="14"/>
      <c r="H1481" s="14"/>
      <c r="I1481" s="15">
        <v>20</v>
      </c>
      <c r="J1481" s="14" t="s">
        <v>144</v>
      </c>
      <c r="K1481" s="5">
        <v>20</v>
      </c>
      <c r="L1481" s="16">
        <v>93.2</v>
      </c>
      <c r="M1481" s="12"/>
      <c r="N1481" s="14">
        <f>L1481*M1481</f>
        <v>0</v>
      </c>
      <c r="O1481" s="23">
        <f>0.311*M1481</f>
        <v>0</v>
      </c>
      <c r="P1481" s="31">
        <f>0.0009*M1481</f>
        <v>0</v>
      </c>
      <c r="Q1481" s="25"/>
      <c r="R1481" s="26" t="s">
        <v>4568</v>
      </c>
      <c r="S1481" s="26" t="s">
        <v>29</v>
      </c>
      <c r="T1481" s="6" t="str">
        <f>HYPERLINK("https://kanzpp.ru/api/getInfo/image/5212d0e1-2d6c-11ef-a261-00155d82e908")</f>
        <v>https://kanzpp.ru/api/getInfo/image/5212d0e1-2d6c-11ef-a261-00155d82e908</v>
      </c>
      <c r="U1481" s="6"/>
      <c r="V1481" s="33" t="s">
        <v>35</v>
      </c>
    </row>
    <row r="1482" spans="2:22" ht="21" customHeight="1" outlineLevel="6" x14ac:dyDescent="0.2">
      <c r="B1482" s="69">
        <v>1082</v>
      </c>
      <c r="C1482" s="6" t="s">
        <v>4569</v>
      </c>
      <c r="D1482" s="6" t="s">
        <v>4570</v>
      </c>
      <c r="E1482" s="7" t="s">
        <v>4571</v>
      </c>
      <c r="F1482" s="13"/>
      <c r="G1482" s="14"/>
      <c r="H1482" s="14"/>
      <c r="I1482" s="15">
        <v>20</v>
      </c>
      <c r="J1482" s="14" t="s">
        <v>144</v>
      </c>
      <c r="K1482" s="5">
        <v>20</v>
      </c>
      <c r="L1482" s="16">
        <v>93.2</v>
      </c>
      <c r="M1482" s="12"/>
      <c r="N1482" s="14">
        <f>L1482*M1482</f>
        <v>0</v>
      </c>
      <c r="O1482" s="23">
        <f>0.307*M1482</f>
        <v>0</v>
      </c>
      <c r="P1482" s="31">
        <f>0.0013*M1482</f>
        <v>0</v>
      </c>
      <c r="Q1482" s="25"/>
      <c r="R1482" s="26" t="s">
        <v>4572</v>
      </c>
      <c r="S1482" s="26" t="s">
        <v>29</v>
      </c>
      <c r="T1482" s="6" t="str">
        <f>HYPERLINK("https://kanzpp.ru/api/getInfo/image/b19756aa-2d6c-11ef-a261-00155d82e908")</f>
        <v>https://kanzpp.ru/api/getInfo/image/b19756aa-2d6c-11ef-a261-00155d82e908</v>
      </c>
      <c r="U1482" s="6"/>
      <c r="V1482" s="33" t="s">
        <v>35</v>
      </c>
    </row>
    <row r="1483" spans="2:22" ht="21" customHeight="1" outlineLevel="6" x14ac:dyDescent="0.2">
      <c r="B1483" s="69">
        <v>1083</v>
      </c>
      <c r="C1483" s="6" t="s">
        <v>4573</v>
      </c>
      <c r="D1483" s="6" t="s">
        <v>4574</v>
      </c>
      <c r="E1483" s="7" t="s">
        <v>4575</v>
      </c>
      <c r="F1483" s="13"/>
      <c r="G1483" s="14"/>
      <c r="H1483" s="14"/>
      <c r="I1483" s="15">
        <v>20</v>
      </c>
      <c r="J1483" s="15">
        <v>127</v>
      </c>
      <c r="K1483" s="5">
        <v>20</v>
      </c>
      <c r="L1483" s="16">
        <v>90.533333333333346</v>
      </c>
      <c r="M1483" s="12"/>
      <c r="N1483" s="14">
        <f>L1483*M1483</f>
        <v>0</v>
      </c>
      <c r="O1483" s="28">
        <f>0.31*M1483</f>
        <v>0</v>
      </c>
      <c r="P1483" s="24">
        <f>0.00142*M1483</f>
        <v>0</v>
      </c>
      <c r="Q1483" s="25"/>
      <c r="R1483" s="26" t="s">
        <v>4576</v>
      </c>
      <c r="S1483" s="26" t="s">
        <v>29</v>
      </c>
      <c r="T1483" s="6" t="str">
        <f>HYPERLINK("https://kanzpp.ru/api/getInfo/image/0a07db30-2d6d-11ef-a261-00155d82e908")</f>
        <v>https://kanzpp.ru/api/getInfo/image/0a07db30-2d6d-11ef-a261-00155d82e908</v>
      </c>
      <c r="U1483" s="6"/>
      <c r="V1483" s="33" t="s">
        <v>35</v>
      </c>
    </row>
    <row r="1484" spans="2:22" ht="22.95" customHeight="1" outlineLevel="5" x14ac:dyDescent="0.2">
      <c r="B1484" s="83" t="s">
        <v>4577</v>
      </c>
      <c r="C1484" s="83"/>
      <c r="D1484" s="83"/>
      <c r="L1484">
        <v>0</v>
      </c>
    </row>
    <row r="1485" spans="2:22" ht="21" customHeight="1" outlineLevel="6" x14ac:dyDescent="0.2">
      <c r="B1485" s="69">
        <v>1084</v>
      </c>
      <c r="C1485" s="6" t="s">
        <v>4578</v>
      </c>
      <c r="D1485" s="6" t="s">
        <v>4579</v>
      </c>
      <c r="E1485" s="7" t="s">
        <v>4580</v>
      </c>
      <c r="F1485" s="13"/>
      <c r="G1485" s="14"/>
      <c r="H1485" s="14"/>
      <c r="I1485" s="15">
        <v>10</v>
      </c>
      <c r="J1485" s="14" t="s">
        <v>144</v>
      </c>
      <c r="K1485" s="5">
        <v>10</v>
      </c>
      <c r="L1485" s="16">
        <v>133.20000000000002</v>
      </c>
      <c r="M1485" s="12"/>
      <c r="N1485" s="14">
        <f>L1485*M1485</f>
        <v>0</v>
      </c>
      <c r="O1485" s="23">
        <f>0.511*M1485</f>
        <v>0</v>
      </c>
      <c r="P1485" s="24">
        <f>0.00104*M1485</f>
        <v>0</v>
      </c>
      <c r="Q1485" s="25"/>
      <c r="R1485" s="26" t="s">
        <v>4581</v>
      </c>
      <c r="S1485" s="26" t="s">
        <v>29</v>
      </c>
      <c r="T1485" s="6" t="str">
        <f>HYPERLINK("https://kanzpp.ru/api/getInfo/image/77c2b16e-2d6d-11ef-a261-00155d82e908")</f>
        <v>https://kanzpp.ru/api/getInfo/image/77c2b16e-2d6d-11ef-a261-00155d82e908</v>
      </c>
      <c r="U1485" s="6"/>
      <c r="V1485" s="33" t="s">
        <v>35</v>
      </c>
    </row>
    <row r="1486" spans="2:22" ht="22.95" customHeight="1" outlineLevel="5" x14ac:dyDescent="0.2">
      <c r="B1486" s="83" t="s">
        <v>4582</v>
      </c>
      <c r="C1486" s="83"/>
      <c r="D1486" s="83"/>
      <c r="L1486">
        <v>0</v>
      </c>
    </row>
    <row r="1487" spans="2:22" ht="21" customHeight="1" outlineLevel="6" x14ac:dyDescent="0.2">
      <c r="B1487" s="69">
        <v>1085</v>
      </c>
      <c r="C1487" s="6" t="s">
        <v>4583</v>
      </c>
      <c r="D1487" s="6" t="s">
        <v>4584</v>
      </c>
      <c r="E1487" s="7" t="s">
        <v>4585</v>
      </c>
      <c r="F1487" s="13"/>
      <c r="G1487" s="14"/>
      <c r="H1487" s="14"/>
      <c r="I1487" s="15">
        <v>30</v>
      </c>
      <c r="J1487" s="14" t="s">
        <v>144</v>
      </c>
      <c r="K1487" s="5">
        <v>30</v>
      </c>
      <c r="L1487" s="16">
        <v>47.866666666666667</v>
      </c>
      <c r="M1487" s="12"/>
      <c r="N1487" s="14">
        <f>L1487*M1487</f>
        <v>0</v>
      </c>
      <c r="O1487" s="23">
        <f>0.307*M1487</f>
        <v>0</v>
      </c>
      <c r="P1487" s="24">
        <f>0.00078*M1487</f>
        <v>0</v>
      </c>
      <c r="Q1487" s="25"/>
      <c r="R1487" s="26" t="s">
        <v>4586</v>
      </c>
      <c r="S1487" s="26" t="s">
        <v>29</v>
      </c>
      <c r="T1487" s="6" t="str">
        <f>HYPERLINK("https://kanzpp.ru/api/getInfo/image/cc2507ce-2d6e-11ef-a261-00155d82e908")</f>
        <v>https://kanzpp.ru/api/getInfo/image/cc2507ce-2d6e-11ef-a261-00155d82e908</v>
      </c>
      <c r="U1487" s="6"/>
      <c r="V1487" s="33" t="s">
        <v>35</v>
      </c>
    </row>
    <row r="1488" spans="2:22" ht="22.95" customHeight="1" outlineLevel="5" x14ac:dyDescent="0.2">
      <c r="B1488" s="83" t="s">
        <v>4587</v>
      </c>
      <c r="C1488" s="83"/>
      <c r="D1488" s="83"/>
      <c r="L1488">
        <v>0</v>
      </c>
    </row>
    <row r="1489" spans="2:22" ht="21" customHeight="1" outlineLevel="6" x14ac:dyDescent="0.2">
      <c r="B1489" s="69">
        <v>1086</v>
      </c>
      <c r="C1489" s="6" t="s">
        <v>4588</v>
      </c>
      <c r="D1489" s="6" t="s">
        <v>4589</v>
      </c>
      <c r="E1489" s="7" t="s">
        <v>4590</v>
      </c>
      <c r="F1489" s="13"/>
      <c r="G1489" s="14"/>
      <c r="H1489" s="14"/>
      <c r="I1489" s="15">
        <v>20</v>
      </c>
      <c r="J1489" s="14" t="s">
        <v>144</v>
      </c>
      <c r="K1489" s="5">
        <v>20</v>
      </c>
      <c r="L1489" s="16">
        <v>109.2</v>
      </c>
      <c r="M1489" s="12"/>
      <c r="N1489" s="14">
        <f>L1489*M1489</f>
        <v>0</v>
      </c>
      <c r="O1489" s="23">
        <f>0.307*M1489</f>
        <v>0</v>
      </c>
      <c r="P1489" s="24">
        <f>0.00037*M1489</f>
        <v>0</v>
      </c>
      <c r="Q1489" s="25"/>
      <c r="R1489" s="26" t="s">
        <v>4591</v>
      </c>
      <c r="S1489" s="26" t="s">
        <v>29</v>
      </c>
      <c r="T1489" s="6" t="str">
        <f>HYPERLINK("https://kanzpp.ru/api/getInfo/image/1a2845ca-2d6e-11ef-a261-00155d82e908")</f>
        <v>https://kanzpp.ru/api/getInfo/image/1a2845ca-2d6e-11ef-a261-00155d82e908</v>
      </c>
      <c r="U1489" s="6"/>
      <c r="V1489" s="33" t="s">
        <v>35</v>
      </c>
    </row>
    <row r="1490" spans="2:22" ht="22.95" customHeight="1" outlineLevel="5" x14ac:dyDescent="0.2">
      <c r="B1490" s="83" t="s">
        <v>4592</v>
      </c>
      <c r="C1490" s="83"/>
      <c r="D1490" s="83"/>
      <c r="L1490">
        <v>0</v>
      </c>
    </row>
    <row r="1491" spans="2:22" ht="21" customHeight="1" outlineLevel="6" x14ac:dyDescent="0.2">
      <c r="B1491" s="69">
        <v>1087</v>
      </c>
      <c r="C1491" s="6" t="s">
        <v>4593</v>
      </c>
      <c r="D1491" s="6" t="s">
        <v>4594</v>
      </c>
      <c r="E1491" s="7" t="s">
        <v>4595</v>
      </c>
      <c r="F1491" s="13"/>
      <c r="G1491" s="14"/>
      <c r="H1491" s="14"/>
      <c r="I1491" s="15">
        <v>10</v>
      </c>
      <c r="J1491" s="14" t="s">
        <v>144</v>
      </c>
      <c r="K1491" s="5">
        <v>10</v>
      </c>
      <c r="L1491" s="16">
        <v>137.20000000000002</v>
      </c>
      <c r="M1491" s="12"/>
      <c r="N1491" s="14">
        <f>L1491*M1491</f>
        <v>0</v>
      </c>
      <c r="O1491" s="23">
        <f>0.455*M1491</f>
        <v>0</v>
      </c>
      <c r="P1491" s="31">
        <f>0.0006*M1491</f>
        <v>0</v>
      </c>
      <c r="Q1491" s="25"/>
      <c r="R1491" s="26" t="s">
        <v>4596</v>
      </c>
      <c r="S1491" s="26" t="s">
        <v>29</v>
      </c>
      <c r="T1491" s="6" t="str">
        <f>HYPERLINK("https://kanzpp.ru/api/getInfo/image/759ae483-2d6e-11ef-a261-00155d82e908")</f>
        <v>https://kanzpp.ru/api/getInfo/image/759ae483-2d6e-11ef-a261-00155d82e908</v>
      </c>
      <c r="U1491" s="6"/>
      <c r="V1491" s="33" t="s">
        <v>35</v>
      </c>
    </row>
    <row r="1492" spans="2:22" ht="22.95" customHeight="1" outlineLevel="5" x14ac:dyDescent="0.2">
      <c r="B1492" s="83" t="s">
        <v>4597</v>
      </c>
      <c r="C1492" s="83"/>
      <c r="D1492" s="83"/>
      <c r="L1492">
        <v>0</v>
      </c>
    </row>
    <row r="1493" spans="2:22" ht="21" customHeight="1" outlineLevel="6" x14ac:dyDescent="0.2">
      <c r="B1493" s="69">
        <v>1088</v>
      </c>
      <c r="C1493" s="6" t="s">
        <v>4598</v>
      </c>
      <c r="D1493" s="6" t="s">
        <v>4599</v>
      </c>
      <c r="E1493" s="7" t="s">
        <v>4600</v>
      </c>
      <c r="F1493" s="13"/>
      <c r="G1493" s="14"/>
      <c r="H1493" s="14"/>
      <c r="I1493" s="15">
        <v>10</v>
      </c>
      <c r="J1493" s="15">
        <v>146</v>
      </c>
      <c r="K1493" s="5">
        <v>10</v>
      </c>
      <c r="L1493" s="16">
        <v>159.86666666666667</v>
      </c>
      <c r="M1493" s="12"/>
      <c r="N1493" s="14">
        <f>L1493*M1493</f>
        <v>0</v>
      </c>
      <c r="O1493" s="23">
        <f>0.673*M1493</f>
        <v>0</v>
      </c>
      <c r="P1493" s="24">
        <f>0.09068*M1493</f>
        <v>0</v>
      </c>
      <c r="Q1493" s="25"/>
      <c r="R1493" s="26" t="s">
        <v>4601</v>
      </c>
      <c r="S1493" s="26" t="s">
        <v>29</v>
      </c>
      <c r="T1493" s="6" t="str">
        <f>HYPERLINK("https://kanzpp.ru/api/getInfo/image/41924765-2d6a-11ef-a261-00155d82e908")</f>
        <v>https://kanzpp.ru/api/getInfo/image/41924765-2d6a-11ef-a261-00155d82e908</v>
      </c>
      <c r="U1493" s="6"/>
      <c r="V1493" s="33" t="s">
        <v>35</v>
      </c>
    </row>
    <row r="1494" spans="2:22" ht="22.95" customHeight="1" outlineLevel="5" x14ac:dyDescent="0.2">
      <c r="B1494" s="83" t="s">
        <v>4602</v>
      </c>
      <c r="C1494" s="83"/>
      <c r="D1494" s="83"/>
      <c r="L1494">
        <v>0</v>
      </c>
    </row>
    <row r="1495" spans="2:22" ht="21" customHeight="1" outlineLevel="6" x14ac:dyDescent="0.2">
      <c r="B1495" s="69">
        <v>1089</v>
      </c>
      <c r="C1495" s="6" t="s">
        <v>4603</v>
      </c>
      <c r="D1495" s="6" t="s">
        <v>4604</v>
      </c>
      <c r="E1495" s="7" t="s">
        <v>4605</v>
      </c>
      <c r="F1495" s="13"/>
      <c r="G1495" s="14"/>
      <c r="H1495" s="14"/>
      <c r="I1495" s="15">
        <v>10</v>
      </c>
      <c r="J1495" s="14" t="s">
        <v>144</v>
      </c>
      <c r="K1495" s="5">
        <v>10</v>
      </c>
      <c r="L1495" s="16">
        <v>266.53333333333336</v>
      </c>
      <c r="M1495" s="12"/>
      <c r="N1495" s="14">
        <f>L1495*M1495</f>
        <v>0</v>
      </c>
      <c r="O1495" s="23">
        <f>1.048*M1495</f>
        <v>0</v>
      </c>
      <c r="P1495" s="24">
        <f>0.00161*M1495</f>
        <v>0</v>
      </c>
      <c r="Q1495" s="25"/>
      <c r="R1495" s="26" t="s">
        <v>4606</v>
      </c>
      <c r="S1495" s="26" t="s">
        <v>29</v>
      </c>
      <c r="T1495" s="6" t="str">
        <f>HYPERLINK("https://kanzpp.ru/api/getInfo/image/8df6aa07-2d69-11ef-a261-00155d82e908")</f>
        <v>https://kanzpp.ru/api/getInfo/image/8df6aa07-2d69-11ef-a261-00155d82e908</v>
      </c>
      <c r="U1495" s="6"/>
      <c r="V1495" s="33" t="s">
        <v>35</v>
      </c>
    </row>
    <row r="1496" spans="2:22" ht="22.95" customHeight="1" outlineLevel="5" x14ac:dyDescent="0.2">
      <c r="B1496" s="83" t="s">
        <v>4607</v>
      </c>
      <c r="C1496" s="83"/>
      <c r="D1496" s="83"/>
      <c r="L1496">
        <v>0</v>
      </c>
    </row>
    <row r="1497" spans="2:22" ht="21" customHeight="1" outlineLevel="6" x14ac:dyDescent="0.2">
      <c r="B1497" s="69">
        <v>1090</v>
      </c>
      <c r="C1497" s="6" t="s">
        <v>4608</v>
      </c>
      <c r="D1497" s="6" t="s">
        <v>4609</v>
      </c>
      <c r="E1497" s="7" t="s">
        <v>4610</v>
      </c>
      <c r="F1497" s="13"/>
      <c r="G1497" s="14"/>
      <c r="H1497" s="14"/>
      <c r="I1497" s="15">
        <v>10</v>
      </c>
      <c r="J1497" s="15">
        <v>77</v>
      </c>
      <c r="K1497" s="5">
        <v>10</v>
      </c>
      <c r="L1497" s="16">
        <v>145.33333333333334</v>
      </c>
      <c r="M1497" s="12"/>
      <c r="N1497" s="14">
        <f>L1497*M1497</f>
        <v>0</v>
      </c>
      <c r="O1497" s="23">
        <f>0.524*M1497</f>
        <v>0</v>
      </c>
      <c r="P1497" s="24">
        <f>0.00087*M1497</f>
        <v>0</v>
      </c>
      <c r="Q1497" s="25"/>
      <c r="R1497" s="26" t="s">
        <v>4611</v>
      </c>
      <c r="S1497" s="26" t="s">
        <v>29</v>
      </c>
      <c r="T1497" s="6" t="str">
        <f>HYPERLINK("https://kanzpp.ru/api/getInfo/image/e10fcbdf-2d6a-11ef-a261-00155d82e908")</f>
        <v>https://kanzpp.ru/api/getInfo/image/e10fcbdf-2d6a-11ef-a261-00155d82e908</v>
      </c>
      <c r="U1497" s="6"/>
      <c r="V1497" s="33" t="s">
        <v>35</v>
      </c>
    </row>
    <row r="1498" spans="2:22" ht="22.95" customHeight="1" outlineLevel="4" x14ac:dyDescent="0.2">
      <c r="B1498" s="82" t="s">
        <v>4612</v>
      </c>
      <c r="C1498" s="82"/>
      <c r="D1498" s="82"/>
      <c r="L1498">
        <v>0</v>
      </c>
    </row>
    <row r="1499" spans="2:22" ht="22.95" customHeight="1" outlineLevel="5" x14ac:dyDescent="0.2">
      <c r="B1499" s="83" t="s">
        <v>4613</v>
      </c>
      <c r="C1499" s="83"/>
      <c r="D1499" s="83"/>
      <c r="L1499">
        <v>0</v>
      </c>
    </row>
    <row r="1500" spans="2:22" ht="21" customHeight="1" outlineLevel="6" x14ac:dyDescent="0.2">
      <c r="B1500" s="69">
        <v>1091</v>
      </c>
      <c r="C1500" s="6" t="s">
        <v>4614</v>
      </c>
      <c r="D1500" s="6" t="s">
        <v>4615</v>
      </c>
      <c r="E1500" s="7" t="s">
        <v>4616</v>
      </c>
      <c r="F1500" s="13"/>
      <c r="G1500" s="14"/>
      <c r="H1500" s="15">
        <v>30</v>
      </c>
      <c r="I1500" s="14"/>
      <c r="J1500" s="15">
        <v>750</v>
      </c>
      <c r="K1500" s="5">
        <v>30</v>
      </c>
      <c r="L1500" s="16">
        <v>52</v>
      </c>
      <c r="M1500" s="12"/>
      <c r="N1500" s="14">
        <f>L1500*M1500</f>
        <v>0</v>
      </c>
      <c r="O1500" s="23">
        <f>5.088*M1500</f>
        <v>0</v>
      </c>
      <c r="P1500" s="24">
        <f>0.01342*M1500</f>
        <v>0</v>
      </c>
      <c r="Q1500" s="25"/>
      <c r="R1500" s="26"/>
      <c r="S1500" s="26" t="s">
        <v>29</v>
      </c>
      <c r="T1500" s="6" t="str">
        <f>HYPERLINK("https://kanzpp.ru/api/getInfo/image/cfcf96ef-5796-11ee-a245-00155d82e902")</f>
        <v>https://kanzpp.ru/api/getInfo/image/cfcf96ef-5796-11ee-a245-00155d82e902</v>
      </c>
      <c r="U1500" s="6"/>
      <c r="V1500" s="33" t="s">
        <v>35</v>
      </c>
    </row>
    <row r="1501" spans="2:22" ht="21" customHeight="1" outlineLevel="6" x14ac:dyDescent="0.2">
      <c r="B1501" s="69">
        <v>1092</v>
      </c>
      <c r="C1501" s="6" t="s">
        <v>4617</v>
      </c>
      <c r="D1501" s="6" t="s">
        <v>4618</v>
      </c>
      <c r="E1501" s="7" t="s">
        <v>4619</v>
      </c>
      <c r="F1501" s="13"/>
      <c r="G1501" s="14"/>
      <c r="H1501" s="15">
        <v>30</v>
      </c>
      <c r="I1501" s="14"/>
      <c r="J1501" s="15">
        <v>585</v>
      </c>
      <c r="K1501" s="5">
        <v>30</v>
      </c>
      <c r="L1501" s="16">
        <v>52</v>
      </c>
      <c r="M1501" s="12"/>
      <c r="N1501" s="14">
        <f>L1501*M1501</f>
        <v>0</v>
      </c>
      <c r="O1501" s="23">
        <f>4.771*M1501</f>
        <v>0</v>
      </c>
      <c r="P1501" s="24">
        <f>0.01299*M1501</f>
        <v>0</v>
      </c>
      <c r="Q1501" s="25"/>
      <c r="R1501" s="26"/>
      <c r="S1501" s="26" t="s">
        <v>29</v>
      </c>
      <c r="T1501" s="6" t="str">
        <f>HYPERLINK("https://kanzpp.ru/api/getInfo/image/1bfe59e2-5797-11ee-a245-00155d82e902")</f>
        <v>https://kanzpp.ru/api/getInfo/image/1bfe59e2-5797-11ee-a245-00155d82e902</v>
      </c>
      <c r="U1501" s="6"/>
      <c r="V1501" s="33" t="s">
        <v>35</v>
      </c>
    </row>
    <row r="1502" spans="2:22" ht="22.95" customHeight="1" outlineLevel="3" x14ac:dyDescent="0.2">
      <c r="B1502" s="81" t="s">
        <v>4620</v>
      </c>
      <c r="C1502" s="81"/>
      <c r="D1502" s="81"/>
      <c r="L1502">
        <v>0</v>
      </c>
    </row>
    <row r="1503" spans="2:22" ht="22.95" customHeight="1" outlineLevel="4" x14ac:dyDescent="0.2">
      <c r="B1503" s="82" t="s">
        <v>4621</v>
      </c>
      <c r="C1503" s="82"/>
      <c r="D1503" s="82"/>
      <c r="L1503">
        <v>0</v>
      </c>
    </row>
    <row r="1504" spans="2:22" ht="22.95" customHeight="1" outlineLevel="5" x14ac:dyDescent="0.2">
      <c r="B1504" s="83" t="s">
        <v>4622</v>
      </c>
      <c r="C1504" s="83"/>
      <c r="D1504" s="83"/>
      <c r="L1504">
        <v>0</v>
      </c>
    </row>
    <row r="1505" spans="2:22" ht="21" customHeight="1" outlineLevel="6" x14ac:dyDescent="0.2">
      <c r="B1505" s="69">
        <v>1093</v>
      </c>
      <c r="C1505" s="6" t="s">
        <v>4623</v>
      </c>
      <c r="D1505" s="6" t="s">
        <v>4624</v>
      </c>
      <c r="E1505" s="7" t="s">
        <v>4625</v>
      </c>
      <c r="F1505" s="13"/>
      <c r="G1505" s="14"/>
      <c r="H1505" s="14"/>
      <c r="I1505" s="15">
        <v>10</v>
      </c>
      <c r="J1505" s="15">
        <v>200</v>
      </c>
      <c r="K1505" s="5">
        <v>10</v>
      </c>
      <c r="L1505" s="16">
        <v>65.333333333333329</v>
      </c>
      <c r="M1505" s="12"/>
      <c r="N1505" s="14">
        <f>L1505*M1505</f>
        <v>0</v>
      </c>
      <c r="O1505" s="23">
        <f>0.293*M1505</f>
        <v>0</v>
      </c>
      <c r="P1505" s="24">
        <f>0.00041*M1505</f>
        <v>0</v>
      </c>
      <c r="Q1505" s="25"/>
      <c r="R1505" s="26" t="s">
        <v>4626</v>
      </c>
      <c r="S1505" s="26" t="s">
        <v>29</v>
      </c>
      <c r="T1505" s="6" t="str">
        <f>HYPERLINK("https://kanzpp.ru/api/getInfo/image/da03a70f-2d56-11ef-a261-00155d82e908")</f>
        <v>https://kanzpp.ru/api/getInfo/image/da03a70f-2d56-11ef-a261-00155d82e908</v>
      </c>
      <c r="U1505" s="6"/>
      <c r="V1505" s="33" t="s">
        <v>35</v>
      </c>
    </row>
    <row r="1506" spans="2:22" ht="22.95" customHeight="1" outlineLevel="5" x14ac:dyDescent="0.2">
      <c r="B1506" s="83" t="s">
        <v>4627</v>
      </c>
      <c r="C1506" s="83"/>
      <c r="D1506" s="83"/>
      <c r="L1506">
        <v>0</v>
      </c>
    </row>
    <row r="1507" spans="2:22" ht="21" customHeight="1" outlineLevel="6" x14ac:dyDescent="0.2">
      <c r="B1507" s="69">
        <v>1094</v>
      </c>
      <c r="C1507" s="6" t="s">
        <v>4628</v>
      </c>
      <c r="D1507" s="6" t="s">
        <v>4629</v>
      </c>
      <c r="E1507" s="7" t="s">
        <v>4630</v>
      </c>
      <c r="F1507" s="13"/>
      <c r="G1507" s="14"/>
      <c r="H1507" s="14"/>
      <c r="I1507" s="15">
        <v>10</v>
      </c>
      <c r="J1507" s="15">
        <v>32</v>
      </c>
      <c r="K1507" s="5">
        <v>10</v>
      </c>
      <c r="L1507" s="16">
        <v>78.666666666666671</v>
      </c>
      <c r="M1507" s="12"/>
      <c r="N1507" s="14">
        <f>L1507*M1507</f>
        <v>0</v>
      </c>
      <c r="O1507" s="28">
        <f>0.38*M1507</f>
        <v>0</v>
      </c>
      <c r="P1507" s="24">
        <f>0.00053*M1507</f>
        <v>0</v>
      </c>
      <c r="Q1507" s="25"/>
      <c r="R1507" s="26" t="s">
        <v>4631</v>
      </c>
      <c r="S1507" s="26" t="s">
        <v>29</v>
      </c>
      <c r="T1507" s="6" t="str">
        <f>HYPERLINK("https://kanzpp.ru/api/getInfo/image/80e79dd2-2d56-11ef-a261-00155d82e908")</f>
        <v>https://kanzpp.ru/api/getInfo/image/80e79dd2-2d56-11ef-a261-00155d82e908</v>
      </c>
      <c r="U1507" s="6"/>
      <c r="V1507" s="33" t="s">
        <v>35</v>
      </c>
    </row>
    <row r="1508" spans="2:22" ht="22.95" customHeight="1" outlineLevel="4" x14ac:dyDescent="0.2">
      <c r="B1508" s="82" t="s">
        <v>4632</v>
      </c>
      <c r="C1508" s="82"/>
      <c r="D1508" s="82"/>
      <c r="L1508">
        <v>0</v>
      </c>
    </row>
    <row r="1509" spans="2:22" ht="22.95" customHeight="1" outlineLevel="5" x14ac:dyDescent="0.2">
      <c r="B1509" s="83" t="s">
        <v>4633</v>
      </c>
      <c r="C1509" s="83"/>
      <c r="D1509" s="83"/>
      <c r="L1509">
        <v>0</v>
      </c>
    </row>
    <row r="1510" spans="2:22" ht="21" customHeight="1" outlineLevel="6" x14ac:dyDescent="0.2">
      <c r="B1510" s="69">
        <v>1095</v>
      </c>
      <c r="C1510" s="6" t="s">
        <v>4634</v>
      </c>
      <c r="D1510" s="6" t="s">
        <v>4635</v>
      </c>
      <c r="E1510" s="7" t="s">
        <v>4636</v>
      </c>
      <c r="F1510" s="13"/>
      <c r="G1510" s="14"/>
      <c r="H1510" s="14"/>
      <c r="I1510" s="15">
        <v>20</v>
      </c>
      <c r="J1510" s="15">
        <v>760</v>
      </c>
      <c r="K1510" s="5">
        <v>20</v>
      </c>
      <c r="L1510" s="16">
        <v>39.866666666666667</v>
      </c>
      <c r="M1510" s="12"/>
      <c r="N1510" s="14">
        <f>L1510*M1510</f>
        <v>0</v>
      </c>
      <c r="O1510" s="23">
        <f>0.195*M1510</f>
        <v>0</v>
      </c>
      <c r="P1510" s="24">
        <f>0.00029*M1510</f>
        <v>0</v>
      </c>
      <c r="Q1510" s="25"/>
      <c r="R1510" s="26" t="s">
        <v>4637</v>
      </c>
      <c r="S1510" s="26" t="s">
        <v>29</v>
      </c>
      <c r="T1510" s="6" t="str">
        <f>HYPERLINK("https://kanzpp.ru/api/getInfo/image/c97984e0-2d58-11ef-a261-00155d82e908")</f>
        <v>https://kanzpp.ru/api/getInfo/image/c97984e0-2d58-11ef-a261-00155d82e908</v>
      </c>
      <c r="U1510" s="6"/>
      <c r="V1510" s="33" t="s">
        <v>35</v>
      </c>
    </row>
    <row r="1511" spans="2:22" ht="21" customHeight="1" outlineLevel="6" x14ac:dyDescent="0.2">
      <c r="B1511" s="69">
        <v>1096</v>
      </c>
      <c r="C1511" s="6" t="s">
        <v>4638</v>
      </c>
      <c r="D1511" s="6" t="s">
        <v>4639</v>
      </c>
      <c r="E1511" s="7" t="s">
        <v>4640</v>
      </c>
      <c r="F1511" s="13"/>
      <c r="G1511" s="14"/>
      <c r="H1511" s="14"/>
      <c r="I1511" s="15">
        <v>20</v>
      </c>
      <c r="J1511" s="15">
        <v>280</v>
      </c>
      <c r="K1511" s="5">
        <v>20</v>
      </c>
      <c r="L1511" s="16">
        <v>39.866666666666667</v>
      </c>
      <c r="M1511" s="12"/>
      <c r="N1511" s="14">
        <f>L1511*M1511</f>
        <v>0</v>
      </c>
      <c r="O1511" s="23">
        <f>0.203*M1511</f>
        <v>0</v>
      </c>
      <c r="P1511" s="24">
        <f>0.00029*M1511</f>
        <v>0</v>
      </c>
      <c r="Q1511" s="25"/>
      <c r="R1511" s="26" t="s">
        <v>4641</v>
      </c>
      <c r="S1511" s="26" t="s">
        <v>29</v>
      </c>
      <c r="T1511" s="6" t="str">
        <f>HYPERLINK("https://kanzpp.ru/api/getInfo/image/21ccae22-743c-11ec-a210-ac1f6b442185")</f>
        <v>https://kanzpp.ru/api/getInfo/image/21ccae22-743c-11ec-a210-ac1f6b442185</v>
      </c>
      <c r="U1511" s="6"/>
      <c r="V1511" s="33" t="s">
        <v>35</v>
      </c>
    </row>
    <row r="1512" spans="2:22" ht="21" customHeight="1" outlineLevel="6" x14ac:dyDescent="0.2">
      <c r="B1512" s="69">
        <v>1097</v>
      </c>
      <c r="C1512" s="6" t="s">
        <v>4642</v>
      </c>
      <c r="D1512" s="6" t="s">
        <v>4643</v>
      </c>
      <c r="E1512" s="7" t="s">
        <v>4644</v>
      </c>
      <c r="F1512" s="13"/>
      <c r="G1512" s="14"/>
      <c r="H1512" s="14"/>
      <c r="I1512" s="15">
        <v>20</v>
      </c>
      <c r="J1512" s="15">
        <v>20</v>
      </c>
      <c r="K1512" s="5">
        <v>20</v>
      </c>
      <c r="L1512" s="16">
        <v>39.866666666666667</v>
      </c>
      <c r="M1512" s="12"/>
      <c r="N1512" s="14">
        <f>L1512*M1512</f>
        <v>0</v>
      </c>
      <c r="O1512" s="23">
        <f>0.203*M1512</f>
        <v>0</v>
      </c>
      <c r="P1512" s="24">
        <f>0.00029*M1512</f>
        <v>0</v>
      </c>
      <c r="Q1512" s="25"/>
      <c r="R1512" s="26" t="s">
        <v>4645</v>
      </c>
      <c r="S1512" s="26" t="s">
        <v>29</v>
      </c>
      <c r="T1512" s="6" t="str">
        <f>HYPERLINK("https://kanzpp.ru/api/getInfo/image/5d985b5d-80bc-11e6-97eb-5cf3fc4a2490")</f>
        <v>https://kanzpp.ru/api/getInfo/image/5d985b5d-80bc-11e6-97eb-5cf3fc4a2490</v>
      </c>
      <c r="U1512" s="6"/>
      <c r="V1512" s="33" t="s">
        <v>35</v>
      </c>
    </row>
    <row r="1513" spans="2:22" ht="21" customHeight="1" outlineLevel="6" x14ac:dyDescent="0.2">
      <c r="B1513" s="69">
        <v>1098</v>
      </c>
      <c r="C1513" s="6" t="s">
        <v>4646</v>
      </c>
      <c r="D1513" s="6" t="s">
        <v>4647</v>
      </c>
      <c r="E1513" s="7" t="s">
        <v>4644</v>
      </c>
      <c r="F1513" s="13"/>
      <c r="G1513" s="14"/>
      <c r="H1513" s="15">
        <v>30</v>
      </c>
      <c r="I1513" s="14"/>
      <c r="J1513" s="15">
        <v>10</v>
      </c>
      <c r="K1513" s="5">
        <v>10</v>
      </c>
      <c r="L1513" s="16">
        <v>39.866666666666667</v>
      </c>
      <c r="M1513" s="12"/>
      <c r="N1513" s="14">
        <f>L1513*M1513</f>
        <v>0</v>
      </c>
      <c r="O1513" s="28">
        <f>0.21*M1513</f>
        <v>0</v>
      </c>
      <c r="P1513" s="24">
        <f>0.00017*M1513</f>
        <v>0</v>
      </c>
      <c r="Q1513" s="25"/>
      <c r="R1513" s="26"/>
      <c r="S1513" s="26" t="s">
        <v>29</v>
      </c>
      <c r="T1513" s="6" t="str">
        <f>HYPERLINK("https://kanzpp.ru/api/getInfo/image/8e8b6f6e-dc85-11ee-a25a-00155d82e908")</f>
        <v>https://kanzpp.ru/api/getInfo/image/8e8b6f6e-dc85-11ee-a25a-00155d82e908</v>
      </c>
      <c r="U1513" s="6" t="s">
        <v>4645</v>
      </c>
      <c r="V1513" s="33" t="s">
        <v>35</v>
      </c>
    </row>
    <row r="1514" spans="2:22" ht="22.95" customHeight="1" outlineLevel="5" x14ac:dyDescent="0.2">
      <c r="B1514" s="83" t="s">
        <v>4648</v>
      </c>
      <c r="C1514" s="83"/>
      <c r="D1514" s="83"/>
      <c r="L1514">
        <v>0</v>
      </c>
    </row>
    <row r="1515" spans="2:22" ht="21" customHeight="1" outlineLevel="6" x14ac:dyDescent="0.2">
      <c r="B1515" s="69">
        <v>1099</v>
      </c>
      <c r="C1515" s="6" t="s">
        <v>4649</v>
      </c>
      <c r="D1515" s="6" t="s">
        <v>4650</v>
      </c>
      <c r="E1515" s="7" t="s">
        <v>4651</v>
      </c>
      <c r="F1515" s="13"/>
      <c r="G1515" s="14"/>
      <c r="H1515" s="14"/>
      <c r="I1515" s="15">
        <v>20</v>
      </c>
      <c r="J1515" s="17">
        <v>2018</v>
      </c>
      <c r="K1515" s="5">
        <v>20</v>
      </c>
      <c r="L1515" s="16">
        <v>79.86666666666666</v>
      </c>
      <c r="M1515" s="12"/>
      <c r="N1515" s="14">
        <f>L1515*M1515</f>
        <v>0</v>
      </c>
      <c r="O1515" s="23">
        <f>0.381*M1515</f>
        <v>0</v>
      </c>
      <c r="P1515" s="24">
        <f>0.00047*M1515</f>
        <v>0</v>
      </c>
      <c r="Q1515" s="25"/>
      <c r="R1515" s="26" t="s">
        <v>4652</v>
      </c>
      <c r="S1515" s="26" t="s">
        <v>29</v>
      </c>
      <c r="T1515" s="6" t="str">
        <f>HYPERLINK("https://kanzpp.ru/api/getInfo/image/44d0bde9-2d58-11ef-a261-00155d82e908")</f>
        <v>https://kanzpp.ru/api/getInfo/image/44d0bde9-2d58-11ef-a261-00155d82e908</v>
      </c>
      <c r="U1515" s="6"/>
      <c r="V1515" s="33" t="s">
        <v>35</v>
      </c>
    </row>
    <row r="1516" spans="2:22" ht="21" customHeight="1" outlineLevel="6" x14ac:dyDescent="0.2">
      <c r="B1516" s="69">
        <v>1100</v>
      </c>
      <c r="C1516" s="6" t="s">
        <v>4653</v>
      </c>
      <c r="D1516" s="6" t="s">
        <v>4654</v>
      </c>
      <c r="E1516" s="7" t="s">
        <v>4655</v>
      </c>
      <c r="F1516" s="13"/>
      <c r="G1516" s="14"/>
      <c r="H1516" s="14"/>
      <c r="I1516" s="15">
        <v>20</v>
      </c>
      <c r="J1516" s="17">
        <v>2847</v>
      </c>
      <c r="K1516" s="5">
        <v>20</v>
      </c>
      <c r="L1516" s="16">
        <v>79.86666666666666</v>
      </c>
      <c r="M1516" s="12"/>
      <c r="N1516" s="14">
        <f>L1516*M1516</f>
        <v>0</v>
      </c>
      <c r="O1516" s="23">
        <f>0.381*M1516</f>
        <v>0</v>
      </c>
      <c r="P1516" s="24">
        <f>0.00047*M1516</f>
        <v>0</v>
      </c>
      <c r="Q1516" s="25"/>
      <c r="R1516" s="26" t="s">
        <v>4656</v>
      </c>
      <c r="S1516" s="26" t="s">
        <v>29</v>
      </c>
      <c r="T1516" s="6" t="str">
        <f>HYPERLINK("https://kanzpp.ru/api/getInfo/image/12695cf5-2d58-11ef-a261-00155d82e908")</f>
        <v>https://kanzpp.ru/api/getInfo/image/12695cf5-2d58-11ef-a261-00155d82e908</v>
      </c>
      <c r="U1516" s="6"/>
      <c r="V1516" s="33" t="s">
        <v>35</v>
      </c>
    </row>
    <row r="1517" spans="2:22" ht="22.95" customHeight="1" outlineLevel="3" x14ac:dyDescent="0.2">
      <c r="B1517" s="81" t="s">
        <v>4657</v>
      </c>
      <c r="C1517" s="81"/>
      <c r="D1517" s="81"/>
      <c r="L1517">
        <v>0</v>
      </c>
    </row>
    <row r="1518" spans="2:22" ht="22.95" customHeight="1" outlineLevel="4" x14ac:dyDescent="0.2">
      <c r="B1518" s="82" t="s">
        <v>4658</v>
      </c>
      <c r="C1518" s="82"/>
      <c r="D1518" s="82"/>
      <c r="L1518">
        <v>0</v>
      </c>
    </row>
    <row r="1519" spans="2:22" ht="21" customHeight="1" outlineLevel="5" x14ac:dyDescent="0.2">
      <c r="B1519" s="69">
        <v>1101</v>
      </c>
      <c r="C1519" s="6" t="s">
        <v>4659</v>
      </c>
      <c r="D1519" s="6" t="s">
        <v>4660</v>
      </c>
      <c r="E1519" s="7" t="s">
        <v>4661</v>
      </c>
      <c r="F1519" s="13"/>
      <c r="G1519" s="14"/>
      <c r="H1519" s="15">
        <v>20</v>
      </c>
      <c r="I1519" s="14"/>
      <c r="J1519" s="15">
        <v>4</v>
      </c>
      <c r="K1519" s="5">
        <v>4</v>
      </c>
      <c r="L1519" s="16">
        <v>60</v>
      </c>
      <c r="M1519" s="12"/>
      <c r="N1519" s="14">
        <f>L1519*M1519</f>
        <v>0</v>
      </c>
      <c r="O1519" s="23">
        <f>0.252*M1519</f>
        <v>0</v>
      </c>
      <c r="P1519" s="24">
        <f>0.00061*M1519</f>
        <v>0</v>
      </c>
      <c r="Q1519" s="25"/>
      <c r="R1519" s="26"/>
      <c r="S1519" s="26" t="s">
        <v>29</v>
      </c>
      <c r="T1519" s="6" t="str">
        <f>HYPERLINK("https://kanzpp.ru/api/getInfo/image/d7653ec8-ce2d-11ed-a230-00155d82e902")</f>
        <v>https://kanzpp.ru/api/getInfo/image/d7653ec8-ce2d-11ed-a230-00155d82e902</v>
      </c>
      <c r="U1519" s="6" t="s">
        <v>4662</v>
      </c>
      <c r="V1519" s="33" t="s">
        <v>35</v>
      </c>
    </row>
    <row r="1520" spans="2:22" ht="22.95" customHeight="1" outlineLevel="4" x14ac:dyDescent="0.2">
      <c r="B1520" s="82" t="s">
        <v>4663</v>
      </c>
      <c r="C1520" s="82"/>
      <c r="D1520" s="82"/>
      <c r="L1520">
        <v>0</v>
      </c>
    </row>
    <row r="1521" spans="2:22" ht="22.95" customHeight="1" outlineLevel="5" x14ac:dyDescent="0.2">
      <c r="B1521" s="83" t="s">
        <v>4664</v>
      </c>
      <c r="C1521" s="83"/>
      <c r="D1521" s="83"/>
      <c r="L1521">
        <v>0</v>
      </c>
    </row>
    <row r="1522" spans="2:22" ht="21" customHeight="1" outlineLevel="6" x14ac:dyDescent="0.2">
      <c r="B1522" s="69">
        <v>1102</v>
      </c>
      <c r="C1522" s="6" t="s">
        <v>4665</v>
      </c>
      <c r="D1522" s="6" t="s">
        <v>4666</v>
      </c>
      <c r="E1522" s="7" t="s">
        <v>4667</v>
      </c>
      <c r="F1522" s="13"/>
      <c r="G1522" s="14"/>
      <c r="H1522" s="14"/>
      <c r="I1522" s="15">
        <v>10</v>
      </c>
      <c r="J1522" s="14" t="s">
        <v>144</v>
      </c>
      <c r="K1522" s="5">
        <v>10</v>
      </c>
      <c r="L1522" s="16">
        <v>118.66666666666667</v>
      </c>
      <c r="M1522" s="12"/>
      <c r="N1522" s="14">
        <f>L1522*M1522</f>
        <v>0</v>
      </c>
      <c r="O1522" s="23">
        <f>0.526*M1522</f>
        <v>0</v>
      </c>
      <c r="P1522" s="24">
        <f>0.00179*M1522</f>
        <v>0</v>
      </c>
      <c r="Q1522" s="25"/>
      <c r="R1522" s="26" t="s">
        <v>4668</v>
      </c>
      <c r="S1522" s="26" t="s">
        <v>29</v>
      </c>
      <c r="T1522" s="6" t="str">
        <f>HYPERLINK("https://kanzpp.ru/api/getInfo/image/1333b3ed-e847-11ee-a25a-00155d82e908")</f>
        <v>https://kanzpp.ru/api/getInfo/image/1333b3ed-e847-11ee-a25a-00155d82e908</v>
      </c>
      <c r="U1522" s="6"/>
      <c r="V1522" s="33" t="s">
        <v>35</v>
      </c>
    </row>
    <row r="1523" spans="2:22" ht="22.95" customHeight="1" outlineLevel="5" x14ac:dyDescent="0.2">
      <c r="B1523" s="83" t="s">
        <v>4669</v>
      </c>
      <c r="C1523" s="83"/>
      <c r="D1523" s="83"/>
      <c r="L1523">
        <v>0</v>
      </c>
    </row>
    <row r="1524" spans="2:22" ht="21" customHeight="1" outlineLevel="6" x14ac:dyDescent="0.2">
      <c r="B1524" s="69">
        <v>1103</v>
      </c>
      <c r="C1524" s="6" t="s">
        <v>4670</v>
      </c>
      <c r="D1524" s="6" t="s">
        <v>4671</v>
      </c>
      <c r="E1524" s="7" t="s">
        <v>4672</v>
      </c>
      <c r="F1524" s="13"/>
      <c r="G1524" s="14"/>
      <c r="H1524" s="14"/>
      <c r="I1524" s="15">
        <v>10</v>
      </c>
      <c r="J1524" s="14" t="s">
        <v>144</v>
      </c>
      <c r="K1524" s="5">
        <v>10</v>
      </c>
      <c r="L1524" s="16">
        <v>132</v>
      </c>
      <c r="M1524" s="12"/>
      <c r="N1524" s="14">
        <f>L1524*M1524</f>
        <v>0</v>
      </c>
      <c r="O1524" s="23">
        <f>0.594*M1524</f>
        <v>0</v>
      </c>
      <c r="P1524" s="24">
        <f>0.00206*M1524</f>
        <v>0</v>
      </c>
      <c r="Q1524" s="25"/>
      <c r="R1524" s="26" t="s">
        <v>4673</v>
      </c>
      <c r="S1524" s="26" t="s">
        <v>29</v>
      </c>
      <c r="T1524" s="6" t="str">
        <f>HYPERLINK("https://kanzpp.ru/api/getInfo/image/83985b96-e847-11ee-a25a-00155d82e908")</f>
        <v>https://kanzpp.ru/api/getInfo/image/83985b96-e847-11ee-a25a-00155d82e908</v>
      </c>
      <c r="U1524" s="6"/>
      <c r="V1524" s="33" t="s">
        <v>35</v>
      </c>
    </row>
    <row r="1525" spans="2:22" ht="22.95" customHeight="1" outlineLevel="5" x14ac:dyDescent="0.2">
      <c r="B1525" s="83" t="s">
        <v>4674</v>
      </c>
      <c r="C1525" s="83"/>
      <c r="D1525" s="83"/>
      <c r="L1525">
        <v>0</v>
      </c>
    </row>
    <row r="1526" spans="2:22" ht="21" customHeight="1" outlineLevel="6" x14ac:dyDescent="0.2">
      <c r="B1526" s="71">
        <v>1104</v>
      </c>
      <c r="C1526" s="37" t="s">
        <v>4675</v>
      </c>
      <c r="D1526" s="37" t="s">
        <v>4676</v>
      </c>
      <c r="E1526" s="38" t="s">
        <v>4677</v>
      </c>
      <c r="F1526" s="39"/>
      <c r="G1526" s="40"/>
      <c r="H1526" s="40"/>
      <c r="I1526" s="41">
        <v>20</v>
      </c>
      <c r="J1526" s="40" t="s">
        <v>144</v>
      </c>
      <c r="K1526" s="36">
        <v>20</v>
      </c>
      <c r="L1526" s="42">
        <f>(101.13*(1-O3/100))/0.75</f>
        <v>134.84</v>
      </c>
      <c r="M1526" s="12"/>
      <c r="N1526" s="40">
        <f>L1526*M1526</f>
        <v>0</v>
      </c>
      <c r="O1526" s="48">
        <f>0.28*M1526</f>
        <v>0</v>
      </c>
      <c r="P1526" s="47">
        <f>0.00053*M1526</f>
        <v>0</v>
      </c>
      <c r="Q1526" s="44"/>
      <c r="R1526" s="45" t="s">
        <v>4678</v>
      </c>
      <c r="S1526" s="45" t="s">
        <v>29</v>
      </c>
      <c r="T1526" s="37" t="str">
        <f>HYPERLINK("https://kanzpp.ru/api/getInfo/image/8d0e3864-4994-11ef-a262-00155d82e908")</f>
        <v>https://kanzpp.ru/api/getInfo/image/8d0e3864-4994-11ef-a262-00155d82e908</v>
      </c>
      <c r="U1526" s="37"/>
    </row>
    <row r="1527" spans="2:22" ht="21" customHeight="1" outlineLevel="6" x14ac:dyDescent="0.2">
      <c r="B1527" s="72">
        <v>1105</v>
      </c>
      <c r="C1527" s="56" t="s">
        <v>4679</v>
      </c>
      <c r="D1527" s="56" t="s">
        <v>4680</v>
      </c>
      <c r="E1527" s="57" t="s">
        <v>4681</v>
      </c>
      <c r="F1527" s="58"/>
      <c r="G1527" s="59"/>
      <c r="H1527" s="59"/>
      <c r="I1527" s="60">
        <v>10</v>
      </c>
      <c r="J1527" s="59" t="s">
        <v>144</v>
      </c>
      <c r="K1527" s="55">
        <v>10</v>
      </c>
      <c r="L1527" s="61">
        <f>(101.13*(1-O3/100))/0.75</f>
        <v>134.84</v>
      </c>
      <c r="M1527" s="12"/>
      <c r="N1527" s="59">
        <f>L1527*M1527</f>
        <v>0</v>
      </c>
      <c r="O1527" s="62">
        <f>0.278*M1527</f>
        <v>0</v>
      </c>
      <c r="P1527" s="63">
        <f>0.00064*M1527</f>
        <v>0</v>
      </c>
      <c r="Q1527" s="64" t="s">
        <v>344</v>
      </c>
      <c r="R1527" s="65" t="s">
        <v>4682</v>
      </c>
      <c r="S1527" s="65" t="s">
        <v>29</v>
      </c>
      <c r="T1527" s="56" t="str">
        <f>HYPERLINK("https://kanzpp.ru/api/getInfo/image/6d9b799f-8e40-11f0-a284-00155d82e908")</f>
        <v>https://kanzpp.ru/api/getInfo/image/6d9b799f-8e40-11f0-a284-00155d82e908</v>
      </c>
      <c r="U1527" s="56"/>
      <c r="V1527" s="66"/>
    </row>
    <row r="1528" spans="2:22" ht="21" customHeight="1" outlineLevel="6" x14ac:dyDescent="0.2">
      <c r="B1528" s="69">
        <v>1106</v>
      </c>
      <c r="C1528" s="6" t="s">
        <v>4683</v>
      </c>
      <c r="D1528" s="6" t="s">
        <v>4684</v>
      </c>
      <c r="E1528" s="7" t="s">
        <v>4685</v>
      </c>
      <c r="F1528" s="13"/>
      <c r="G1528" s="14"/>
      <c r="H1528" s="14"/>
      <c r="I1528" s="15">
        <v>30</v>
      </c>
      <c r="J1528" s="15">
        <v>30</v>
      </c>
      <c r="K1528" s="5">
        <v>30</v>
      </c>
      <c r="L1528" s="16">
        <v>52</v>
      </c>
      <c r="M1528" s="12"/>
      <c r="N1528" s="14">
        <f>L1528*M1528</f>
        <v>0</v>
      </c>
      <c r="O1528" s="23">
        <f>0.133*M1528</f>
        <v>0</v>
      </c>
      <c r="P1528" s="24">
        <f>0.00033*M1528</f>
        <v>0</v>
      </c>
      <c r="Q1528" s="25"/>
      <c r="R1528" s="26" t="s">
        <v>4686</v>
      </c>
      <c r="S1528" s="26" t="s">
        <v>29</v>
      </c>
      <c r="T1528" s="6" t="str">
        <f>HYPERLINK("https://kanzpp.ru/api/getInfo/image/e232b9d9-4994-11ef-a262-00155d82e908")</f>
        <v>https://kanzpp.ru/api/getInfo/image/e232b9d9-4994-11ef-a262-00155d82e908</v>
      </c>
      <c r="U1528" s="6"/>
      <c r="V1528" s="33" t="s">
        <v>35</v>
      </c>
    </row>
    <row r="1529" spans="2:22" ht="22.95" customHeight="1" outlineLevel="5" x14ac:dyDescent="0.2">
      <c r="B1529" s="83" t="s">
        <v>4687</v>
      </c>
      <c r="C1529" s="83"/>
      <c r="D1529" s="83"/>
      <c r="L1529">
        <v>0</v>
      </c>
    </row>
    <row r="1530" spans="2:22" ht="21" customHeight="1" outlineLevel="6" x14ac:dyDescent="0.2">
      <c r="B1530" s="72">
        <v>1107</v>
      </c>
      <c r="C1530" s="56" t="s">
        <v>4688</v>
      </c>
      <c r="D1530" s="56" t="s">
        <v>4689</v>
      </c>
      <c r="E1530" s="57" t="s">
        <v>4690</v>
      </c>
      <c r="F1530" s="58"/>
      <c r="G1530" s="59"/>
      <c r="H1530" s="59"/>
      <c r="I1530" s="60">
        <v>20</v>
      </c>
      <c r="J1530" s="59" t="s">
        <v>144</v>
      </c>
      <c r="K1530" s="55">
        <v>20</v>
      </c>
      <c r="L1530" s="61">
        <f>(102.53*(1-O3/100))/0.75</f>
        <v>136.70666666666668</v>
      </c>
      <c r="M1530" s="12"/>
      <c r="N1530" s="59">
        <f>L1530*M1530</f>
        <v>0</v>
      </c>
      <c r="O1530" s="73">
        <f>0.26*M1530</f>
        <v>0</v>
      </c>
      <c r="P1530" s="63">
        <f>0.00067*M1530</f>
        <v>0</v>
      </c>
      <c r="Q1530" s="64" t="s">
        <v>344</v>
      </c>
      <c r="R1530" s="65" t="s">
        <v>4691</v>
      </c>
      <c r="S1530" s="65" t="s">
        <v>29</v>
      </c>
      <c r="T1530" s="56" t="str">
        <f>HYPERLINK("https://kanzpp.ru/api/getInfo/image/9666ed5f-4995-11ef-a262-00155d82e908")</f>
        <v>https://kanzpp.ru/api/getInfo/image/9666ed5f-4995-11ef-a262-00155d82e908</v>
      </c>
      <c r="U1530" s="56"/>
      <c r="V1530" s="66"/>
    </row>
    <row r="1531" spans="2:22" ht="21" customHeight="1" outlineLevel="6" x14ac:dyDescent="0.2">
      <c r="B1531" s="72">
        <v>1108</v>
      </c>
      <c r="C1531" s="56" t="s">
        <v>4692</v>
      </c>
      <c r="D1531" s="56" t="s">
        <v>4693</v>
      </c>
      <c r="E1531" s="57" t="s">
        <v>4694</v>
      </c>
      <c r="F1531" s="58"/>
      <c r="G1531" s="59"/>
      <c r="H1531" s="59"/>
      <c r="I1531" s="60">
        <v>20</v>
      </c>
      <c r="J1531" s="59" t="s">
        <v>144</v>
      </c>
      <c r="K1531" s="55">
        <v>20</v>
      </c>
      <c r="L1531" s="61">
        <f>(102.53*(1-O3/100))/0.75</f>
        <v>136.70666666666668</v>
      </c>
      <c r="M1531" s="12"/>
      <c r="N1531" s="59">
        <f>L1531*M1531</f>
        <v>0</v>
      </c>
      <c r="O1531" s="62">
        <f>0.256*M1531</f>
        <v>0</v>
      </c>
      <c r="P1531" s="63">
        <f>0.00067*M1531</f>
        <v>0</v>
      </c>
      <c r="Q1531" s="64" t="s">
        <v>344</v>
      </c>
      <c r="R1531" s="65" t="s">
        <v>4695</v>
      </c>
      <c r="S1531" s="65" t="s">
        <v>29</v>
      </c>
      <c r="T1531" s="56" t="str">
        <f>HYPERLINK("https://kanzpp.ru/api/getInfo/image/d3a326a0-4995-11ef-a262-00155d82e908")</f>
        <v>https://kanzpp.ru/api/getInfo/image/d3a326a0-4995-11ef-a262-00155d82e908</v>
      </c>
      <c r="U1531" s="56"/>
      <c r="V1531" s="66"/>
    </row>
    <row r="1532" spans="2:22" ht="22.95" customHeight="1" outlineLevel="5" x14ac:dyDescent="0.2">
      <c r="B1532" s="83" t="s">
        <v>4696</v>
      </c>
      <c r="C1532" s="83"/>
      <c r="D1532" s="83"/>
      <c r="L1532">
        <v>0</v>
      </c>
    </row>
    <row r="1533" spans="2:22" ht="21" customHeight="1" outlineLevel="6" x14ac:dyDescent="0.2">
      <c r="B1533" s="69">
        <v>1109</v>
      </c>
      <c r="C1533" s="6" t="s">
        <v>4697</v>
      </c>
      <c r="D1533" s="6" t="s">
        <v>4698</v>
      </c>
      <c r="E1533" s="7" t="s">
        <v>4699</v>
      </c>
      <c r="F1533" s="13"/>
      <c r="G1533" s="14"/>
      <c r="H1533" s="14"/>
      <c r="I1533" s="15">
        <v>10</v>
      </c>
      <c r="J1533" s="15">
        <v>116</v>
      </c>
      <c r="K1533" s="5">
        <v>10</v>
      </c>
      <c r="L1533" s="16">
        <v>198.66666666666666</v>
      </c>
      <c r="M1533" s="12"/>
      <c r="N1533" s="14">
        <f>L1533*M1533</f>
        <v>0</v>
      </c>
      <c r="O1533" s="23">
        <f>0.535*M1533</f>
        <v>0</v>
      </c>
      <c r="P1533" s="24">
        <f>0.00091*M1533</f>
        <v>0</v>
      </c>
      <c r="Q1533" s="25"/>
      <c r="R1533" s="26" t="s">
        <v>4700</v>
      </c>
      <c r="S1533" s="26" t="s">
        <v>29</v>
      </c>
      <c r="T1533" s="6" t="str">
        <f>HYPERLINK("https://kanzpp.ru/api/getInfo/image/7c1939e3-4997-11ef-a262-00155d82e908")</f>
        <v>https://kanzpp.ru/api/getInfo/image/7c1939e3-4997-11ef-a262-00155d82e908</v>
      </c>
      <c r="U1533" s="6"/>
      <c r="V1533" s="33" t="s">
        <v>35</v>
      </c>
    </row>
    <row r="1534" spans="2:22" ht="22.95" customHeight="1" outlineLevel="5" x14ac:dyDescent="0.2">
      <c r="B1534" s="83" t="s">
        <v>4701</v>
      </c>
      <c r="C1534" s="83"/>
      <c r="D1534" s="83"/>
      <c r="L1534">
        <v>0</v>
      </c>
    </row>
    <row r="1535" spans="2:22" ht="21" customHeight="1" outlineLevel="6" x14ac:dyDescent="0.2">
      <c r="B1535" s="69">
        <v>1110</v>
      </c>
      <c r="C1535" s="6" t="s">
        <v>4702</v>
      </c>
      <c r="D1535" s="6" t="s">
        <v>4703</v>
      </c>
      <c r="E1535" s="7" t="s">
        <v>4704</v>
      </c>
      <c r="F1535" s="13"/>
      <c r="G1535" s="14"/>
      <c r="H1535" s="14"/>
      <c r="I1535" s="15">
        <v>5</v>
      </c>
      <c r="J1535" s="14" t="s">
        <v>144</v>
      </c>
      <c r="K1535" s="5">
        <v>10</v>
      </c>
      <c r="L1535" s="16">
        <v>345.33333333333331</v>
      </c>
      <c r="M1535" s="12"/>
      <c r="N1535" s="14">
        <f>L1535*M1535</f>
        <v>0</v>
      </c>
      <c r="O1535" s="23">
        <f>1.119*M1535</f>
        <v>0</v>
      </c>
      <c r="P1535" s="24">
        <f>0.00558*M1535</f>
        <v>0</v>
      </c>
      <c r="Q1535" s="25"/>
      <c r="R1535" s="26" t="s">
        <v>4705</v>
      </c>
      <c r="S1535" s="26" t="s">
        <v>29</v>
      </c>
      <c r="T1535" s="6" t="str">
        <f>HYPERLINK("https://kanzpp.ru/api/getInfo/image/25a338b6-4998-11ef-a262-00155d82e908")</f>
        <v>https://kanzpp.ru/api/getInfo/image/25a338b6-4998-11ef-a262-00155d82e908</v>
      </c>
      <c r="U1535" s="6"/>
      <c r="V1535" s="33" t="s">
        <v>35</v>
      </c>
    </row>
    <row r="1536" spans="2:22" ht="22.95" customHeight="1" outlineLevel="5" x14ac:dyDescent="0.2">
      <c r="B1536" s="83" t="s">
        <v>4706</v>
      </c>
      <c r="C1536" s="83"/>
      <c r="D1536" s="83"/>
      <c r="L1536">
        <v>0</v>
      </c>
    </row>
    <row r="1537" spans="2:22" ht="21" customHeight="1" outlineLevel="6" x14ac:dyDescent="0.2">
      <c r="B1537" s="69">
        <v>1111</v>
      </c>
      <c r="C1537" s="6" t="s">
        <v>4707</v>
      </c>
      <c r="D1537" s="6" t="s">
        <v>4708</v>
      </c>
      <c r="E1537" s="7" t="s">
        <v>4709</v>
      </c>
      <c r="F1537" s="13"/>
      <c r="G1537" s="14"/>
      <c r="H1537" s="14"/>
      <c r="I1537" s="15">
        <v>10</v>
      </c>
      <c r="J1537" s="14" t="s">
        <v>144</v>
      </c>
      <c r="K1537" s="5">
        <v>10</v>
      </c>
      <c r="L1537" s="16">
        <v>158.66666666666666</v>
      </c>
      <c r="M1537" s="12"/>
      <c r="N1537" s="14">
        <f>L1537*M1537</f>
        <v>0</v>
      </c>
      <c r="O1537" s="23">
        <f>0.521*M1537</f>
        <v>0</v>
      </c>
      <c r="P1537" s="24">
        <f>0.00281*M1537</f>
        <v>0</v>
      </c>
      <c r="Q1537" s="25"/>
      <c r="R1537" s="26" t="s">
        <v>4710</v>
      </c>
      <c r="S1537" s="26" t="s">
        <v>29</v>
      </c>
      <c r="T1537" s="6" t="str">
        <f>HYPERLINK("https://kanzpp.ru/api/getInfo/image/b0b4efc4-4999-11ef-a262-00155d82e908")</f>
        <v>https://kanzpp.ru/api/getInfo/image/b0b4efc4-4999-11ef-a262-00155d82e908</v>
      </c>
      <c r="U1537" s="6"/>
      <c r="V1537" s="33" t="s">
        <v>35</v>
      </c>
    </row>
    <row r="1538" spans="2:22" ht="21" customHeight="1" outlineLevel="6" x14ac:dyDescent="0.2">
      <c r="B1538" s="69">
        <v>1112</v>
      </c>
      <c r="C1538" s="6" t="s">
        <v>4711</v>
      </c>
      <c r="D1538" s="6" t="s">
        <v>4712</v>
      </c>
      <c r="E1538" s="7" t="s">
        <v>4713</v>
      </c>
      <c r="F1538" s="13"/>
      <c r="G1538" s="14"/>
      <c r="H1538" s="14"/>
      <c r="I1538" s="15">
        <v>10</v>
      </c>
      <c r="J1538" s="14" t="s">
        <v>144</v>
      </c>
      <c r="K1538" s="5">
        <v>10</v>
      </c>
      <c r="L1538" s="16">
        <v>158.66666666666666</v>
      </c>
      <c r="M1538" s="12"/>
      <c r="N1538" s="14">
        <f>L1538*M1538</f>
        <v>0</v>
      </c>
      <c r="O1538" s="23">
        <f>0.528*M1538</f>
        <v>0</v>
      </c>
      <c r="P1538" s="24">
        <f>0.00065*M1538</f>
        <v>0</v>
      </c>
      <c r="Q1538" s="25"/>
      <c r="R1538" s="26" t="s">
        <v>4714</v>
      </c>
      <c r="S1538" s="26" t="s">
        <v>29</v>
      </c>
      <c r="T1538" s="6" t="str">
        <f>HYPERLINK("https://kanzpp.ru/api/getInfo/image/ef0a64aa-4999-11ef-a262-00155d82e908")</f>
        <v>https://kanzpp.ru/api/getInfo/image/ef0a64aa-4999-11ef-a262-00155d82e908</v>
      </c>
      <c r="U1538" s="6"/>
      <c r="V1538" s="33" t="s">
        <v>35</v>
      </c>
    </row>
    <row r="1539" spans="2:22" ht="22.95" customHeight="1" outlineLevel="4" x14ac:dyDescent="0.2">
      <c r="B1539" s="82" t="s">
        <v>4715</v>
      </c>
      <c r="C1539" s="82"/>
      <c r="D1539" s="82"/>
      <c r="L1539">
        <v>0</v>
      </c>
    </row>
    <row r="1540" spans="2:22" ht="22.95" customHeight="1" outlineLevel="5" x14ac:dyDescent="0.2">
      <c r="B1540" s="83" t="s">
        <v>4716</v>
      </c>
      <c r="C1540" s="83"/>
      <c r="D1540" s="83"/>
      <c r="L1540">
        <v>0</v>
      </c>
    </row>
    <row r="1541" spans="2:22" ht="21" customHeight="1" outlineLevel="6" x14ac:dyDescent="0.2">
      <c r="B1541" s="69">
        <v>1113</v>
      </c>
      <c r="C1541" s="6" t="s">
        <v>4717</v>
      </c>
      <c r="D1541" s="6" t="s">
        <v>4718</v>
      </c>
      <c r="E1541" s="7" t="s">
        <v>4719</v>
      </c>
      <c r="F1541" s="13"/>
      <c r="G1541" s="14"/>
      <c r="H1541" s="14"/>
      <c r="I1541" s="15">
        <v>5</v>
      </c>
      <c r="J1541" s="15">
        <v>100</v>
      </c>
      <c r="K1541" s="5">
        <v>5</v>
      </c>
      <c r="L1541" s="16">
        <v>198.66666666666666</v>
      </c>
      <c r="M1541" s="12"/>
      <c r="N1541" s="14">
        <f>L1541*M1541</f>
        <v>0</v>
      </c>
      <c r="O1541" s="23">
        <f>0.809*M1541</f>
        <v>0</v>
      </c>
      <c r="P1541" s="24">
        <f>0.00233*M1541</f>
        <v>0</v>
      </c>
      <c r="Q1541" s="25"/>
      <c r="R1541" s="26" t="s">
        <v>4720</v>
      </c>
      <c r="S1541" s="26" t="s">
        <v>29</v>
      </c>
      <c r="T1541" s="6" t="str">
        <f>HYPERLINK("https://kanzpp.ru/api/getInfo/image/1ebfb1ac-4992-11ef-a262-00155d82e908")</f>
        <v>https://kanzpp.ru/api/getInfo/image/1ebfb1ac-4992-11ef-a262-00155d82e908</v>
      </c>
      <c r="U1541" s="6"/>
      <c r="V1541" s="33" t="s">
        <v>35</v>
      </c>
    </row>
    <row r="1542" spans="2:22" ht="22.95" customHeight="1" outlineLevel="5" x14ac:dyDescent="0.2">
      <c r="B1542" s="83" t="s">
        <v>4721</v>
      </c>
      <c r="C1542" s="83"/>
      <c r="D1542" s="83"/>
      <c r="L1542">
        <v>0</v>
      </c>
    </row>
    <row r="1543" spans="2:22" ht="21" customHeight="1" outlineLevel="6" x14ac:dyDescent="0.2">
      <c r="B1543" s="69">
        <v>1114</v>
      </c>
      <c r="C1543" s="6" t="s">
        <v>4722</v>
      </c>
      <c r="D1543" s="6" t="s">
        <v>4723</v>
      </c>
      <c r="E1543" s="7" t="s">
        <v>4724</v>
      </c>
      <c r="F1543" s="13"/>
      <c r="G1543" s="14"/>
      <c r="H1543" s="14"/>
      <c r="I1543" s="15">
        <v>5</v>
      </c>
      <c r="J1543" s="15">
        <v>926</v>
      </c>
      <c r="K1543" s="5">
        <v>5</v>
      </c>
      <c r="L1543" s="16">
        <v>225.33333333333334</v>
      </c>
      <c r="M1543" s="12"/>
      <c r="N1543" s="14">
        <f>L1543*M1543</f>
        <v>0</v>
      </c>
      <c r="O1543" s="23">
        <f>1.051*M1543</f>
        <v>0</v>
      </c>
      <c r="P1543" s="24">
        <f>0.00252*M1543</f>
        <v>0</v>
      </c>
      <c r="Q1543" s="25"/>
      <c r="R1543" s="26" t="s">
        <v>4725</v>
      </c>
      <c r="S1543" s="26" t="s">
        <v>29</v>
      </c>
      <c r="T1543" s="6" t="str">
        <f>HYPERLINK("https://kanzpp.ru/api/getInfo/image/56d095a8-4992-11ef-a262-00155d82e908")</f>
        <v>https://kanzpp.ru/api/getInfo/image/56d095a8-4992-11ef-a262-00155d82e908</v>
      </c>
      <c r="U1543" s="6"/>
      <c r="V1543" s="33" t="s">
        <v>35</v>
      </c>
    </row>
    <row r="1544" spans="2:22" ht="22.95" customHeight="1" outlineLevel="3" x14ac:dyDescent="0.2">
      <c r="B1544" s="81" t="s">
        <v>4726</v>
      </c>
      <c r="C1544" s="81"/>
      <c r="D1544" s="81"/>
      <c r="L1544">
        <v>0</v>
      </c>
    </row>
    <row r="1545" spans="2:22" ht="22.95" customHeight="1" outlineLevel="4" x14ac:dyDescent="0.2">
      <c r="B1545" s="82" t="s">
        <v>4727</v>
      </c>
      <c r="C1545" s="82"/>
      <c r="D1545" s="82"/>
      <c r="L1545">
        <v>0</v>
      </c>
    </row>
    <row r="1546" spans="2:22" ht="21" customHeight="1" outlineLevel="5" x14ac:dyDescent="0.2">
      <c r="B1546" s="69">
        <v>1115</v>
      </c>
      <c r="C1546" s="6" t="s">
        <v>4728</v>
      </c>
      <c r="D1546" s="6" t="s">
        <v>4729</v>
      </c>
      <c r="E1546" s="7" t="s">
        <v>4730</v>
      </c>
      <c r="F1546" s="13"/>
      <c r="G1546" s="14"/>
      <c r="H1546" s="15">
        <v>20</v>
      </c>
      <c r="I1546" s="14"/>
      <c r="J1546" s="15">
        <v>94</v>
      </c>
      <c r="K1546" s="5">
        <v>20</v>
      </c>
      <c r="L1546" s="16">
        <v>65.333333333333329</v>
      </c>
      <c r="M1546" s="12"/>
      <c r="N1546" s="14">
        <f>L1546*M1546</f>
        <v>0</v>
      </c>
      <c r="O1546" s="28">
        <f>0.27*M1546</f>
        <v>0</v>
      </c>
      <c r="P1546" s="24">
        <f>0.00034*M1546</f>
        <v>0</v>
      </c>
      <c r="Q1546" s="25"/>
      <c r="R1546" s="26"/>
      <c r="S1546" s="26" t="s">
        <v>29</v>
      </c>
      <c r="T1546" s="6" t="str">
        <f>HYPERLINK("https://kanzpp.ru/api/getInfo/image/e0a8a7ef-ce35-11ed-a230-00155d82e902")</f>
        <v>https://kanzpp.ru/api/getInfo/image/e0a8a7ef-ce35-11ed-a230-00155d82e902</v>
      </c>
      <c r="U1546" s="6" t="s">
        <v>4731</v>
      </c>
      <c r="V1546" s="33" t="s">
        <v>35</v>
      </c>
    </row>
    <row r="1547" spans="2:22" ht="22.95" customHeight="1" outlineLevel="4" x14ac:dyDescent="0.2">
      <c r="B1547" s="82" t="s">
        <v>4732</v>
      </c>
      <c r="C1547" s="82"/>
      <c r="D1547" s="82"/>
      <c r="L1547">
        <v>0</v>
      </c>
    </row>
    <row r="1548" spans="2:22" ht="21" customHeight="1" outlineLevel="5" x14ac:dyDescent="0.2">
      <c r="B1548" s="69">
        <v>1116</v>
      </c>
      <c r="C1548" s="6" t="s">
        <v>4733</v>
      </c>
      <c r="D1548" s="6" t="s">
        <v>4734</v>
      </c>
      <c r="E1548" s="7" t="s">
        <v>4735</v>
      </c>
      <c r="F1548" s="13"/>
      <c r="G1548" s="14"/>
      <c r="H1548" s="14"/>
      <c r="I1548" s="15">
        <v>10</v>
      </c>
      <c r="J1548" s="14" t="s">
        <v>144</v>
      </c>
      <c r="K1548" s="5">
        <v>10</v>
      </c>
      <c r="L1548" s="16">
        <v>73.333333333333329</v>
      </c>
      <c r="M1548" s="12"/>
      <c r="N1548" s="14">
        <f>L1548*M1548</f>
        <v>0</v>
      </c>
      <c r="O1548" s="23">
        <f>0.256*M1548</f>
        <v>0</v>
      </c>
      <c r="P1548" s="24">
        <f>0.00046*M1548</f>
        <v>0</v>
      </c>
      <c r="Q1548" s="25"/>
      <c r="R1548" s="26" t="s">
        <v>4736</v>
      </c>
      <c r="S1548" s="26" t="s">
        <v>29</v>
      </c>
      <c r="T1548" s="6" t="str">
        <f>HYPERLINK("https://kanzpp.ru/api/getInfo/image/698403c7-c827-11e6-b929-5cf3fc4a2490")</f>
        <v>https://kanzpp.ru/api/getInfo/image/698403c7-c827-11e6-b929-5cf3fc4a2490</v>
      </c>
      <c r="U1548" s="6"/>
      <c r="V1548" s="33" t="s">
        <v>35</v>
      </c>
    </row>
    <row r="1549" spans="2:22" ht="22.95" customHeight="1" outlineLevel="2" x14ac:dyDescent="0.2">
      <c r="B1549" s="80" t="s">
        <v>4737</v>
      </c>
      <c r="C1549" s="80"/>
      <c r="D1549" s="80"/>
      <c r="L1549">
        <v>0</v>
      </c>
    </row>
    <row r="1550" spans="2:22" ht="22.95" customHeight="1" outlineLevel="3" x14ac:dyDescent="0.2">
      <c r="B1550" s="81" t="s">
        <v>4738</v>
      </c>
      <c r="C1550" s="81"/>
      <c r="D1550" s="81"/>
      <c r="L1550">
        <v>0</v>
      </c>
    </row>
    <row r="1551" spans="2:22" ht="22.95" customHeight="1" outlineLevel="4" x14ac:dyDescent="0.2">
      <c r="B1551" s="82" t="s">
        <v>4739</v>
      </c>
      <c r="C1551" s="82"/>
      <c r="D1551" s="82"/>
      <c r="L1551">
        <v>0</v>
      </c>
    </row>
    <row r="1552" spans="2:22" ht="22.95" customHeight="1" outlineLevel="5" x14ac:dyDescent="0.2">
      <c r="B1552" s="83" t="s">
        <v>4740</v>
      </c>
      <c r="C1552" s="83"/>
      <c r="D1552" s="83"/>
      <c r="L1552">
        <v>0</v>
      </c>
    </row>
    <row r="1553" spans="2:22" ht="21" customHeight="1" outlineLevel="6" x14ac:dyDescent="0.2">
      <c r="B1553" s="69">
        <v>1117</v>
      </c>
      <c r="C1553" s="6" t="s">
        <v>4741</v>
      </c>
      <c r="D1553" s="6" t="s">
        <v>4742</v>
      </c>
      <c r="E1553" s="7" t="s">
        <v>4743</v>
      </c>
      <c r="F1553" s="13"/>
      <c r="G1553" s="14"/>
      <c r="H1553" s="14"/>
      <c r="I1553" s="15">
        <v>20</v>
      </c>
      <c r="J1553" s="14" t="s">
        <v>144</v>
      </c>
      <c r="K1553" s="5">
        <v>1</v>
      </c>
      <c r="L1553" s="16">
        <v>212</v>
      </c>
      <c r="M1553" s="12"/>
      <c r="N1553" s="14">
        <f>L1553*M1553</f>
        <v>0</v>
      </c>
      <c r="O1553" s="23">
        <f>0.326*M1553</f>
        <v>0</v>
      </c>
      <c r="P1553" s="24">
        <f>0.00049*M1553</f>
        <v>0</v>
      </c>
      <c r="Q1553" s="25"/>
      <c r="R1553" s="26" t="s">
        <v>4744</v>
      </c>
      <c r="S1553" s="26" t="s">
        <v>93</v>
      </c>
      <c r="T1553" s="6" t="str">
        <f>HYPERLINK("https://kanzpp.ru/api/getInfo/image/aea4addc-eddc-11eb-a20d-ac1f6b442185")</f>
        <v>https://kanzpp.ru/api/getInfo/image/aea4addc-eddc-11eb-a20d-ac1f6b442185</v>
      </c>
      <c r="U1553" s="6"/>
      <c r="V1553" s="33" t="s">
        <v>35</v>
      </c>
    </row>
    <row r="1554" spans="2:22" ht="22.95" customHeight="1" outlineLevel="3" x14ac:dyDescent="0.2">
      <c r="B1554" s="81" t="s">
        <v>4745</v>
      </c>
      <c r="C1554" s="81"/>
      <c r="D1554" s="81"/>
      <c r="L1554">
        <v>0</v>
      </c>
    </row>
    <row r="1555" spans="2:22" ht="22.95" customHeight="1" outlineLevel="4" x14ac:dyDescent="0.2">
      <c r="B1555" s="82" t="s">
        <v>4746</v>
      </c>
      <c r="C1555" s="82"/>
      <c r="D1555" s="82"/>
      <c r="L1555">
        <v>0</v>
      </c>
    </row>
    <row r="1556" spans="2:22" ht="21" customHeight="1" outlineLevel="5" x14ac:dyDescent="0.2">
      <c r="B1556" s="69">
        <v>1118</v>
      </c>
      <c r="C1556" s="6" t="s">
        <v>4747</v>
      </c>
      <c r="D1556" s="6" t="s">
        <v>4748</v>
      </c>
      <c r="E1556" s="7" t="s">
        <v>4749</v>
      </c>
      <c r="F1556" s="13"/>
      <c r="G1556" s="14"/>
      <c r="H1556" s="15">
        <v>12</v>
      </c>
      <c r="I1556" s="14"/>
      <c r="J1556" s="15">
        <v>513</v>
      </c>
      <c r="K1556" s="5">
        <v>2</v>
      </c>
      <c r="L1556" s="16">
        <v>132</v>
      </c>
      <c r="M1556" s="12"/>
      <c r="N1556" s="14">
        <f>L1556*M1556</f>
        <v>0</v>
      </c>
      <c r="O1556" s="23">
        <f>0.636*M1556</f>
        <v>0</v>
      </c>
      <c r="P1556" s="24">
        <f>0.00108*M1556</f>
        <v>0</v>
      </c>
      <c r="Q1556" s="25"/>
      <c r="R1556" s="26" t="s">
        <v>4750</v>
      </c>
      <c r="S1556" s="26" t="s">
        <v>93</v>
      </c>
      <c r="T1556" s="6" t="str">
        <f>HYPERLINK("https://kanzpp.ru/api/getInfo/image/7bbdc4dc-b101-11ed-a230-00155d82e902")</f>
        <v>https://kanzpp.ru/api/getInfo/image/7bbdc4dc-b101-11ed-a230-00155d82e902</v>
      </c>
      <c r="U1556" s="6"/>
      <c r="V1556" s="33" t="s">
        <v>35</v>
      </c>
    </row>
    <row r="1557" spans="2:22" ht="21" customHeight="1" outlineLevel="5" x14ac:dyDescent="0.2">
      <c r="B1557" s="69">
        <v>1119</v>
      </c>
      <c r="C1557" s="6" t="s">
        <v>4751</v>
      </c>
      <c r="D1557" s="6" t="s">
        <v>4752</v>
      </c>
      <c r="E1557" s="7" t="s">
        <v>4753</v>
      </c>
      <c r="F1557" s="13"/>
      <c r="G1557" s="14"/>
      <c r="H1557" s="15">
        <v>12</v>
      </c>
      <c r="I1557" s="14"/>
      <c r="J1557" s="15">
        <v>272</v>
      </c>
      <c r="K1557" s="5">
        <v>2</v>
      </c>
      <c r="L1557" s="16">
        <v>132</v>
      </c>
      <c r="M1557" s="12"/>
      <c r="N1557" s="14">
        <f>L1557*M1557</f>
        <v>0</v>
      </c>
      <c r="O1557" s="23">
        <f>0.636*M1557</f>
        <v>0</v>
      </c>
      <c r="P1557" s="24">
        <f>0.00108*M1557</f>
        <v>0</v>
      </c>
      <c r="Q1557" s="25"/>
      <c r="R1557" s="26" t="s">
        <v>4754</v>
      </c>
      <c r="S1557" s="26" t="s">
        <v>93</v>
      </c>
      <c r="T1557" s="6" t="str">
        <f>HYPERLINK("https://kanzpp.ru/api/getInfo/image/d7eb45ba-d9d0-11ed-a232-00155d82e902")</f>
        <v>https://kanzpp.ru/api/getInfo/image/d7eb45ba-d9d0-11ed-a232-00155d82e902</v>
      </c>
      <c r="U1557" s="6"/>
      <c r="V1557" s="33" t="s">
        <v>35</v>
      </c>
    </row>
    <row r="1558" spans="2:22" ht="21" customHeight="1" outlineLevel="5" x14ac:dyDescent="0.2">
      <c r="B1558" s="69">
        <v>1120</v>
      </c>
      <c r="C1558" s="6" t="s">
        <v>4755</v>
      </c>
      <c r="D1558" s="6" t="s">
        <v>4756</v>
      </c>
      <c r="E1558" s="7" t="s">
        <v>4757</v>
      </c>
      <c r="F1558" s="13"/>
      <c r="G1558" s="14"/>
      <c r="H1558" s="15">
        <v>12</v>
      </c>
      <c r="I1558" s="14"/>
      <c r="J1558" s="15">
        <v>400</v>
      </c>
      <c r="K1558" s="5">
        <v>2</v>
      </c>
      <c r="L1558" s="16">
        <v>132</v>
      </c>
      <c r="M1558" s="12"/>
      <c r="N1558" s="14">
        <f>L1558*M1558</f>
        <v>0</v>
      </c>
      <c r="O1558" s="23">
        <f>0.636*M1558</f>
        <v>0</v>
      </c>
      <c r="P1558" s="24">
        <f>0.00108*M1558</f>
        <v>0</v>
      </c>
      <c r="Q1558" s="25"/>
      <c r="R1558" s="26" t="s">
        <v>4758</v>
      </c>
      <c r="S1558" s="26" t="s">
        <v>93</v>
      </c>
      <c r="T1558" s="6" t="str">
        <f>HYPERLINK("https://kanzpp.ru/api/getInfo/image/917a18b6-d9d1-11ed-a232-00155d82e902")</f>
        <v>https://kanzpp.ru/api/getInfo/image/917a18b6-d9d1-11ed-a232-00155d82e902</v>
      </c>
      <c r="U1558" s="6"/>
      <c r="V1558" s="33" t="s">
        <v>35</v>
      </c>
    </row>
    <row r="1559" spans="2:22" ht="22.95" customHeight="1" outlineLevel="3" x14ac:dyDescent="0.2">
      <c r="B1559" s="81" t="s">
        <v>4759</v>
      </c>
      <c r="C1559" s="81"/>
      <c r="D1559" s="81"/>
      <c r="L1559">
        <v>0</v>
      </c>
    </row>
    <row r="1560" spans="2:22" ht="22.95" customHeight="1" outlineLevel="4" x14ac:dyDescent="0.2">
      <c r="B1560" s="82" t="s">
        <v>4760</v>
      </c>
      <c r="C1560" s="82"/>
      <c r="D1560" s="82"/>
      <c r="L1560">
        <v>0</v>
      </c>
    </row>
    <row r="1561" spans="2:22" ht="21" customHeight="1" outlineLevel="5" x14ac:dyDescent="0.2">
      <c r="B1561" s="69">
        <v>1121</v>
      </c>
      <c r="C1561" s="6" t="s">
        <v>4761</v>
      </c>
      <c r="D1561" s="6" t="s">
        <v>4762</v>
      </c>
      <c r="E1561" s="7" t="s">
        <v>4763</v>
      </c>
      <c r="F1561" s="13"/>
      <c r="G1561" s="14"/>
      <c r="H1561" s="15">
        <v>16</v>
      </c>
      <c r="I1561" s="14"/>
      <c r="J1561" s="14" t="s">
        <v>144</v>
      </c>
      <c r="K1561" s="5">
        <v>4</v>
      </c>
      <c r="L1561" s="16">
        <v>132</v>
      </c>
      <c r="M1561" s="12"/>
      <c r="N1561" s="14">
        <f>L1561*M1561</f>
        <v>0</v>
      </c>
      <c r="O1561" s="23">
        <f>0.345*M1561</f>
        <v>0</v>
      </c>
      <c r="P1561" s="24">
        <f>0.00051*M1561</f>
        <v>0</v>
      </c>
      <c r="Q1561" s="25"/>
      <c r="R1561" s="26" t="s">
        <v>4764</v>
      </c>
      <c r="S1561" s="26" t="s">
        <v>93</v>
      </c>
      <c r="T1561" s="6" t="str">
        <f>HYPERLINK("https://kanzpp.ru/api/getInfo/image/b4f37057-1a3b-11ee-a23b-00155d82e902")</f>
        <v>https://kanzpp.ru/api/getInfo/image/b4f37057-1a3b-11ee-a23b-00155d82e902</v>
      </c>
      <c r="U1561" s="6"/>
      <c r="V1561" s="33" t="s">
        <v>35</v>
      </c>
    </row>
    <row r="1562" spans="2:22" ht="22.95" customHeight="1" outlineLevel="4" x14ac:dyDescent="0.2">
      <c r="B1562" s="82" t="s">
        <v>4765</v>
      </c>
      <c r="C1562" s="82"/>
      <c r="D1562" s="82"/>
      <c r="L1562">
        <v>0</v>
      </c>
    </row>
    <row r="1563" spans="2:22" ht="21" customHeight="1" outlineLevel="5" x14ac:dyDescent="0.2">
      <c r="B1563" s="69">
        <v>1122</v>
      </c>
      <c r="C1563" s="6" t="s">
        <v>4766</v>
      </c>
      <c r="D1563" s="6" t="s">
        <v>4767</v>
      </c>
      <c r="E1563" s="7" t="s">
        <v>4768</v>
      </c>
      <c r="F1563" s="13"/>
      <c r="G1563" s="14"/>
      <c r="H1563" s="15">
        <v>16</v>
      </c>
      <c r="I1563" s="14"/>
      <c r="J1563" s="14" t="s">
        <v>144</v>
      </c>
      <c r="K1563" s="5">
        <v>4</v>
      </c>
      <c r="L1563" s="16">
        <v>132</v>
      </c>
      <c r="M1563" s="12"/>
      <c r="N1563" s="14">
        <f>L1563*M1563</f>
        <v>0</v>
      </c>
      <c r="O1563" s="23">
        <f>0.265*M1563</f>
        <v>0</v>
      </c>
      <c r="P1563" s="24">
        <f>0.00057*M1563</f>
        <v>0</v>
      </c>
      <c r="Q1563" s="25"/>
      <c r="R1563" s="26" t="s">
        <v>4769</v>
      </c>
      <c r="S1563" s="26" t="s">
        <v>93</v>
      </c>
      <c r="T1563" s="6" t="str">
        <f>HYPERLINK("https://kanzpp.ru/api/getInfo/image/fbc0499f-1a36-11ee-a23b-00155d82e902")</f>
        <v>https://kanzpp.ru/api/getInfo/image/fbc0499f-1a36-11ee-a23b-00155d82e902</v>
      </c>
      <c r="U1563" s="6"/>
      <c r="V1563" s="33" t="s">
        <v>35</v>
      </c>
    </row>
    <row r="1564" spans="2:22" ht="21" customHeight="1" outlineLevel="5" x14ac:dyDescent="0.2">
      <c r="B1564" s="69">
        <v>1123</v>
      </c>
      <c r="C1564" s="6" t="s">
        <v>4770</v>
      </c>
      <c r="D1564" s="6" t="s">
        <v>4771</v>
      </c>
      <c r="E1564" s="7" t="s">
        <v>4772</v>
      </c>
      <c r="F1564" s="13"/>
      <c r="G1564" s="14"/>
      <c r="H1564" s="15">
        <v>16</v>
      </c>
      <c r="I1564" s="14"/>
      <c r="J1564" s="14" t="s">
        <v>144</v>
      </c>
      <c r="K1564" s="5">
        <v>4</v>
      </c>
      <c r="L1564" s="16">
        <v>132</v>
      </c>
      <c r="M1564" s="12"/>
      <c r="N1564" s="14">
        <f>L1564*M1564</f>
        <v>0</v>
      </c>
      <c r="O1564" s="28">
        <f>0.26*M1564</f>
        <v>0</v>
      </c>
      <c r="P1564" s="31">
        <f>0.0004*M1564</f>
        <v>0</v>
      </c>
      <c r="Q1564" s="25"/>
      <c r="R1564" s="26" t="s">
        <v>4773</v>
      </c>
      <c r="S1564" s="26" t="s">
        <v>93</v>
      </c>
      <c r="T1564" s="6" t="str">
        <f>HYPERLINK("https://kanzpp.ru/api/getInfo/image/cebd84a4-1a36-11ee-a23b-00155d82e902")</f>
        <v>https://kanzpp.ru/api/getInfo/image/cebd84a4-1a36-11ee-a23b-00155d82e902</v>
      </c>
      <c r="U1564" s="6"/>
      <c r="V1564" s="33" t="s">
        <v>35</v>
      </c>
    </row>
    <row r="1565" spans="2:22" ht="21" customHeight="1" outlineLevel="5" x14ac:dyDescent="0.2">
      <c r="B1565" s="69">
        <v>1124</v>
      </c>
      <c r="C1565" s="6" t="s">
        <v>4774</v>
      </c>
      <c r="D1565" s="6" t="s">
        <v>4775</v>
      </c>
      <c r="E1565" s="7" t="s">
        <v>4776</v>
      </c>
      <c r="F1565" s="13"/>
      <c r="G1565" s="14"/>
      <c r="H1565" s="15">
        <v>16</v>
      </c>
      <c r="I1565" s="14"/>
      <c r="J1565" s="14" t="s">
        <v>144</v>
      </c>
      <c r="K1565" s="5">
        <v>4</v>
      </c>
      <c r="L1565" s="16">
        <v>132</v>
      </c>
      <c r="M1565" s="12"/>
      <c r="N1565" s="14">
        <f>L1565*M1565</f>
        <v>0</v>
      </c>
      <c r="O1565" s="28">
        <f>0.26*M1565</f>
        <v>0</v>
      </c>
      <c r="P1565" s="31">
        <f>0.0004*M1565</f>
        <v>0</v>
      </c>
      <c r="Q1565" s="25"/>
      <c r="R1565" s="26" t="s">
        <v>4777</v>
      </c>
      <c r="S1565" s="26" t="s">
        <v>93</v>
      </c>
      <c r="T1565" s="6" t="str">
        <f>HYPERLINK("https://kanzpp.ru/api/getInfo/image/b020b3da-1a36-11ee-a23b-00155d82e902")</f>
        <v>https://kanzpp.ru/api/getInfo/image/b020b3da-1a36-11ee-a23b-00155d82e902</v>
      </c>
      <c r="U1565" s="6"/>
      <c r="V1565" s="33" t="s">
        <v>35</v>
      </c>
    </row>
    <row r="1566" spans="2:22" ht="21" customHeight="1" outlineLevel="5" x14ac:dyDescent="0.2">
      <c r="B1566" s="69">
        <v>1125</v>
      </c>
      <c r="C1566" s="6" t="s">
        <v>4778</v>
      </c>
      <c r="D1566" s="6" t="s">
        <v>4779</v>
      </c>
      <c r="E1566" s="7" t="s">
        <v>4780</v>
      </c>
      <c r="F1566" s="13"/>
      <c r="G1566" s="14"/>
      <c r="H1566" s="15">
        <v>16</v>
      </c>
      <c r="I1566" s="14"/>
      <c r="J1566" s="14" t="s">
        <v>144</v>
      </c>
      <c r="K1566" s="5">
        <v>4</v>
      </c>
      <c r="L1566" s="16">
        <v>132</v>
      </c>
      <c r="M1566" s="12"/>
      <c r="N1566" s="14">
        <f>L1566*M1566</f>
        <v>0</v>
      </c>
      <c r="O1566" s="28">
        <f>0.26*M1566</f>
        <v>0</v>
      </c>
      <c r="P1566" s="31">
        <f>0.0004*M1566</f>
        <v>0</v>
      </c>
      <c r="Q1566" s="25"/>
      <c r="R1566" s="26" t="s">
        <v>4781</v>
      </c>
      <c r="S1566" s="26" t="s">
        <v>93</v>
      </c>
      <c r="T1566" s="6" t="str">
        <f>HYPERLINK("https://kanzpp.ru/api/getInfo/image/69730f2c-1a36-11ee-a23b-00155d82e902")</f>
        <v>https://kanzpp.ru/api/getInfo/image/69730f2c-1a36-11ee-a23b-00155d82e902</v>
      </c>
      <c r="U1566" s="6"/>
      <c r="V1566" s="33" t="s">
        <v>35</v>
      </c>
    </row>
    <row r="1567" spans="2:22" ht="22.95" customHeight="1" outlineLevel="4" x14ac:dyDescent="0.2">
      <c r="B1567" s="82" t="s">
        <v>4782</v>
      </c>
      <c r="C1567" s="82"/>
      <c r="D1567" s="82"/>
      <c r="L1567">
        <v>0</v>
      </c>
    </row>
    <row r="1568" spans="2:22" ht="21" customHeight="1" outlineLevel="5" x14ac:dyDescent="0.2">
      <c r="B1568" s="69">
        <v>1126</v>
      </c>
      <c r="C1568" s="6" t="s">
        <v>4783</v>
      </c>
      <c r="D1568" s="6" t="s">
        <v>4784</v>
      </c>
      <c r="E1568" s="7" t="s">
        <v>4785</v>
      </c>
      <c r="F1568" s="13"/>
      <c r="G1568" s="14"/>
      <c r="H1568" s="14"/>
      <c r="I1568" s="15">
        <v>20</v>
      </c>
      <c r="J1568" s="15">
        <v>91</v>
      </c>
      <c r="K1568" s="5">
        <v>5</v>
      </c>
      <c r="L1568" s="16">
        <v>29.22666666666667</v>
      </c>
      <c r="M1568" s="12"/>
      <c r="N1568" s="14">
        <f>L1568*M1568</f>
        <v>0</v>
      </c>
      <c r="O1568" s="23">
        <f>0.177*M1568</f>
        <v>0</v>
      </c>
      <c r="P1568" s="24">
        <f>0.00025*M1568</f>
        <v>0</v>
      </c>
      <c r="Q1568" s="25"/>
      <c r="R1568" s="26" t="s">
        <v>4786</v>
      </c>
      <c r="S1568" s="26" t="s">
        <v>93</v>
      </c>
      <c r="T1568" s="6" t="str">
        <f>HYPERLINK("https://kanzpp.ru/api/getInfo/image/68622325-edd6-11eb-a20d-ac1f6b442185")</f>
        <v>https://kanzpp.ru/api/getInfo/image/68622325-edd6-11eb-a20d-ac1f6b442185</v>
      </c>
      <c r="U1568" s="6"/>
      <c r="V1568" s="33" t="s">
        <v>35</v>
      </c>
    </row>
    <row r="1569" spans="2:22" ht="22.95" customHeight="1" outlineLevel="3" x14ac:dyDescent="0.2">
      <c r="B1569" s="81" t="s">
        <v>4787</v>
      </c>
      <c r="C1569" s="81"/>
      <c r="D1569" s="81"/>
      <c r="L1569">
        <v>0</v>
      </c>
    </row>
    <row r="1570" spans="2:22" ht="22.95" customHeight="1" outlineLevel="4" x14ac:dyDescent="0.2">
      <c r="B1570" s="82" t="s">
        <v>4788</v>
      </c>
      <c r="C1570" s="82"/>
      <c r="D1570" s="82"/>
      <c r="L1570">
        <v>0</v>
      </c>
    </row>
    <row r="1571" spans="2:22" ht="22.95" customHeight="1" outlineLevel="5" x14ac:dyDescent="0.2">
      <c r="B1571" s="83" t="s">
        <v>4789</v>
      </c>
      <c r="C1571" s="83"/>
      <c r="D1571" s="83"/>
      <c r="L1571">
        <v>0</v>
      </c>
    </row>
    <row r="1572" spans="2:22" ht="21" customHeight="1" outlineLevel="6" x14ac:dyDescent="0.2">
      <c r="B1572" s="69">
        <v>1127</v>
      </c>
      <c r="C1572" s="6" t="s">
        <v>4790</v>
      </c>
      <c r="D1572" s="6" t="s">
        <v>4791</v>
      </c>
      <c r="E1572" s="7" t="s">
        <v>4792</v>
      </c>
      <c r="F1572" s="13"/>
      <c r="G1572" s="14"/>
      <c r="H1572" s="15">
        <v>10</v>
      </c>
      <c r="I1572" s="14"/>
      <c r="J1572" s="15">
        <v>4</v>
      </c>
      <c r="K1572" s="5">
        <v>3</v>
      </c>
      <c r="L1572" s="16">
        <v>65.8</v>
      </c>
      <c r="M1572" s="12"/>
      <c r="N1572" s="14">
        <f>L1572*M1572</f>
        <v>0</v>
      </c>
      <c r="O1572" s="23">
        <f>0.268*M1572</f>
        <v>0</v>
      </c>
      <c r="P1572" s="31">
        <f>0.0003*M1572</f>
        <v>0</v>
      </c>
      <c r="Q1572" s="25"/>
      <c r="R1572" s="26"/>
      <c r="S1572" s="26" t="s">
        <v>93</v>
      </c>
      <c r="T1572" s="6" t="str">
        <f>HYPERLINK("https://kanzpp.ru/api/getInfo/image/4d72779a-934f-11ed-a22c-00155d82e902")</f>
        <v>https://kanzpp.ru/api/getInfo/image/4d72779a-934f-11ed-a22c-00155d82e902</v>
      </c>
      <c r="U1572" s="6" t="s">
        <v>4793</v>
      </c>
      <c r="V1572" s="33" t="s">
        <v>35</v>
      </c>
    </row>
    <row r="1573" spans="2:22" ht="22.95" customHeight="1" outlineLevel="4" x14ac:dyDescent="0.2">
      <c r="B1573" s="82" t="s">
        <v>4794</v>
      </c>
      <c r="C1573" s="82"/>
      <c r="D1573" s="82"/>
      <c r="L1573">
        <v>0</v>
      </c>
    </row>
    <row r="1574" spans="2:22" ht="21" customHeight="1" outlineLevel="5" x14ac:dyDescent="0.2">
      <c r="B1574" s="71">
        <v>1128</v>
      </c>
      <c r="C1574" s="37" t="s">
        <v>4795</v>
      </c>
      <c r="D1574" s="37" t="s">
        <v>4796</v>
      </c>
      <c r="E1574" s="38" t="s">
        <v>4797</v>
      </c>
      <c r="F1574" s="39"/>
      <c r="G1574" s="40"/>
      <c r="H1574" s="41">
        <v>20</v>
      </c>
      <c r="I1574" s="40"/>
      <c r="J1574" s="41">
        <v>15</v>
      </c>
      <c r="K1574" s="36">
        <v>2</v>
      </c>
      <c r="L1574" s="42">
        <f>(252*(1-O3/100))/0.75</f>
        <v>336</v>
      </c>
      <c r="M1574" s="12"/>
      <c r="N1574" s="40">
        <f>L1574*M1574</f>
        <v>0</v>
      </c>
      <c r="O1574" s="43">
        <f>0.322*M1574</f>
        <v>0</v>
      </c>
      <c r="P1574" s="47">
        <f>0.00044*M1574</f>
        <v>0</v>
      </c>
      <c r="Q1574" s="44"/>
      <c r="R1574" s="45" t="s">
        <v>4798</v>
      </c>
      <c r="S1574" s="45" t="s">
        <v>93</v>
      </c>
      <c r="T1574" s="37" t="str">
        <f>HYPERLINK("https://kanzpp.ru/api/getInfo/image/e0033697-e25b-11f0-a28c-00155d82e908")</f>
        <v>https://kanzpp.ru/api/getInfo/image/e0033697-e25b-11f0-a28c-00155d82e908</v>
      </c>
      <c r="U1574" s="37"/>
    </row>
    <row r="1575" spans="2:22" ht="22.95" customHeight="1" outlineLevel="3" x14ac:dyDescent="0.2">
      <c r="B1575" s="81" t="s">
        <v>4799</v>
      </c>
      <c r="C1575" s="81"/>
      <c r="D1575" s="81"/>
      <c r="L1575">
        <v>0</v>
      </c>
    </row>
    <row r="1576" spans="2:22" ht="22.95" customHeight="1" outlineLevel="4" x14ac:dyDescent="0.2">
      <c r="B1576" s="82" t="s">
        <v>4800</v>
      </c>
      <c r="C1576" s="82"/>
      <c r="D1576" s="82"/>
      <c r="L1576">
        <v>0</v>
      </c>
    </row>
    <row r="1577" spans="2:22" ht="21" customHeight="1" outlineLevel="5" x14ac:dyDescent="0.2">
      <c r="B1577" s="69">
        <v>1129</v>
      </c>
      <c r="C1577" s="6" t="s">
        <v>4801</v>
      </c>
      <c r="D1577" s="6" t="s">
        <v>4802</v>
      </c>
      <c r="E1577" s="7" t="s">
        <v>4803</v>
      </c>
      <c r="F1577" s="13"/>
      <c r="G1577" s="14"/>
      <c r="H1577" s="15">
        <v>32</v>
      </c>
      <c r="I1577" s="14"/>
      <c r="J1577" s="15">
        <v>10</v>
      </c>
      <c r="K1577" s="5">
        <v>4</v>
      </c>
      <c r="L1577" s="16">
        <v>132</v>
      </c>
      <c r="M1577" s="12"/>
      <c r="N1577" s="14">
        <f>L1577*M1577</f>
        <v>0</v>
      </c>
      <c r="O1577" s="23">
        <f>0.299*M1577</f>
        <v>0</v>
      </c>
      <c r="P1577" s="24">
        <f>0.00031*M1577</f>
        <v>0</v>
      </c>
      <c r="Q1577" s="25"/>
      <c r="R1577" s="26" t="s">
        <v>4804</v>
      </c>
      <c r="S1577" s="26" t="s">
        <v>93</v>
      </c>
      <c r="T1577" s="6" t="str">
        <f>HYPERLINK("https://kanzpp.ru/api/getInfo/image/b87ad9e2-6bff-11ee-a247-00155d82e902")</f>
        <v>https://kanzpp.ru/api/getInfo/image/b87ad9e2-6bff-11ee-a247-00155d82e902</v>
      </c>
      <c r="U1577" s="6"/>
      <c r="V1577" s="33" t="s">
        <v>35</v>
      </c>
    </row>
    <row r="1578" spans="2:22" ht="21" customHeight="1" outlineLevel="5" x14ac:dyDescent="0.2">
      <c r="B1578" s="69">
        <v>1130</v>
      </c>
      <c r="C1578" s="6" t="s">
        <v>4805</v>
      </c>
      <c r="D1578" s="6" t="s">
        <v>4806</v>
      </c>
      <c r="E1578" s="7" t="s">
        <v>4807</v>
      </c>
      <c r="F1578" s="13"/>
      <c r="G1578" s="14"/>
      <c r="H1578" s="15">
        <v>32</v>
      </c>
      <c r="I1578" s="14"/>
      <c r="J1578" s="15">
        <v>79</v>
      </c>
      <c r="K1578" s="5">
        <v>4</v>
      </c>
      <c r="L1578" s="16">
        <v>132</v>
      </c>
      <c r="M1578" s="12"/>
      <c r="N1578" s="14">
        <f>L1578*M1578</f>
        <v>0</v>
      </c>
      <c r="O1578" s="28">
        <f>0.27*M1578</f>
        <v>0</v>
      </c>
      <c r="P1578" s="24">
        <f>0.00042*M1578</f>
        <v>0</v>
      </c>
      <c r="Q1578" s="25"/>
      <c r="R1578" s="26" t="s">
        <v>4808</v>
      </c>
      <c r="S1578" s="26" t="s">
        <v>93</v>
      </c>
      <c r="T1578" s="6" t="str">
        <f>HYPERLINK("https://kanzpp.ru/api/getInfo/image/3a9dd7ba-b6a9-11ea-a249-ac1f6b442184")</f>
        <v>https://kanzpp.ru/api/getInfo/image/3a9dd7ba-b6a9-11ea-a249-ac1f6b442184</v>
      </c>
      <c r="U1578" s="6"/>
      <c r="V1578" s="33" t="s">
        <v>35</v>
      </c>
    </row>
    <row r="1579" spans="2:22" ht="21" customHeight="1" outlineLevel="5" x14ac:dyDescent="0.2">
      <c r="B1579" s="69">
        <v>1131</v>
      </c>
      <c r="C1579" s="6" t="s">
        <v>4809</v>
      </c>
      <c r="D1579" s="6" t="s">
        <v>4810</v>
      </c>
      <c r="E1579" s="7" t="s">
        <v>4811</v>
      </c>
      <c r="F1579" s="13"/>
      <c r="G1579" s="14"/>
      <c r="H1579" s="15">
        <v>32</v>
      </c>
      <c r="I1579" s="14"/>
      <c r="J1579" s="15">
        <v>480</v>
      </c>
      <c r="K1579" s="5">
        <v>4</v>
      </c>
      <c r="L1579" s="16">
        <v>65.333333333333329</v>
      </c>
      <c r="M1579" s="12"/>
      <c r="N1579" s="14">
        <f>L1579*M1579</f>
        <v>0</v>
      </c>
      <c r="O1579" s="28">
        <f>0.27*M1579</f>
        <v>0</v>
      </c>
      <c r="P1579" s="24">
        <f>0.00042*M1579</f>
        <v>0</v>
      </c>
      <c r="Q1579" s="25"/>
      <c r="R1579" s="26" t="s">
        <v>153</v>
      </c>
      <c r="S1579" s="26" t="s">
        <v>93</v>
      </c>
      <c r="T1579" s="6" t="str">
        <f>HYPERLINK("https://kanzpp.ru/api/getInfo/image/b732faf0-b6a8-11ea-a249-ac1f6b442184")</f>
        <v>https://kanzpp.ru/api/getInfo/image/b732faf0-b6a8-11ea-a249-ac1f6b442184</v>
      </c>
      <c r="U1579" s="6" t="s">
        <v>153</v>
      </c>
      <c r="V1579" s="33" t="s">
        <v>35</v>
      </c>
    </row>
    <row r="1580" spans="2:22" ht="21" customHeight="1" outlineLevel="5" x14ac:dyDescent="0.2">
      <c r="B1580" s="69">
        <v>1132</v>
      </c>
      <c r="C1580" s="6" t="s">
        <v>4812</v>
      </c>
      <c r="D1580" s="6" t="s">
        <v>4813</v>
      </c>
      <c r="E1580" s="7" t="s">
        <v>4814</v>
      </c>
      <c r="F1580" s="13"/>
      <c r="G1580" s="14"/>
      <c r="H1580" s="15">
        <v>32</v>
      </c>
      <c r="I1580" s="14"/>
      <c r="J1580" s="15">
        <v>8</v>
      </c>
      <c r="K1580" s="5">
        <v>4</v>
      </c>
      <c r="L1580" s="16">
        <v>92</v>
      </c>
      <c r="M1580" s="12"/>
      <c r="N1580" s="14">
        <f>L1580*M1580</f>
        <v>0</v>
      </c>
      <c r="O1580" s="28">
        <f>0.27*M1580</f>
        <v>0</v>
      </c>
      <c r="P1580" s="24">
        <f>0.00042*M1580</f>
        <v>0</v>
      </c>
      <c r="Q1580" s="25"/>
      <c r="R1580" s="26" t="s">
        <v>4815</v>
      </c>
      <c r="S1580" s="26" t="s">
        <v>93</v>
      </c>
      <c r="T1580" s="6" t="str">
        <f>HYPERLINK("https://kanzpp.ru/api/getInfo/image/055fbd6e-6f89-11eb-a26e-ac1f6b442184")</f>
        <v>https://kanzpp.ru/api/getInfo/image/055fbd6e-6f89-11eb-a26e-ac1f6b442184</v>
      </c>
      <c r="U1580" s="6"/>
      <c r="V1580" s="33" t="s">
        <v>35</v>
      </c>
    </row>
    <row r="1581" spans="2:22" ht="22.95" customHeight="1" outlineLevel="4" x14ac:dyDescent="0.2">
      <c r="B1581" s="82" t="s">
        <v>4816</v>
      </c>
      <c r="C1581" s="82"/>
      <c r="D1581" s="82"/>
      <c r="L1581">
        <v>0</v>
      </c>
    </row>
    <row r="1582" spans="2:22" ht="21" customHeight="1" outlineLevel="5" x14ac:dyDescent="0.2">
      <c r="B1582" s="69">
        <v>1133</v>
      </c>
      <c r="C1582" s="6" t="s">
        <v>4817</v>
      </c>
      <c r="D1582" s="6" t="s">
        <v>4818</v>
      </c>
      <c r="E1582" s="7" t="s">
        <v>4819</v>
      </c>
      <c r="F1582" s="13"/>
      <c r="G1582" s="14"/>
      <c r="H1582" s="15">
        <v>20</v>
      </c>
      <c r="I1582" s="14"/>
      <c r="J1582" s="15">
        <v>75</v>
      </c>
      <c r="K1582" s="5">
        <v>6</v>
      </c>
      <c r="L1582" s="16">
        <v>25.333333333333332</v>
      </c>
      <c r="M1582" s="12"/>
      <c r="N1582" s="14">
        <f>L1582*M1582</f>
        <v>0</v>
      </c>
      <c r="O1582" s="28">
        <f>0.19*M1582</f>
        <v>0</v>
      </c>
      <c r="P1582" s="24">
        <f>0.00026*M1582</f>
        <v>0</v>
      </c>
      <c r="Q1582" s="25"/>
      <c r="R1582" s="26"/>
      <c r="S1582" s="26" t="s">
        <v>93</v>
      </c>
      <c r="T1582" s="6" t="str">
        <f>HYPERLINK("https://kanzpp.ru/api/getInfo/image/6fae5386-e335-11ed-a233-00155d82e902")</f>
        <v>https://kanzpp.ru/api/getInfo/image/6fae5386-e335-11ed-a233-00155d82e902</v>
      </c>
      <c r="U1582" s="6"/>
      <c r="V1582" s="33" t="s">
        <v>35</v>
      </c>
    </row>
    <row r="1583" spans="2:22" ht="22.95" customHeight="1" outlineLevel="4" x14ac:dyDescent="0.2">
      <c r="B1583" s="82" t="s">
        <v>4820</v>
      </c>
      <c r="C1583" s="82"/>
      <c r="D1583" s="82"/>
      <c r="L1583">
        <v>0</v>
      </c>
    </row>
    <row r="1584" spans="2:22" ht="21" customHeight="1" outlineLevel="5" x14ac:dyDescent="0.2">
      <c r="B1584" s="69">
        <v>1134</v>
      </c>
      <c r="C1584" s="6" t="s">
        <v>4821</v>
      </c>
      <c r="D1584" s="6" t="s">
        <v>4822</v>
      </c>
      <c r="E1584" s="7" t="s">
        <v>4823</v>
      </c>
      <c r="F1584" s="13"/>
      <c r="G1584" s="14"/>
      <c r="H1584" s="15">
        <v>32</v>
      </c>
      <c r="I1584" s="14"/>
      <c r="J1584" s="15">
        <v>18</v>
      </c>
      <c r="K1584" s="5">
        <v>4</v>
      </c>
      <c r="L1584" s="16">
        <v>52</v>
      </c>
      <c r="M1584" s="12"/>
      <c r="N1584" s="14">
        <f>L1584*M1584</f>
        <v>0</v>
      </c>
      <c r="O1584" s="23">
        <f>0.278*M1584</f>
        <v>0</v>
      </c>
      <c r="P1584" s="24">
        <f>0.00032*M1584</f>
        <v>0</v>
      </c>
      <c r="Q1584" s="25"/>
      <c r="R1584" s="26" t="s">
        <v>4824</v>
      </c>
      <c r="S1584" s="26" t="s">
        <v>93</v>
      </c>
      <c r="T1584" s="6" t="str">
        <f>HYPERLINK("https://kanzpp.ru/api/getInfo/image/f8e8aa2a-9fee-11ee-a257-00155d82e908")</f>
        <v>https://kanzpp.ru/api/getInfo/image/f8e8aa2a-9fee-11ee-a257-00155d82e908</v>
      </c>
      <c r="U1584" s="6"/>
      <c r="V1584" s="33" t="s">
        <v>35</v>
      </c>
    </row>
    <row r="1585" spans="2:22" ht="22.95" customHeight="1" outlineLevel="3" x14ac:dyDescent="0.2">
      <c r="B1585" s="81" t="s">
        <v>4825</v>
      </c>
      <c r="C1585" s="81"/>
      <c r="D1585" s="81"/>
      <c r="L1585">
        <v>0</v>
      </c>
    </row>
    <row r="1586" spans="2:22" ht="22.95" customHeight="1" outlineLevel="4" x14ac:dyDescent="0.2">
      <c r="B1586" s="82" t="s">
        <v>4826</v>
      </c>
      <c r="C1586" s="82"/>
      <c r="D1586" s="82"/>
      <c r="L1586">
        <v>0</v>
      </c>
    </row>
    <row r="1587" spans="2:22" ht="21" customHeight="1" outlineLevel="5" x14ac:dyDescent="0.2">
      <c r="B1587" s="69">
        <v>1135</v>
      </c>
      <c r="C1587" s="6" t="s">
        <v>4827</v>
      </c>
      <c r="D1587" s="6" t="s">
        <v>4828</v>
      </c>
      <c r="E1587" s="7" t="s">
        <v>4829</v>
      </c>
      <c r="F1587" s="13"/>
      <c r="G1587" s="14"/>
      <c r="H1587" s="14"/>
      <c r="I1587" s="15">
        <v>16</v>
      </c>
      <c r="J1587" s="15">
        <v>2</v>
      </c>
      <c r="K1587" s="5">
        <v>2</v>
      </c>
      <c r="L1587" s="16">
        <v>52.74666666666667</v>
      </c>
      <c r="M1587" s="12"/>
      <c r="N1587" s="14">
        <f>L1587*M1587</f>
        <v>0</v>
      </c>
      <c r="O1587" s="23">
        <f>0.152*M1587</f>
        <v>0</v>
      </c>
      <c r="P1587" s="24">
        <f>0.00042*M1587</f>
        <v>0</v>
      </c>
      <c r="Q1587" s="25"/>
      <c r="R1587" s="26" t="s">
        <v>4830</v>
      </c>
      <c r="S1587" s="26" t="s">
        <v>93</v>
      </c>
      <c r="T1587" s="6" t="str">
        <f>HYPERLINK("https://kanzpp.ru/api/getInfo/image/88418641-1f02-11ee-a23c-00155d82e902")</f>
        <v>https://kanzpp.ru/api/getInfo/image/88418641-1f02-11ee-a23c-00155d82e902</v>
      </c>
      <c r="U1587" s="6"/>
      <c r="V1587" s="33" t="s">
        <v>35</v>
      </c>
    </row>
    <row r="1588" spans="2:22" ht="22.95" customHeight="1" outlineLevel="4" x14ac:dyDescent="0.2">
      <c r="B1588" s="82" t="s">
        <v>4831</v>
      </c>
      <c r="C1588" s="82"/>
      <c r="D1588" s="82"/>
      <c r="L1588">
        <v>0</v>
      </c>
    </row>
    <row r="1589" spans="2:22" ht="21" customHeight="1" outlineLevel="5" x14ac:dyDescent="0.2">
      <c r="B1589" s="69">
        <v>1136</v>
      </c>
      <c r="C1589" s="6" t="s">
        <v>4832</v>
      </c>
      <c r="D1589" s="6" t="s">
        <v>4833</v>
      </c>
      <c r="E1589" s="7" t="s">
        <v>4834</v>
      </c>
      <c r="F1589" s="13"/>
      <c r="G1589" s="14"/>
      <c r="H1589" s="14"/>
      <c r="I1589" s="15">
        <v>20</v>
      </c>
      <c r="J1589" s="15">
        <v>497</v>
      </c>
      <c r="K1589" s="5">
        <v>4</v>
      </c>
      <c r="L1589" s="16">
        <v>38.666666666666664</v>
      </c>
      <c r="M1589" s="12"/>
      <c r="N1589" s="14">
        <f>L1589*M1589</f>
        <v>0</v>
      </c>
      <c r="O1589" s="23">
        <f>0.248*M1589</f>
        <v>0</v>
      </c>
      <c r="P1589" s="31">
        <f>0.0004*M1589</f>
        <v>0</v>
      </c>
      <c r="Q1589" s="25"/>
      <c r="R1589" s="26" t="s">
        <v>4835</v>
      </c>
      <c r="S1589" s="26" t="s">
        <v>93</v>
      </c>
      <c r="T1589" s="6" t="str">
        <f>HYPERLINK("https://kanzpp.ru/api/getInfo/image/08cdd32a-2b5b-11ec-a20f-ac1f6b442185")</f>
        <v>https://kanzpp.ru/api/getInfo/image/08cdd32a-2b5b-11ec-a20f-ac1f6b442185</v>
      </c>
      <c r="U1589" s="6"/>
      <c r="V1589" s="33" t="s">
        <v>35</v>
      </c>
    </row>
    <row r="1590" spans="2:22" ht="21" customHeight="1" outlineLevel="5" x14ac:dyDescent="0.2">
      <c r="B1590" s="69">
        <v>1137</v>
      </c>
      <c r="C1590" s="6" t="s">
        <v>4836</v>
      </c>
      <c r="D1590" s="6" t="s">
        <v>4837</v>
      </c>
      <c r="E1590" s="7" t="s">
        <v>4838</v>
      </c>
      <c r="F1590" s="13"/>
      <c r="G1590" s="14"/>
      <c r="H1590" s="14"/>
      <c r="I1590" s="15">
        <v>20</v>
      </c>
      <c r="J1590" s="14" t="s">
        <v>144</v>
      </c>
      <c r="K1590" s="5">
        <v>4</v>
      </c>
      <c r="L1590" s="16">
        <v>38.666666666666664</v>
      </c>
      <c r="M1590" s="12"/>
      <c r="N1590" s="14">
        <f>L1590*M1590</f>
        <v>0</v>
      </c>
      <c r="O1590" s="23">
        <f>0.254*M1590</f>
        <v>0</v>
      </c>
      <c r="P1590" s="31">
        <f>0.0004*M1590</f>
        <v>0</v>
      </c>
      <c r="Q1590" s="25"/>
      <c r="R1590" s="26" t="s">
        <v>4839</v>
      </c>
      <c r="S1590" s="26" t="s">
        <v>93</v>
      </c>
      <c r="T1590" s="6" t="str">
        <f>HYPERLINK("https://kanzpp.ru/api/getInfo/image/a342c8ff-2b5a-11ec-a20f-ac1f6b442185")</f>
        <v>https://kanzpp.ru/api/getInfo/image/a342c8ff-2b5a-11ec-a20f-ac1f6b442185</v>
      </c>
      <c r="U1590" s="6"/>
      <c r="V1590" s="33" t="s">
        <v>35</v>
      </c>
    </row>
    <row r="1591" spans="2:22" ht="21" customHeight="1" outlineLevel="5" x14ac:dyDescent="0.2">
      <c r="B1591" s="69">
        <v>1138</v>
      </c>
      <c r="C1591" s="6" t="s">
        <v>4840</v>
      </c>
      <c r="D1591" s="6" t="s">
        <v>4841</v>
      </c>
      <c r="E1591" s="7" t="s">
        <v>4842</v>
      </c>
      <c r="F1591" s="13"/>
      <c r="G1591" s="14"/>
      <c r="H1591" s="14"/>
      <c r="I1591" s="15">
        <v>20</v>
      </c>
      <c r="J1591" s="15">
        <v>170</v>
      </c>
      <c r="K1591" s="5">
        <v>4</v>
      </c>
      <c r="L1591" s="16">
        <v>38.666666666666664</v>
      </c>
      <c r="M1591" s="12"/>
      <c r="N1591" s="14">
        <f>L1591*M1591</f>
        <v>0</v>
      </c>
      <c r="O1591" s="23">
        <f>0.245*M1591</f>
        <v>0</v>
      </c>
      <c r="P1591" s="24">
        <f>0.00037*M1591</f>
        <v>0</v>
      </c>
      <c r="Q1591" s="25"/>
      <c r="R1591" s="26" t="s">
        <v>4843</v>
      </c>
      <c r="S1591" s="26" t="s">
        <v>93</v>
      </c>
      <c r="T1591" s="6" t="str">
        <f>HYPERLINK("https://kanzpp.ru/api/getInfo/image/3427b296-b2ad-11ed-a230-00155d82e902")</f>
        <v>https://kanzpp.ru/api/getInfo/image/3427b296-b2ad-11ed-a230-00155d82e902</v>
      </c>
      <c r="U1591" s="6"/>
      <c r="V1591" s="33" t="s">
        <v>35</v>
      </c>
    </row>
    <row r="1592" spans="2:22" ht="21" customHeight="1" outlineLevel="5" x14ac:dyDescent="0.2">
      <c r="B1592" s="69">
        <v>1139</v>
      </c>
      <c r="C1592" s="6" t="s">
        <v>4844</v>
      </c>
      <c r="D1592" s="6" t="s">
        <v>4845</v>
      </c>
      <c r="E1592" s="7" t="s">
        <v>4846</v>
      </c>
      <c r="F1592" s="13"/>
      <c r="G1592" s="14"/>
      <c r="H1592" s="14"/>
      <c r="I1592" s="15">
        <v>20</v>
      </c>
      <c r="J1592" s="14" t="s">
        <v>144</v>
      </c>
      <c r="K1592" s="5">
        <v>4</v>
      </c>
      <c r="L1592" s="16">
        <v>38.666666666666664</v>
      </c>
      <c r="M1592" s="12"/>
      <c r="N1592" s="14">
        <f>L1592*M1592</f>
        <v>0</v>
      </c>
      <c r="O1592" s="23">
        <f>0.252*M1592</f>
        <v>0</v>
      </c>
      <c r="P1592" s="24">
        <f>0.00047*M1592</f>
        <v>0</v>
      </c>
      <c r="Q1592" s="25"/>
      <c r="R1592" s="26" t="s">
        <v>4847</v>
      </c>
      <c r="S1592" s="26" t="s">
        <v>93</v>
      </c>
      <c r="T1592" s="6" t="str">
        <f>HYPERLINK("https://kanzpp.ru/api/getInfo/image/6c6f6ccb-b2ad-11ed-a230-00155d82e902")</f>
        <v>https://kanzpp.ru/api/getInfo/image/6c6f6ccb-b2ad-11ed-a230-00155d82e902</v>
      </c>
      <c r="U1592" s="6"/>
      <c r="V1592" s="33" t="s">
        <v>35</v>
      </c>
    </row>
    <row r="1593" spans="2:22" ht="21" customHeight="1" outlineLevel="5" x14ac:dyDescent="0.2">
      <c r="B1593" s="69">
        <v>1140</v>
      </c>
      <c r="C1593" s="6" t="s">
        <v>4848</v>
      </c>
      <c r="D1593" s="6" t="s">
        <v>181</v>
      </c>
      <c r="E1593" s="7" t="s">
        <v>182</v>
      </c>
      <c r="F1593" s="13"/>
      <c r="G1593" s="14"/>
      <c r="H1593" s="14"/>
      <c r="I1593" s="15">
        <v>20</v>
      </c>
      <c r="J1593" s="14" t="s">
        <v>144</v>
      </c>
      <c r="K1593" s="5">
        <v>4</v>
      </c>
      <c r="L1593" s="16">
        <v>38.666666666666664</v>
      </c>
      <c r="M1593" s="12"/>
      <c r="N1593" s="14">
        <f>L1593*M1593</f>
        <v>0</v>
      </c>
      <c r="O1593" s="23">
        <f>0.248*M1593</f>
        <v>0</v>
      </c>
      <c r="P1593" s="31">
        <f>0.0004*M1593</f>
        <v>0</v>
      </c>
      <c r="Q1593" s="25"/>
      <c r="R1593" s="26" t="s">
        <v>183</v>
      </c>
      <c r="S1593" s="26" t="s">
        <v>93</v>
      </c>
      <c r="T1593" s="6" t="str">
        <f>HYPERLINK("https://kanzpp.ru/api/getInfo/image/93da184c-2b5b-11ec-a20f-ac1f6b442185")</f>
        <v>https://kanzpp.ru/api/getInfo/image/93da184c-2b5b-11ec-a20f-ac1f6b442185</v>
      </c>
      <c r="U1593" s="6"/>
      <c r="V1593" s="33" t="s">
        <v>35</v>
      </c>
    </row>
    <row r="1594" spans="2:22" ht="22.95" customHeight="1" outlineLevel="3" x14ac:dyDescent="0.2">
      <c r="B1594" s="81" t="s">
        <v>4849</v>
      </c>
      <c r="C1594" s="81"/>
      <c r="D1594" s="81"/>
      <c r="L1594">
        <v>0</v>
      </c>
    </row>
    <row r="1595" spans="2:22" ht="21" customHeight="1" outlineLevel="4" x14ac:dyDescent="0.2">
      <c r="B1595" s="69">
        <v>1141</v>
      </c>
      <c r="C1595" s="6" t="s">
        <v>4850</v>
      </c>
      <c r="D1595" s="6" t="s">
        <v>4851</v>
      </c>
      <c r="E1595" s="7" t="s">
        <v>4852</v>
      </c>
      <c r="F1595" s="13"/>
      <c r="G1595" s="14"/>
      <c r="H1595" s="14"/>
      <c r="I1595" s="15">
        <v>10</v>
      </c>
      <c r="J1595" s="15">
        <v>1</v>
      </c>
      <c r="K1595" s="5">
        <v>1</v>
      </c>
      <c r="L1595" s="16">
        <v>132</v>
      </c>
      <c r="M1595" s="12"/>
      <c r="N1595" s="14">
        <f>L1595*M1595</f>
        <v>0</v>
      </c>
      <c r="O1595" s="23">
        <f>0.268*M1595</f>
        <v>0</v>
      </c>
      <c r="P1595" s="24">
        <f>0.00063*M1595</f>
        <v>0</v>
      </c>
      <c r="Q1595" s="25"/>
      <c r="R1595" s="26" t="s">
        <v>4853</v>
      </c>
      <c r="S1595" s="26" t="s">
        <v>93</v>
      </c>
      <c r="T1595" s="6" t="str">
        <f>HYPERLINK("https://kanzpp.ru/api/getInfo/image/f689a62c-09f2-11ee-a23b-00155d82e902")</f>
        <v>https://kanzpp.ru/api/getInfo/image/f689a62c-09f2-11ee-a23b-00155d82e902</v>
      </c>
      <c r="U1595" s="6"/>
      <c r="V1595" s="33" t="s">
        <v>35</v>
      </c>
    </row>
    <row r="1596" spans="2:22" ht="22.95" customHeight="1" outlineLevel="4" x14ac:dyDescent="0.2">
      <c r="B1596" s="82" t="s">
        <v>4854</v>
      </c>
      <c r="C1596" s="82"/>
      <c r="D1596" s="82"/>
      <c r="L1596">
        <v>0</v>
      </c>
    </row>
    <row r="1597" spans="2:22" ht="21" customHeight="1" outlineLevel="5" x14ac:dyDescent="0.2">
      <c r="B1597" s="69">
        <v>1142</v>
      </c>
      <c r="C1597" s="6" t="s">
        <v>4855</v>
      </c>
      <c r="D1597" s="6" t="s">
        <v>4856</v>
      </c>
      <c r="E1597" s="7" t="s">
        <v>4857</v>
      </c>
      <c r="F1597" s="13"/>
      <c r="G1597" s="14"/>
      <c r="H1597" s="14"/>
      <c r="I1597" s="15">
        <v>10</v>
      </c>
      <c r="J1597" s="15">
        <v>2</v>
      </c>
      <c r="K1597" s="5">
        <v>2</v>
      </c>
      <c r="L1597" s="16">
        <v>38.666666666666664</v>
      </c>
      <c r="M1597" s="12"/>
      <c r="N1597" s="14">
        <f>L1597*M1597</f>
        <v>0</v>
      </c>
      <c r="O1597" s="23">
        <f>0.228*M1597</f>
        <v>0</v>
      </c>
      <c r="P1597" s="24">
        <f>0.00052*M1597</f>
        <v>0</v>
      </c>
      <c r="Q1597" s="25"/>
      <c r="R1597" s="26" t="s">
        <v>4858</v>
      </c>
      <c r="S1597" s="26" t="s">
        <v>93</v>
      </c>
      <c r="T1597" s="6" t="str">
        <f>HYPERLINK("https://kanzpp.ru/api/getInfo/image/ce316613-e865-11eb-a209-ac1f6b442185")</f>
        <v>https://kanzpp.ru/api/getInfo/image/ce316613-e865-11eb-a209-ac1f6b442185</v>
      </c>
      <c r="U1597" s="6"/>
      <c r="V1597" s="33" t="s">
        <v>35</v>
      </c>
    </row>
    <row r="1598" spans="2:22" ht="22.95" customHeight="1" outlineLevel="4" x14ac:dyDescent="0.2">
      <c r="B1598" s="82" t="s">
        <v>4859</v>
      </c>
      <c r="C1598" s="82"/>
      <c r="D1598" s="82"/>
      <c r="L1598">
        <v>0</v>
      </c>
    </row>
    <row r="1599" spans="2:22" ht="21" customHeight="1" outlineLevel="5" x14ac:dyDescent="0.2">
      <c r="B1599" s="69">
        <v>1143</v>
      </c>
      <c r="C1599" s="6" t="s">
        <v>4860</v>
      </c>
      <c r="D1599" s="6" t="s">
        <v>4861</v>
      </c>
      <c r="E1599" s="7" t="s">
        <v>4862</v>
      </c>
      <c r="F1599" s="13"/>
      <c r="G1599" s="14"/>
      <c r="H1599" s="14"/>
      <c r="I1599" s="15">
        <v>10</v>
      </c>
      <c r="J1599" s="15">
        <v>362</v>
      </c>
      <c r="K1599" s="5">
        <v>4</v>
      </c>
      <c r="L1599" s="16">
        <v>38.666666666666664</v>
      </c>
      <c r="M1599" s="12"/>
      <c r="N1599" s="14">
        <f>L1599*M1599</f>
        <v>0</v>
      </c>
      <c r="O1599" s="23">
        <f>0.349*M1599</f>
        <v>0</v>
      </c>
      <c r="P1599" s="24">
        <f>0.00086*M1599</f>
        <v>0</v>
      </c>
      <c r="Q1599" s="25"/>
      <c r="R1599" s="26" t="s">
        <v>4863</v>
      </c>
      <c r="S1599" s="26" t="s">
        <v>93</v>
      </c>
      <c r="T1599" s="6" t="str">
        <f>HYPERLINK("https://kanzpp.ru/api/getInfo/image/a2a21a79-1a39-11ee-a23b-00155d82e902")</f>
        <v>https://kanzpp.ru/api/getInfo/image/a2a21a79-1a39-11ee-a23b-00155d82e902</v>
      </c>
      <c r="U1599" s="6"/>
      <c r="V1599" s="33" t="s">
        <v>35</v>
      </c>
    </row>
    <row r="1600" spans="2:22" ht="21" customHeight="1" outlineLevel="5" x14ac:dyDescent="0.2">
      <c r="B1600" s="69">
        <v>1144</v>
      </c>
      <c r="C1600" s="6" t="s">
        <v>4864</v>
      </c>
      <c r="D1600" s="6" t="s">
        <v>4865</v>
      </c>
      <c r="E1600" s="7" t="s">
        <v>4866</v>
      </c>
      <c r="F1600" s="13"/>
      <c r="G1600" s="14"/>
      <c r="H1600" s="14"/>
      <c r="I1600" s="15">
        <v>10</v>
      </c>
      <c r="J1600" s="15">
        <v>10</v>
      </c>
      <c r="K1600" s="5">
        <v>4</v>
      </c>
      <c r="L1600" s="16">
        <v>78.666666666666671</v>
      </c>
      <c r="M1600" s="12"/>
      <c r="N1600" s="14">
        <f>L1600*M1600</f>
        <v>0</v>
      </c>
      <c r="O1600" s="27">
        <f>0.4*M1600</f>
        <v>0</v>
      </c>
      <c r="P1600" s="24">
        <f>0.00063*M1600</f>
        <v>0</v>
      </c>
      <c r="Q1600" s="25"/>
      <c r="R1600" s="26" t="s">
        <v>4867</v>
      </c>
      <c r="S1600" s="26" t="s">
        <v>93</v>
      </c>
      <c r="T1600" s="6" t="str">
        <f>HYPERLINK("https://kanzpp.ru/api/getInfo/image/bdeadcd0-67b7-11eb-a26d-ac1f6b442184")</f>
        <v>https://kanzpp.ru/api/getInfo/image/bdeadcd0-67b7-11eb-a26d-ac1f6b442184</v>
      </c>
      <c r="U1600" s="6"/>
      <c r="V1600" s="33" t="s">
        <v>35</v>
      </c>
    </row>
    <row r="1601" spans="2:22" ht="22.95" customHeight="1" outlineLevel="4" x14ac:dyDescent="0.2">
      <c r="B1601" s="82" t="s">
        <v>4868</v>
      </c>
      <c r="C1601" s="82"/>
      <c r="D1601" s="82"/>
      <c r="L1601">
        <v>0</v>
      </c>
    </row>
    <row r="1602" spans="2:22" ht="21" customHeight="1" outlineLevel="5" x14ac:dyDescent="0.2">
      <c r="B1602" s="69">
        <v>1145</v>
      </c>
      <c r="C1602" s="6" t="s">
        <v>4869</v>
      </c>
      <c r="D1602" s="6" t="s">
        <v>4870</v>
      </c>
      <c r="E1602" s="7" t="s">
        <v>4871</v>
      </c>
      <c r="F1602" s="13"/>
      <c r="G1602" s="14"/>
      <c r="H1602" s="14"/>
      <c r="I1602" s="15">
        <v>10</v>
      </c>
      <c r="J1602" s="15">
        <v>527</v>
      </c>
      <c r="K1602" s="5">
        <v>6</v>
      </c>
      <c r="L1602" s="16">
        <v>38.666666666666664</v>
      </c>
      <c r="M1602" s="12"/>
      <c r="N1602" s="14">
        <f>L1602*M1602</f>
        <v>0</v>
      </c>
      <c r="O1602" s="23">
        <f>0.223*M1602</f>
        <v>0</v>
      </c>
      <c r="P1602" s="24">
        <f>0.00084*M1602</f>
        <v>0</v>
      </c>
      <c r="Q1602" s="25"/>
      <c r="R1602" s="26" t="s">
        <v>4872</v>
      </c>
      <c r="S1602" s="26" t="s">
        <v>93</v>
      </c>
      <c r="T1602" s="6" t="str">
        <f>HYPERLINK("https://kanzpp.ru/api/getInfo/image/3d9ffaa3-4b26-11ee-a244-00155d82e902")</f>
        <v>https://kanzpp.ru/api/getInfo/image/3d9ffaa3-4b26-11ee-a244-00155d82e902</v>
      </c>
      <c r="U1602" s="6"/>
      <c r="V1602" s="33" t="s">
        <v>35</v>
      </c>
    </row>
    <row r="1603" spans="2:22" ht="22.95" customHeight="1" outlineLevel="4" x14ac:dyDescent="0.2">
      <c r="B1603" s="82" t="s">
        <v>4873</v>
      </c>
      <c r="C1603" s="82"/>
      <c r="D1603" s="82"/>
      <c r="L1603">
        <v>0</v>
      </c>
    </row>
    <row r="1604" spans="2:22" ht="21" customHeight="1" outlineLevel="5" x14ac:dyDescent="0.2">
      <c r="B1604" s="69">
        <v>1146</v>
      </c>
      <c r="C1604" s="6" t="s">
        <v>4874</v>
      </c>
      <c r="D1604" s="6" t="s">
        <v>4875</v>
      </c>
      <c r="E1604" s="7" t="s">
        <v>4876</v>
      </c>
      <c r="F1604" s="13"/>
      <c r="G1604" s="14"/>
      <c r="H1604" s="14"/>
      <c r="I1604" s="15">
        <v>5</v>
      </c>
      <c r="J1604" s="15">
        <v>5</v>
      </c>
      <c r="K1604" s="5">
        <v>4</v>
      </c>
      <c r="L1604" s="16">
        <v>132</v>
      </c>
      <c r="M1604" s="12"/>
      <c r="N1604" s="14">
        <f>L1604*M1604</f>
        <v>0</v>
      </c>
      <c r="O1604" s="23">
        <f>0.482*M1604</f>
        <v>0</v>
      </c>
      <c r="P1604" s="24">
        <f>0.00096*M1604</f>
        <v>0</v>
      </c>
      <c r="Q1604" s="25"/>
      <c r="R1604" s="26" t="s">
        <v>4877</v>
      </c>
      <c r="S1604" s="26" t="s">
        <v>93</v>
      </c>
      <c r="T1604" s="6" t="str">
        <f>HYPERLINK("https://kanzpp.ru/api/getInfo/image/26a2a0b5-4b27-11ee-a244-00155d82e902")</f>
        <v>https://kanzpp.ru/api/getInfo/image/26a2a0b5-4b27-11ee-a244-00155d82e902</v>
      </c>
      <c r="U1604" s="6"/>
      <c r="V1604" s="33" t="s">
        <v>35</v>
      </c>
    </row>
    <row r="1605" spans="2:22" ht="21" customHeight="1" outlineLevel="5" x14ac:dyDescent="0.2">
      <c r="B1605" s="69">
        <v>1147</v>
      </c>
      <c r="C1605" s="6" t="s">
        <v>4878</v>
      </c>
      <c r="D1605" s="6" t="s">
        <v>4879</v>
      </c>
      <c r="E1605" s="7" t="s">
        <v>4880</v>
      </c>
      <c r="F1605" s="13"/>
      <c r="G1605" s="14"/>
      <c r="H1605" s="14"/>
      <c r="I1605" s="15">
        <v>5</v>
      </c>
      <c r="J1605" s="15">
        <v>1</v>
      </c>
      <c r="K1605" s="5">
        <v>1</v>
      </c>
      <c r="L1605" s="16">
        <v>132</v>
      </c>
      <c r="M1605" s="12"/>
      <c r="N1605" s="14">
        <f>L1605*M1605</f>
        <v>0</v>
      </c>
      <c r="O1605" s="23">
        <f>0.482*M1605</f>
        <v>0</v>
      </c>
      <c r="P1605" s="24">
        <f>0.00096*M1605</f>
        <v>0</v>
      </c>
      <c r="Q1605" s="25"/>
      <c r="R1605" s="26" t="s">
        <v>4881</v>
      </c>
      <c r="S1605" s="26" t="s">
        <v>93</v>
      </c>
      <c r="T1605" s="6" t="str">
        <f>HYPERLINK("https://kanzpp.ru/api/getInfo/image/d1b2b8d2-4b26-11ee-a244-00155d82e902")</f>
        <v>https://kanzpp.ru/api/getInfo/image/d1b2b8d2-4b26-11ee-a244-00155d82e902</v>
      </c>
      <c r="U1605" s="6"/>
      <c r="V1605" s="33" t="s">
        <v>35</v>
      </c>
    </row>
    <row r="1606" spans="2:22" ht="21" customHeight="1" outlineLevel="5" x14ac:dyDescent="0.2">
      <c r="B1606" s="69">
        <v>1148</v>
      </c>
      <c r="C1606" s="6" t="s">
        <v>4882</v>
      </c>
      <c r="D1606" s="6" t="s">
        <v>4883</v>
      </c>
      <c r="E1606" s="7" t="s">
        <v>4884</v>
      </c>
      <c r="F1606" s="13"/>
      <c r="G1606" s="14"/>
      <c r="H1606" s="14"/>
      <c r="I1606" s="15">
        <v>5</v>
      </c>
      <c r="J1606" s="14" t="s">
        <v>144</v>
      </c>
      <c r="K1606" s="5">
        <v>4</v>
      </c>
      <c r="L1606" s="16">
        <v>38.666666666666664</v>
      </c>
      <c r="M1606" s="12"/>
      <c r="N1606" s="14">
        <f>L1606*M1606</f>
        <v>0</v>
      </c>
      <c r="O1606" s="23">
        <f>0.466*M1606</f>
        <v>0</v>
      </c>
      <c r="P1606" s="31">
        <f>0.0014*M1606</f>
        <v>0</v>
      </c>
      <c r="Q1606" s="25"/>
      <c r="R1606" s="26" t="s">
        <v>4885</v>
      </c>
      <c r="S1606" s="26" t="s">
        <v>93</v>
      </c>
      <c r="T1606" s="6" t="str">
        <f>HYPERLINK("https://kanzpp.ru/api/getInfo/image/846b885d-4b27-11ee-a244-00155d82e902")</f>
        <v>https://kanzpp.ru/api/getInfo/image/846b885d-4b27-11ee-a244-00155d82e902</v>
      </c>
      <c r="U1606" s="6"/>
      <c r="V1606" s="33" t="s">
        <v>35</v>
      </c>
    </row>
    <row r="1607" spans="2:22" ht="22.95" customHeight="1" outlineLevel="4" x14ac:dyDescent="0.2">
      <c r="B1607" s="82" t="s">
        <v>4886</v>
      </c>
      <c r="C1607" s="82"/>
      <c r="D1607" s="82"/>
      <c r="L1607">
        <v>0</v>
      </c>
    </row>
    <row r="1608" spans="2:22" ht="21" customHeight="1" outlineLevel="5" x14ac:dyDescent="0.2">
      <c r="B1608" s="69">
        <v>1149</v>
      </c>
      <c r="C1608" s="6" t="s">
        <v>4887</v>
      </c>
      <c r="D1608" s="6" t="s">
        <v>4888</v>
      </c>
      <c r="E1608" s="7" t="s">
        <v>4889</v>
      </c>
      <c r="F1608" s="13"/>
      <c r="G1608" s="14"/>
      <c r="H1608" s="14"/>
      <c r="I1608" s="15">
        <v>16</v>
      </c>
      <c r="J1608" s="15">
        <v>4</v>
      </c>
      <c r="K1608" s="5">
        <v>4</v>
      </c>
      <c r="L1608" s="16">
        <v>89.2</v>
      </c>
      <c r="M1608" s="12"/>
      <c r="N1608" s="14">
        <f>L1608*M1608</f>
        <v>0</v>
      </c>
      <c r="O1608" s="23">
        <f>0.193*M1608</f>
        <v>0</v>
      </c>
      <c r="P1608" s="24">
        <f>0.00047*M1608</f>
        <v>0</v>
      </c>
      <c r="Q1608" s="25"/>
      <c r="R1608" s="26" t="s">
        <v>4890</v>
      </c>
      <c r="S1608" s="26" t="s">
        <v>93</v>
      </c>
      <c r="T1608" s="6" t="str">
        <f>HYPERLINK("https://kanzpp.ru/api/getInfo/image/5cde46a7-4b2a-11ee-a244-00155d82e902")</f>
        <v>https://kanzpp.ru/api/getInfo/image/5cde46a7-4b2a-11ee-a244-00155d82e902</v>
      </c>
      <c r="U1608" s="6"/>
      <c r="V1608" s="33" t="s">
        <v>35</v>
      </c>
    </row>
    <row r="1609" spans="2:22" ht="22.95" customHeight="1" outlineLevel="4" x14ac:dyDescent="0.2">
      <c r="B1609" s="82" t="s">
        <v>4891</v>
      </c>
      <c r="C1609" s="82"/>
      <c r="D1609" s="82"/>
      <c r="L1609">
        <v>0</v>
      </c>
    </row>
    <row r="1610" spans="2:22" ht="21" customHeight="1" outlineLevel="5" x14ac:dyDescent="0.2">
      <c r="B1610" s="69">
        <v>1150</v>
      </c>
      <c r="C1610" s="6" t="s">
        <v>4892</v>
      </c>
      <c r="D1610" s="6" t="s">
        <v>4893</v>
      </c>
      <c r="E1610" s="7" t="s">
        <v>4894</v>
      </c>
      <c r="F1610" s="13"/>
      <c r="G1610" s="14"/>
      <c r="H1610" s="15">
        <v>10</v>
      </c>
      <c r="I1610" s="14"/>
      <c r="J1610" s="14" t="s">
        <v>144</v>
      </c>
      <c r="K1610" s="5">
        <v>3</v>
      </c>
      <c r="L1610" s="16">
        <v>38.666666666666664</v>
      </c>
      <c r="M1610" s="12"/>
      <c r="N1610" s="14">
        <f>L1610*M1610</f>
        <v>0</v>
      </c>
      <c r="O1610" s="23">
        <f>0.473*M1610</f>
        <v>0</v>
      </c>
      <c r="P1610" s="24">
        <f>0.00088*M1610</f>
        <v>0</v>
      </c>
      <c r="Q1610" s="25"/>
      <c r="R1610" s="26"/>
      <c r="S1610" s="26" t="s">
        <v>93</v>
      </c>
      <c r="T1610" s="6" t="str">
        <f>HYPERLINK("https://kanzpp.ru/api/getInfo/image/cf7d4187-8635-11eb-a277-ac1f6b442184")</f>
        <v>https://kanzpp.ru/api/getInfo/image/cf7d4187-8635-11eb-a277-ac1f6b442184</v>
      </c>
      <c r="U1610" s="6" t="s">
        <v>4895</v>
      </c>
      <c r="V1610" s="33" t="s">
        <v>35</v>
      </c>
    </row>
    <row r="1611" spans="2:22" ht="22.95" customHeight="1" outlineLevel="4" x14ac:dyDescent="0.2">
      <c r="B1611" s="82" t="s">
        <v>4896</v>
      </c>
      <c r="C1611" s="82"/>
      <c r="D1611" s="82"/>
      <c r="L1611">
        <v>0</v>
      </c>
    </row>
    <row r="1612" spans="2:22" ht="21" customHeight="1" outlineLevel="5" x14ac:dyDescent="0.2">
      <c r="B1612" s="69">
        <v>1151</v>
      </c>
      <c r="C1612" s="6" t="s">
        <v>4897</v>
      </c>
      <c r="D1612" s="6" t="s">
        <v>4898</v>
      </c>
      <c r="E1612" s="7" t="s">
        <v>4899</v>
      </c>
      <c r="F1612" s="13"/>
      <c r="G1612" s="14"/>
      <c r="H1612" s="15">
        <v>20</v>
      </c>
      <c r="I1612" s="15">
        <v>20</v>
      </c>
      <c r="J1612" s="14" t="s">
        <v>144</v>
      </c>
      <c r="K1612" s="5">
        <v>5</v>
      </c>
      <c r="L1612" s="16">
        <v>25.333333333333332</v>
      </c>
      <c r="M1612" s="12"/>
      <c r="N1612" s="14">
        <f>L1612*M1612</f>
        <v>0</v>
      </c>
      <c r="O1612" s="28">
        <f>0.17*M1612</f>
        <v>0</v>
      </c>
      <c r="P1612" s="24">
        <f>0.00029*M1612</f>
        <v>0</v>
      </c>
      <c r="Q1612" s="25"/>
      <c r="R1612" s="26" t="s">
        <v>4900</v>
      </c>
      <c r="S1612" s="26" t="s">
        <v>93</v>
      </c>
      <c r="T1612" s="6" t="str">
        <f>HYPERLINK("https://kanzpp.ru/api/getInfo/image/c5893752-9c55-11eb-a201-ac1f6b442185")</f>
        <v>https://kanzpp.ru/api/getInfo/image/c5893752-9c55-11eb-a201-ac1f6b442185</v>
      </c>
      <c r="U1612" s="6"/>
      <c r="V1612" s="33" t="s">
        <v>35</v>
      </c>
    </row>
    <row r="1613" spans="2:22" ht="22.95" customHeight="1" outlineLevel="3" x14ac:dyDescent="0.2">
      <c r="B1613" s="81" t="s">
        <v>4901</v>
      </c>
      <c r="C1613" s="81"/>
      <c r="D1613" s="81"/>
      <c r="L1613">
        <v>0</v>
      </c>
    </row>
    <row r="1614" spans="2:22" ht="22.95" customHeight="1" outlineLevel="4" x14ac:dyDescent="0.2">
      <c r="B1614" s="82" t="s">
        <v>4902</v>
      </c>
      <c r="C1614" s="82"/>
      <c r="D1614" s="82"/>
      <c r="L1614">
        <v>0</v>
      </c>
    </row>
    <row r="1615" spans="2:22" ht="22.95" customHeight="1" outlineLevel="5" x14ac:dyDescent="0.2">
      <c r="B1615" s="83" t="s">
        <v>4903</v>
      </c>
      <c r="C1615" s="83"/>
      <c r="D1615" s="83"/>
      <c r="L1615">
        <v>0</v>
      </c>
    </row>
    <row r="1616" spans="2:22" ht="21" customHeight="1" outlineLevel="6" x14ac:dyDescent="0.2">
      <c r="B1616" s="70">
        <v>1152</v>
      </c>
      <c r="C1616" s="3" t="s">
        <v>4904</v>
      </c>
      <c r="D1616" s="3" t="s">
        <v>4905</v>
      </c>
      <c r="E1616" s="4" t="s">
        <v>4906</v>
      </c>
      <c r="F1616" s="8"/>
      <c r="G1616" s="9"/>
      <c r="H1616" s="9"/>
      <c r="I1616" s="10">
        <v>20</v>
      </c>
      <c r="J1616" s="10">
        <v>5</v>
      </c>
      <c r="K1616" s="2">
        <v>5</v>
      </c>
      <c r="L1616" s="18">
        <v>17.52</v>
      </c>
      <c r="M1616" s="12"/>
      <c r="N1616" s="9">
        <f>L1616*M1616</f>
        <v>0</v>
      </c>
      <c r="O1616" s="29">
        <f>0.093*M1616</f>
        <v>0</v>
      </c>
      <c r="P1616" s="30">
        <f>0.00017*M1616</f>
        <v>0</v>
      </c>
      <c r="Q1616" s="21"/>
      <c r="R1616" s="22" t="s">
        <v>4907</v>
      </c>
      <c r="S1616" s="22" t="s">
        <v>93</v>
      </c>
      <c r="T1616" s="3" t="str">
        <f>HYPERLINK("https://kanzpp.ru/api/getInfo/image/f63527e9-f8f9-11e6-81a9-5cf3fc4a2490")</f>
        <v>https://kanzpp.ru/api/getInfo/image/f63527e9-f8f9-11e6-81a9-5cf3fc4a2490</v>
      </c>
      <c r="U1616" s="3"/>
      <c r="V1616" s="32" t="s">
        <v>30</v>
      </c>
    </row>
    <row r="1617" spans="2:22" ht="21" customHeight="1" outlineLevel="6" x14ac:dyDescent="0.2">
      <c r="B1617" s="70">
        <v>1153</v>
      </c>
      <c r="C1617" s="3" t="s">
        <v>4908</v>
      </c>
      <c r="D1617" s="3" t="s">
        <v>4909</v>
      </c>
      <c r="E1617" s="4" t="s">
        <v>4910</v>
      </c>
      <c r="F1617" s="8"/>
      <c r="G1617" s="9"/>
      <c r="H1617" s="9"/>
      <c r="I1617" s="10">
        <v>20</v>
      </c>
      <c r="J1617" s="10">
        <v>3</v>
      </c>
      <c r="K1617" s="2">
        <v>3</v>
      </c>
      <c r="L1617" s="18">
        <v>17.52</v>
      </c>
      <c r="M1617" s="12"/>
      <c r="N1617" s="9">
        <f>L1617*M1617</f>
        <v>0</v>
      </c>
      <c r="O1617" s="29">
        <f>0.093*M1617</f>
        <v>0</v>
      </c>
      <c r="P1617" s="30">
        <f>0.00017*M1617</f>
        <v>0</v>
      </c>
      <c r="Q1617" s="21"/>
      <c r="R1617" s="22" t="s">
        <v>4911</v>
      </c>
      <c r="S1617" s="22" t="s">
        <v>93</v>
      </c>
      <c r="T1617" s="3" t="str">
        <f>HYPERLINK("https://kanzpp.ru/api/getInfo/image/66b744ea-f8f9-11e6-81a9-5cf3fc4a2490")</f>
        <v>https://kanzpp.ru/api/getInfo/image/66b744ea-f8f9-11e6-81a9-5cf3fc4a2490</v>
      </c>
      <c r="U1617" s="3"/>
      <c r="V1617" s="32" t="s">
        <v>30</v>
      </c>
    </row>
    <row r="1618" spans="2:22" ht="22.95" customHeight="1" outlineLevel="3" x14ac:dyDescent="0.2">
      <c r="B1618" s="81" t="s">
        <v>4912</v>
      </c>
      <c r="C1618" s="81"/>
      <c r="D1618" s="81"/>
      <c r="L1618">
        <v>0</v>
      </c>
    </row>
    <row r="1619" spans="2:22" ht="22.95" customHeight="1" outlineLevel="4" x14ac:dyDescent="0.2">
      <c r="B1619" s="82" t="s">
        <v>4913</v>
      </c>
      <c r="C1619" s="82"/>
      <c r="D1619" s="82"/>
      <c r="L1619">
        <v>0</v>
      </c>
    </row>
    <row r="1620" spans="2:22" ht="21" customHeight="1" outlineLevel="5" x14ac:dyDescent="0.2">
      <c r="B1620" s="69">
        <v>1154</v>
      </c>
      <c r="C1620" s="6" t="s">
        <v>4914</v>
      </c>
      <c r="D1620" s="6" t="s">
        <v>4915</v>
      </c>
      <c r="E1620" s="7" t="s">
        <v>4916</v>
      </c>
      <c r="F1620" s="13"/>
      <c r="G1620" s="14"/>
      <c r="H1620" s="15">
        <v>40</v>
      </c>
      <c r="I1620" s="14"/>
      <c r="J1620" s="15">
        <v>47</v>
      </c>
      <c r="K1620" s="5">
        <v>4</v>
      </c>
      <c r="L1620" s="16">
        <v>92</v>
      </c>
      <c r="M1620" s="12"/>
      <c r="N1620" s="14">
        <f>L1620*M1620</f>
        <v>0</v>
      </c>
      <c r="O1620" s="23">
        <f>0.282*M1620</f>
        <v>0</v>
      </c>
      <c r="P1620" s="24">
        <f>0.00051*M1620</f>
        <v>0</v>
      </c>
      <c r="Q1620" s="25"/>
      <c r="R1620" s="26"/>
      <c r="S1620" s="26" t="s">
        <v>93</v>
      </c>
      <c r="T1620" s="6" t="str">
        <f>HYPERLINK("https://kanzpp.ru/api/getInfo/image/ac8f6e2e-d482-11ed-a231-00155d82e902")</f>
        <v>https://kanzpp.ru/api/getInfo/image/ac8f6e2e-d482-11ed-a231-00155d82e902</v>
      </c>
      <c r="U1620" s="6" t="s">
        <v>4917</v>
      </c>
      <c r="V1620" s="33" t="s">
        <v>35</v>
      </c>
    </row>
    <row r="1621" spans="2:22" ht="21" customHeight="1" outlineLevel="5" x14ac:dyDescent="0.2">
      <c r="B1621" s="69">
        <v>1155</v>
      </c>
      <c r="C1621" s="6" t="s">
        <v>4918</v>
      </c>
      <c r="D1621" s="6" t="s">
        <v>4919</v>
      </c>
      <c r="E1621" s="7" t="s">
        <v>4920</v>
      </c>
      <c r="F1621" s="13"/>
      <c r="G1621" s="14"/>
      <c r="H1621" s="15">
        <v>40</v>
      </c>
      <c r="I1621" s="14"/>
      <c r="J1621" s="15">
        <v>26</v>
      </c>
      <c r="K1621" s="5">
        <v>4</v>
      </c>
      <c r="L1621" s="16">
        <v>92</v>
      </c>
      <c r="M1621" s="12"/>
      <c r="N1621" s="14">
        <f>L1621*M1621</f>
        <v>0</v>
      </c>
      <c r="O1621" s="23">
        <f>0.286*M1621</f>
        <v>0</v>
      </c>
      <c r="P1621" s="24">
        <f>0.00051*M1621</f>
        <v>0</v>
      </c>
      <c r="Q1621" s="25"/>
      <c r="R1621" s="26"/>
      <c r="S1621" s="26" t="s">
        <v>93</v>
      </c>
      <c r="T1621" s="6" t="str">
        <f>HYPERLINK("https://kanzpp.ru/api/getInfo/image/fe27f10d-d482-11ed-a231-00155d82e902")</f>
        <v>https://kanzpp.ru/api/getInfo/image/fe27f10d-d482-11ed-a231-00155d82e902</v>
      </c>
      <c r="U1621" s="6" t="s">
        <v>4921</v>
      </c>
      <c r="V1621" s="33" t="s">
        <v>35</v>
      </c>
    </row>
    <row r="1622" spans="2:22" ht="21" customHeight="1" outlineLevel="5" x14ac:dyDescent="0.2">
      <c r="B1622" s="70">
        <v>1156</v>
      </c>
      <c r="C1622" s="3" t="s">
        <v>4922</v>
      </c>
      <c r="D1622" s="3" t="s">
        <v>4923</v>
      </c>
      <c r="E1622" s="4" t="s">
        <v>4920</v>
      </c>
      <c r="F1622" s="8"/>
      <c r="G1622" s="9"/>
      <c r="H1622" s="9"/>
      <c r="I1622" s="10">
        <v>16</v>
      </c>
      <c r="J1622" s="10">
        <v>16</v>
      </c>
      <c r="K1622" s="2">
        <v>4</v>
      </c>
      <c r="L1622" s="18">
        <v>42.053333333333335</v>
      </c>
      <c r="M1622" s="12"/>
      <c r="N1622" s="9">
        <f>L1622*M1622</f>
        <v>0</v>
      </c>
      <c r="O1622" s="29">
        <f>0.286*M1622</f>
        <v>0</v>
      </c>
      <c r="P1622" s="30">
        <f>0.00043*M1622</f>
        <v>0</v>
      </c>
      <c r="Q1622" s="21"/>
      <c r="R1622" s="22" t="s">
        <v>4921</v>
      </c>
      <c r="S1622" s="22" t="s">
        <v>93</v>
      </c>
      <c r="T1622" s="3" t="str">
        <f>HYPERLINK("https://kanzpp.ru/api/getInfo/image/983fc416-b73e-11ed-a230-00155d82e902")</f>
        <v>https://kanzpp.ru/api/getInfo/image/983fc416-b73e-11ed-a230-00155d82e902</v>
      </c>
      <c r="U1622" s="3"/>
      <c r="V1622" s="32" t="s">
        <v>30</v>
      </c>
    </row>
    <row r="1623" spans="2:22" ht="22.95" customHeight="1" outlineLevel="3" x14ac:dyDescent="0.2">
      <c r="B1623" s="81" t="s">
        <v>4924</v>
      </c>
      <c r="C1623" s="81"/>
      <c r="D1623" s="81"/>
      <c r="L1623">
        <v>0</v>
      </c>
    </row>
    <row r="1624" spans="2:22" ht="22.95" customHeight="1" outlineLevel="4" x14ac:dyDescent="0.2">
      <c r="B1624" s="82" t="s">
        <v>4925</v>
      </c>
      <c r="C1624" s="82"/>
      <c r="D1624" s="82"/>
      <c r="L1624">
        <v>0</v>
      </c>
    </row>
    <row r="1625" spans="2:22" ht="21" customHeight="1" outlineLevel="5" x14ac:dyDescent="0.2">
      <c r="B1625" s="69">
        <v>1157</v>
      </c>
      <c r="C1625" s="6" t="s">
        <v>4926</v>
      </c>
      <c r="D1625" s="6" t="s">
        <v>4927</v>
      </c>
      <c r="E1625" s="7" t="s">
        <v>4928</v>
      </c>
      <c r="F1625" s="13"/>
      <c r="G1625" s="14"/>
      <c r="H1625" s="14"/>
      <c r="I1625" s="15">
        <v>24</v>
      </c>
      <c r="J1625" s="15">
        <v>5</v>
      </c>
      <c r="K1625" s="5">
        <v>5</v>
      </c>
      <c r="L1625" s="16">
        <v>38.4</v>
      </c>
      <c r="M1625" s="12"/>
      <c r="N1625" s="14">
        <f>L1625*M1625</f>
        <v>0</v>
      </c>
      <c r="O1625" s="23">
        <f>0.151*M1625</f>
        <v>0</v>
      </c>
      <c r="P1625" s="24">
        <f>0.00014*M1625</f>
        <v>0</v>
      </c>
      <c r="Q1625" s="25"/>
      <c r="R1625" s="26" t="s">
        <v>4929</v>
      </c>
      <c r="S1625" s="26" t="s">
        <v>93</v>
      </c>
      <c r="T1625" s="6" t="str">
        <f>HYPERLINK("https://kanzpp.ru/api/getInfo/image/25fe5680-1a40-11ee-a23b-00155d82e902")</f>
        <v>https://kanzpp.ru/api/getInfo/image/25fe5680-1a40-11ee-a23b-00155d82e902</v>
      </c>
      <c r="U1625" s="6"/>
      <c r="V1625" s="33" t="s">
        <v>35</v>
      </c>
    </row>
    <row r="1626" spans="2:22" ht="21" customHeight="1" outlineLevel="5" x14ac:dyDescent="0.2">
      <c r="B1626" s="69">
        <v>1158</v>
      </c>
      <c r="C1626" s="6" t="s">
        <v>4930</v>
      </c>
      <c r="D1626" s="6" t="s">
        <v>4931</v>
      </c>
      <c r="E1626" s="7" t="s">
        <v>4932</v>
      </c>
      <c r="F1626" s="13"/>
      <c r="G1626" s="14"/>
      <c r="H1626" s="14"/>
      <c r="I1626" s="15">
        <v>24</v>
      </c>
      <c r="J1626" s="14" t="s">
        <v>144</v>
      </c>
      <c r="K1626" s="5">
        <v>5</v>
      </c>
      <c r="L1626" s="16">
        <v>25.333333333333332</v>
      </c>
      <c r="M1626" s="12"/>
      <c r="N1626" s="14">
        <f>L1626*M1626</f>
        <v>0</v>
      </c>
      <c r="O1626" s="23">
        <f>0.151*M1626</f>
        <v>0</v>
      </c>
      <c r="P1626" s="24">
        <f>0.00019*M1626</f>
        <v>0</v>
      </c>
      <c r="Q1626" s="25"/>
      <c r="R1626" s="26" t="s">
        <v>4933</v>
      </c>
      <c r="S1626" s="26" t="s">
        <v>93</v>
      </c>
      <c r="T1626" s="6" t="str">
        <f>HYPERLINK("https://kanzpp.ru/api/getInfo/image/68cb2ee9-1a38-11ee-a23b-00155d82e902")</f>
        <v>https://kanzpp.ru/api/getInfo/image/68cb2ee9-1a38-11ee-a23b-00155d82e902</v>
      </c>
      <c r="U1626" s="6"/>
      <c r="V1626" s="33" t="s">
        <v>35</v>
      </c>
    </row>
    <row r="1627" spans="2:22" ht="21" customHeight="1" outlineLevel="5" x14ac:dyDescent="0.2">
      <c r="B1627" s="69">
        <v>1159</v>
      </c>
      <c r="C1627" s="6" t="s">
        <v>4934</v>
      </c>
      <c r="D1627" s="6" t="s">
        <v>4935</v>
      </c>
      <c r="E1627" s="7" t="s">
        <v>4936</v>
      </c>
      <c r="F1627" s="13"/>
      <c r="G1627" s="14"/>
      <c r="H1627" s="14"/>
      <c r="I1627" s="15">
        <v>24</v>
      </c>
      <c r="J1627" s="15">
        <v>3</v>
      </c>
      <c r="K1627" s="5">
        <v>3</v>
      </c>
      <c r="L1627" s="16">
        <v>38.4</v>
      </c>
      <c r="M1627" s="12"/>
      <c r="N1627" s="14">
        <f>L1627*M1627</f>
        <v>0</v>
      </c>
      <c r="O1627" s="23">
        <f>0.155*M1627</f>
        <v>0</v>
      </c>
      <c r="P1627" s="31">
        <f>0.0001*M1627</f>
        <v>0</v>
      </c>
      <c r="Q1627" s="25"/>
      <c r="R1627" s="26" t="s">
        <v>4937</v>
      </c>
      <c r="S1627" s="26" t="s">
        <v>93</v>
      </c>
      <c r="T1627" s="6" t="str">
        <f>HYPERLINK("https://kanzpp.ru/api/getInfo/image/05954b4c-1a40-11ee-a23b-00155d82e902")</f>
        <v>https://kanzpp.ru/api/getInfo/image/05954b4c-1a40-11ee-a23b-00155d82e902</v>
      </c>
      <c r="U1627" s="6"/>
      <c r="V1627" s="33" t="s">
        <v>35</v>
      </c>
    </row>
    <row r="1628" spans="2:22" ht="22.95" customHeight="1" outlineLevel="3" x14ac:dyDescent="0.2">
      <c r="B1628" s="81" t="s">
        <v>4938</v>
      </c>
      <c r="C1628" s="81"/>
      <c r="D1628" s="81"/>
      <c r="L1628">
        <v>0</v>
      </c>
    </row>
    <row r="1629" spans="2:22" ht="22.95" customHeight="1" outlineLevel="4" x14ac:dyDescent="0.2">
      <c r="B1629" s="82" t="s">
        <v>4939</v>
      </c>
      <c r="C1629" s="82"/>
      <c r="D1629" s="82"/>
      <c r="L1629">
        <v>0</v>
      </c>
    </row>
    <row r="1630" spans="2:22" ht="21" customHeight="1" outlineLevel="5" x14ac:dyDescent="0.2">
      <c r="B1630" s="69">
        <v>1160</v>
      </c>
      <c r="C1630" s="6" t="s">
        <v>4940</v>
      </c>
      <c r="D1630" s="6" t="s">
        <v>4941</v>
      </c>
      <c r="E1630" s="7" t="s">
        <v>4942</v>
      </c>
      <c r="F1630" s="13"/>
      <c r="G1630" s="14"/>
      <c r="H1630" s="15">
        <v>50</v>
      </c>
      <c r="I1630" s="14"/>
      <c r="J1630" s="15">
        <v>50</v>
      </c>
      <c r="K1630" s="5">
        <v>4</v>
      </c>
      <c r="L1630" s="16">
        <v>65.333333333333329</v>
      </c>
      <c r="M1630" s="12"/>
      <c r="N1630" s="14">
        <f>L1630*M1630</f>
        <v>0</v>
      </c>
      <c r="O1630" s="23">
        <f>0.079*M1630</f>
        <v>0</v>
      </c>
      <c r="P1630" s="31">
        <f>0.0002*M1630</f>
        <v>0</v>
      </c>
      <c r="Q1630" s="25"/>
      <c r="R1630" s="26" t="s">
        <v>4943</v>
      </c>
      <c r="S1630" s="26" t="s">
        <v>93</v>
      </c>
      <c r="T1630" s="6" t="str">
        <f>HYPERLINK("https://kanzpp.ru/api/getInfo/image/ddf3df7a-199c-11ee-a23b-00155d82e902")</f>
        <v>https://kanzpp.ru/api/getInfo/image/ddf3df7a-199c-11ee-a23b-00155d82e902</v>
      </c>
      <c r="U1630" s="6"/>
      <c r="V1630" s="33" t="s">
        <v>35</v>
      </c>
    </row>
    <row r="1631" spans="2:22" ht="21" customHeight="1" outlineLevel="5" x14ac:dyDescent="0.2">
      <c r="B1631" s="69">
        <v>1161</v>
      </c>
      <c r="C1631" s="6" t="s">
        <v>4944</v>
      </c>
      <c r="D1631" s="6" t="s">
        <v>4945</v>
      </c>
      <c r="E1631" s="7" t="s">
        <v>4946</v>
      </c>
      <c r="F1631" s="13"/>
      <c r="G1631" s="14"/>
      <c r="H1631" s="15">
        <v>50</v>
      </c>
      <c r="I1631" s="14"/>
      <c r="J1631" s="14" t="s">
        <v>144</v>
      </c>
      <c r="K1631" s="5">
        <v>4</v>
      </c>
      <c r="L1631" s="16">
        <v>38.666666666666664</v>
      </c>
      <c r="M1631" s="12"/>
      <c r="N1631" s="14">
        <f>L1631*M1631</f>
        <v>0</v>
      </c>
      <c r="O1631" s="23">
        <f>0.081*M1631</f>
        <v>0</v>
      </c>
      <c r="P1631" s="24">
        <f>0.00015*M1631</f>
        <v>0</v>
      </c>
      <c r="Q1631" s="25"/>
      <c r="R1631" s="26" t="s">
        <v>4947</v>
      </c>
      <c r="S1631" s="26" t="s">
        <v>93</v>
      </c>
      <c r="T1631" s="6" t="str">
        <f>HYPERLINK("https://kanzpp.ru/api/getInfo/image/32250bd9-199d-11ee-a23b-00155d82e902")</f>
        <v>https://kanzpp.ru/api/getInfo/image/32250bd9-199d-11ee-a23b-00155d82e902</v>
      </c>
      <c r="U1631" s="6"/>
      <c r="V1631" s="33" t="s">
        <v>35</v>
      </c>
    </row>
    <row r="1632" spans="2:22" ht="21" customHeight="1" outlineLevel="5" x14ac:dyDescent="0.2">
      <c r="B1632" s="69">
        <v>1162</v>
      </c>
      <c r="C1632" s="6" t="s">
        <v>4948</v>
      </c>
      <c r="D1632" s="6" t="s">
        <v>4949</v>
      </c>
      <c r="E1632" s="7" t="s">
        <v>4950</v>
      </c>
      <c r="F1632" s="13"/>
      <c r="G1632" s="14"/>
      <c r="H1632" s="15">
        <v>50</v>
      </c>
      <c r="I1632" s="14"/>
      <c r="J1632" s="15">
        <v>179</v>
      </c>
      <c r="K1632" s="5">
        <v>4</v>
      </c>
      <c r="L1632" s="16">
        <v>65.333333333333329</v>
      </c>
      <c r="M1632" s="12"/>
      <c r="N1632" s="14">
        <f>L1632*M1632</f>
        <v>0</v>
      </c>
      <c r="O1632" s="23">
        <f>0.083*M1632</f>
        <v>0</v>
      </c>
      <c r="P1632" s="24">
        <f>0.00024*M1632</f>
        <v>0</v>
      </c>
      <c r="Q1632" s="25"/>
      <c r="R1632" s="26" t="s">
        <v>4951</v>
      </c>
      <c r="S1632" s="26" t="s">
        <v>93</v>
      </c>
      <c r="T1632" s="6" t="str">
        <f>HYPERLINK("https://kanzpp.ru/api/getInfo/image/59d8ed67-199d-11ee-a23b-00155d82e902")</f>
        <v>https://kanzpp.ru/api/getInfo/image/59d8ed67-199d-11ee-a23b-00155d82e902</v>
      </c>
      <c r="U1632" s="6"/>
      <c r="V1632" s="33" t="s">
        <v>35</v>
      </c>
    </row>
    <row r="1633" spans="2:22" ht="21" customHeight="1" outlineLevel="5" x14ac:dyDescent="0.2">
      <c r="B1633" s="69">
        <v>1163</v>
      </c>
      <c r="C1633" s="6" t="s">
        <v>4952</v>
      </c>
      <c r="D1633" s="6" t="s">
        <v>4953</v>
      </c>
      <c r="E1633" s="7" t="s">
        <v>4954</v>
      </c>
      <c r="F1633" s="13"/>
      <c r="G1633" s="14"/>
      <c r="H1633" s="15">
        <v>50</v>
      </c>
      <c r="I1633" s="14"/>
      <c r="J1633" s="15">
        <v>369</v>
      </c>
      <c r="K1633" s="5">
        <v>4</v>
      </c>
      <c r="L1633" s="16">
        <v>38.666666666666664</v>
      </c>
      <c r="M1633" s="12"/>
      <c r="N1633" s="14">
        <f>L1633*M1633</f>
        <v>0</v>
      </c>
      <c r="O1633" s="23">
        <f>0.078*M1633</f>
        <v>0</v>
      </c>
      <c r="P1633" s="24">
        <f>0.00025*M1633</f>
        <v>0</v>
      </c>
      <c r="Q1633" s="25"/>
      <c r="R1633" s="26" t="s">
        <v>4955</v>
      </c>
      <c r="S1633" s="26" t="s">
        <v>93</v>
      </c>
      <c r="T1633" s="6" t="str">
        <f>HYPERLINK("https://kanzpp.ru/api/getInfo/image/9b591ea0-199d-11ee-a23b-00155d82e902")</f>
        <v>https://kanzpp.ru/api/getInfo/image/9b591ea0-199d-11ee-a23b-00155d82e902</v>
      </c>
      <c r="U1633" s="6"/>
      <c r="V1633" s="33" t="s">
        <v>35</v>
      </c>
    </row>
    <row r="1634" spans="2:22" ht="22.95" customHeight="1" outlineLevel="4" x14ac:dyDescent="0.2">
      <c r="B1634" s="82" t="s">
        <v>4956</v>
      </c>
      <c r="C1634" s="82"/>
      <c r="D1634" s="82"/>
      <c r="L1634">
        <v>0</v>
      </c>
    </row>
    <row r="1635" spans="2:22" ht="21" customHeight="1" outlineLevel="5" x14ac:dyDescent="0.2">
      <c r="B1635" s="69">
        <v>1164</v>
      </c>
      <c r="C1635" s="6" t="s">
        <v>4957</v>
      </c>
      <c r="D1635" s="6" t="s">
        <v>4958</v>
      </c>
      <c r="E1635" s="7" t="s">
        <v>4959</v>
      </c>
      <c r="F1635" s="13"/>
      <c r="G1635" s="14"/>
      <c r="H1635" s="14"/>
      <c r="I1635" s="15">
        <v>20</v>
      </c>
      <c r="J1635" s="15">
        <v>486</v>
      </c>
      <c r="K1635" s="5">
        <v>2</v>
      </c>
      <c r="L1635" s="16">
        <v>52</v>
      </c>
      <c r="M1635" s="12"/>
      <c r="N1635" s="14">
        <f>L1635*M1635</f>
        <v>0</v>
      </c>
      <c r="O1635" s="23">
        <f>0.106*M1635</f>
        <v>0</v>
      </c>
      <c r="P1635" s="24">
        <f>0.00028*M1635</f>
        <v>0</v>
      </c>
      <c r="Q1635" s="25"/>
      <c r="R1635" s="26" t="s">
        <v>4960</v>
      </c>
      <c r="S1635" s="26" t="s">
        <v>93</v>
      </c>
      <c r="T1635" s="6" t="str">
        <f>HYPERLINK("https://kanzpp.ru/api/getInfo/image/aa2b2f08-4b23-11ee-a244-00155d82e902")</f>
        <v>https://kanzpp.ru/api/getInfo/image/aa2b2f08-4b23-11ee-a244-00155d82e902</v>
      </c>
      <c r="U1635" s="6"/>
      <c r="V1635" s="33" t="s">
        <v>35</v>
      </c>
    </row>
    <row r="1636" spans="2:22" ht="21" customHeight="1" outlineLevel="5" x14ac:dyDescent="0.2">
      <c r="B1636" s="69">
        <v>1165</v>
      </c>
      <c r="C1636" s="6" t="s">
        <v>4961</v>
      </c>
      <c r="D1636" s="6" t="s">
        <v>4962</v>
      </c>
      <c r="E1636" s="7" t="s">
        <v>4963</v>
      </c>
      <c r="F1636" s="13"/>
      <c r="G1636" s="14"/>
      <c r="H1636" s="14"/>
      <c r="I1636" s="15">
        <v>20</v>
      </c>
      <c r="J1636" s="15">
        <v>139</v>
      </c>
      <c r="K1636" s="5">
        <v>2</v>
      </c>
      <c r="L1636" s="16">
        <v>52</v>
      </c>
      <c r="M1636" s="12"/>
      <c r="N1636" s="14">
        <f>L1636*M1636</f>
        <v>0</v>
      </c>
      <c r="O1636" s="23">
        <f>0.106*M1636</f>
        <v>0</v>
      </c>
      <c r="P1636" s="24">
        <f>0.00018*M1636</f>
        <v>0</v>
      </c>
      <c r="Q1636" s="25"/>
      <c r="R1636" s="26" t="s">
        <v>4964</v>
      </c>
      <c r="S1636" s="26" t="s">
        <v>93</v>
      </c>
      <c r="T1636" s="6" t="str">
        <f>HYPERLINK("https://kanzpp.ru/api/getInfo/image/22238c3e-4b23-11ee-a244-00155d82e902")</f>
        <v>https://kanzpp.ru/api/getInfo/image/22238c3e-4b23-11ee-a244-00155d82e902</v>
      </c>
      <c r="U1636" s="6"/>
      <c r="V1636" s="33" t="s">
        <v>35</v>
      </c>
    </row>
    <row r="1637" spans="2:22" ht="21" customHeight="1" outlineLevel="5" x14ac:dyDescent="0.2">
      <c r="B1637" s="69">
        <v>1166</v>
      </c>
      <c r="C1637" s="6" t="s">
        <v>4965</v>
      </c>
      <c r="D1637" s="6" t="s">
        <v>4966</v>
      </c>
      <c r="E1637" s="7" t="s">
        <v>4967</v>
      </c>
      <c r="F1637" s="13"/>
      <c r="G1637" s="14"/>
      <c r="H1637" s="14"/>
      <c r="I1637" s="15">
        <v>20</v>
      </c>
      <c r="J1637" s="15">
        <v>191</v>
      </c>
      <c r="K1637" s="5">
        <v>2</v>
      </c>
      <c r="L1637" s="16">
        <v>52</v>
      </c>
      <c r="M1637" s="12"/>
      <c r="N1637" s="14">
        <f>L1637*M1637</f>
        <v>0</v>
      </c>
      <c r="O1637" s="23">
        <f>0.111*M1637</f>
        <v>0</v>
      </c>
      <c r="P1637" s="24">
        <f>0.00014*M1637</f>
        <v>0</v>
      </c>
      <c r="Q1637" s="25"/>
      <c r="R1637" s="26" t="s">
        <v>4968</v>
      </c>
      <c r="S1637" s="26" t="s">
        <v>93</v>
      </c>
      <c r="T1637" s="6" t="str">
        <f>HYPERLINK("https://kanzpp.ru/api/getInfo/image/08288a5a-4b24-11ee-a244-00155d82e902")</f>
        <v>https://kanzpp.ru/api/getInfo/image/08288a5a-4b24-11ee-a244-00155d82e902</v>
      </c>
      <c r="U1637" s="6"/>
      <c r="V1637" s="33" t="s">
        <v>35</v>
      </c>
    </row>
    <row r="1638" spans="2:22" ht="22.95" customHeight="1" outlineLevel="4" x14ac:dyDescent="0.2">
      <c r="B1638" s="82" t="s">
        <v>4969</v>
      </c>
      <c r="C1638" s="82"/>
      <c r="D1638" s="82"/>
      <c r="L1638">
        <v>0</v>
      </c>
    </row>
    <row r="1639" spans="2:22" ht="21" customHeight="1" outlineLevel="5" x14ac:dyDescent="0.2">
      <c r="B1639" s="69">
        <v>1167</v>
      </c>
      <c r="C1639" s="6" t="s">
        <v>4970</v>
      </c>
      <c r="D1639" s="6" t="s">
        <v>4971</v>
      </c>
      <c r="E1639" s="7" t="s">
        <v>4972</v>
      </c>
      <c r="F1639" s="13"/>
      <c r="G1639" s="14"/>
      <c r="H1639" s="14"/>
      <c r="I1639" s="15">
        <v>20</v>
      </c>
      <c r="J1639" s="15">
        <v>135</v>
      </c>
      <c r="K1639" s="5">
        <v>2</v>
      </c>
      <c r="L1639" s="16">
        <v>38.666666666666664</v>
      </c>
      <c r="M1639" s="12"/>
      <c r="N1639" s="14">
        <f>L1639*M1639</f>
        <v>0</v>
      </c>
      <c r="O1639" s="28">
        <f>0.22*M1639</f>
        <v>0</v>
      </c>
      <c r="P1639" s="24">
        <f>0.00034*M1639</f>
        <v>0</v>
      </c>
      <c r="Q1639" s="25"/>
      <c r="R1639" s="26" t="s">
        <v>4973</v>
      </c>
      <c r="S1639" s="26" t="s">
        <v>93</v>
      </c>
      <c r="T1639" s="6" t="str">
        <f>HYPERLINK("https://kanzpp.ru/api/getInfo/image/f22313e3-ad6a-11eb-a201-ac1f6b442185")</f>
        <v>https://kanzpp.ru/api/getInfo/image/f22313e3-ad6a-11eb-a201-ac1f6b442185</v>
      </c>
      <c r="U1639" s="6"/>
      <c r="V1639" s="33" t="s">
        <v>35</v>
      </c>
    </row>
    <row r="1640" spans="2:22" ht="22.95" customHeight="1" outlineLevel="2" x14ac:dyDescent="0.2">
      <c r="B1640" s="80" t="s">
        <v>4974</v>
      </c>
      <c r="C1640" s="80"/>
      <c r="D1640" s="80"/>
      <c r="L1640">
        <v>0</v>
      </c>
    </row>
    <row r="1641" spans="2:22" ht="22.95" customHeight="1" outlineLevel="3" x14ac:dyDescent="0.2">
      <c r="B1641" s="81" t="s">
        <v>4975</v>
      </c>
      <c r="C1641" s="81"/>
      <c r="D1641" s="81"/>
      <c r="L1641">
        <v>0</v>
      </c>
    </row>
    <row r="1642" spans="2:22" ht="21" customHeight="1" outlineLevel="4" x14ac:dyDescent="0.2">
      <c r="B1642" s="69">
        <v>1168</v>
      </c>
      <c r="C1642" s="6" t="s">
        <v>4976</v>
      </c>
      <c r="D1642" s="6" t="s">
        <v>4977</v>
      </c>
      <c r="E1642" s="7" t="s">
        <v>4978</v>
      </c>
      <c r="F1642" s="13"/>
      <c r="G1642" s="14"/>
      <c r="H1642" s="14"/>
      <c r="I1642" s="15">
        <v>15</v>
      </c>
      <c r="J1642" s="15">
        <v>450</v>
      </c>
      <c r="K1642" s="5">
        <v>15</v>
      </c>
      <c r="L1642" s="16">
        <v>6.5333333333333341</v>
      </c>
      <c r="M1642" s="12"/>
      <c r="N1642" s="14">
        <f>L1642*M1642</f>
        <v>0</v>
      </c>
      <c r="O1642" s="23">
        <f>0.206*M1642</f>
        <v>0</v>
      </c>
      <c r="P1642" s="24">
        <f>0.00073*M1642</f>
        <v>0</v>
      </c>
      <c r="Q1642" s="25"/>
      <c r="R1642" s="26" t="s">
        <v>4979</v>
      </c>
      <c r="S1642" s="26" t="s">
        <v>29</v>
      </c>
      <c r="T1642" s="6" t="str">
        <f>HYPERLINK("https://kanzpp.ru/api/getInfo/image/854b1d99-5bf8-11eb-a26d-ac1f6b442184")</f>
        <v>https://kanzpp.ru/api/getInfo/image/854b1d99-5bf8-11eb-a26d-ac1f6b442184</v>
      </c>
      <c r="U1642" s="6"/>
      <c r="V1642" s="33" t="s">
        <v>35</v>
      </c>
    </row>
    <row r="1643" spans="2:22" ht="22.95" customHeight="1" outlineLevel="3" x14ac:dyDescent="0.2">
      <c r="B1643" s="81" t="s">
        <v>4980</v>
      </c>
      <c r="C1643" s="81"/>
      <c r="D1643" s="81"/>
      <c r="L1643">
        <v>0</v>
      </c>
    </row>
    <row r="1644" spans="2:22" ht="21" customHeight="1" outlineLevel="4" x14ac:dyDescent="0.2">
      <c r="B1644" s="70">
        <v>1169</v>
      </c>
      <c r="C1644" s="3" t="s">
        <v>4981</v>
      </c>
      <c r="D1644" s="3" t="s">
        <v>4982</v>
      </c>
      <c r="E1644" s="4" t="s">
        <v>4983</v>
      </c>
      <c r="F1644" s="8"/>
      <c r="G1644" s="9"/>
      <c r="H1644" s="9"/>
      <c r="I1644" s="10">
        <v>20</v>
      </c>
      <c r="J1644" s="10">
        <v>3</v>
      </c>
      <c r="K1644" s="2">
        <v>3</v>
      </c>
      <c r="L1644" s="18">
        <v>31.746666666666666</v>
      </c>
      <c r="M1644" s="12"/>
      <c r="N1644" s="9">
        <f>L1644*M1644</f>
        <v>0</v>
      </c>
      <c r="O1644" s="11">
        <f>0.17*M1644</f>
        <v>0</v>
      </c>
      <c r="P1644" s="30">
        <f>0.00019*M1644</f>
        <v>0</v>
      </c>
      <c r="Q1644" s="21"/>
      <c r="R1644" s="22" t="s">
        <v>4984</v>
      </c>
      <c r="S1644" s="22" t="s">
        <v>29</v>
      </c>
      <c r="T1644" s="3" t="str">
        <f>HYPERLINK("https://kanzpp.ru/api/getInfo/image/9e6e6466-f06a-11eb-a20d-ac1f6b442185")</f>
        <v>https://kanzpp.ru/api/getInfo/image/9e6e6466-f06a-11eb-a20d-ac1f6b442185</v>
      </c>
      <c r="U1644" s="3"/>
      <c r="V1644" s="32" t="s">
        <v>30</v>
      </c>
    </row>
    <row r="1645" spans="2:22" ht="22.95" customHeight="1" outlineLevel="3" x14ac:dyDescent="0.2">
      <c r="B1645" s="81" t="s">
        <v>4985</v>
      </c>
      <c r="C1645" s="81"/>
      <c r="D1645" s="81"/>
      <c r="L1645">
        <v>0</v>
      </c>
    </row>
    <row r="1646" spans="2:22" ht="21" customHeight="1" outlineLevel="4" x14ac:dyDescent="0.2">
      <c r="B1646" s="69">
        <v>1170</v>
      </c>
      <c r="C1646" s="6" t="s">
        <v>4986</v>
      </c>
      <c r="D1646" s="6" t="s">
        <v>4987</v>
      </c>
      <c r="E1646" s="7" t="s">
        <v>4988</v>
      </c>
      <c r="F1646" s="13"/>
      <c r="G1646" s="14"/>
      <c r="H1646" s="15">
        <v>20</v>
      </c>
      <c r="I1646" s="14"/>
      <c r="J1646" s="15">
        <v>65</v>
      </c>
      <c r="K1646" s="5">
        <v>6</v>
      </c>
      <c r="L1646" s="16">
        <v>26.533333333333331</v>
      </c>
      <c r="M1646" s="12"/>
      <c r="N1646" s="14">
        <f>L1646*M1646</f>
        <v>0</v>
      </c>
      <c r="O1646" s="23">
        <f>2.563*M1646</f>
        <v>0</v>
      </c>
      <c r="P1646" s="24">
        <f>0.01058*M1646</f>
        <v>0</v>
      </c>
      <c r="Q1646" s="25"/>
      <c r="R1646" s="26"/>
      <c r="S1646" s="26" t="s">
        <v>29</v>
      </c>
      <c r="T1646" s="6" t="str">
        <f>HYPERLINK("https://kanzpp.ru/api/getInfo/image/733a6d3a-579b-11ee-a245-00155d82e902")</f>
        <v>https://kanzpp.ru/api/getInfo/image/733a6d3a-579b-11ee-a245-00155d82e902</v>
      </c>
      <c r="U1646" s="6"/>
      <c r="V1646" s="33" t="s">
        <v>35</v>
      </c>
    </row>
    <row r="1647" spans="2:22" ht="22.95" customHeight="1" outlineLevel="3" x14ac:dyDescent="0.2">
      <c r="B1647" s="81" t="s">
        <v>4989</v>
      </c>
      <c r="C1647" s="81"/>
      <c r="D1647" s="81"/>
      <c r="L1647">
        <v>0</v>
      </c>
    </row>
    <row r="1648" spans="2:22" ht="21" customHeight="1" outlineLevel="4" x14ac:dyDescent="0.2">
      <c r="B1648" s="69">
        <v>1171</v>
      </c>
      <c r="C1648" s="6" t="s">
        <v>4990</v>
      </c>
      <c r="D1648" s="6" t="s">
        <v>4991</v>
      </c>
      <c r="E1648" s="7" t="s">
        <v>4992</v>
      </c>
      <c r="F1648" s="13"/>
      <c r="G1648" s="14"/>
      <c r="H1648" s="15">
        <v>10</v>
      </c>
      <c r="I1648" s="14"/>
      <c r="J1648" s="14" t="s">
        <v>144</v>
      </c>
      <c r="K1648" s="5">
        <v>1</v>
      </c>
      <c r="L1648" s="16">
        <v>79.86666666666666</v>
      </c>
      <c r="M1648" s="12"/>
      <c r="N1648" s="14">
        <f>L1648*M1648</f>
        <v>0</v>
      </c>
      <c r="O1648" s="23">
        <f>0.354*M1648</f>
        <v>0</v>
      </c>
      <c r="P1648" s="24">
        <f>0.00065*M1648</f>
        <v>0</v>
      </c>
      <c r="Q1648" s="25"/>
      <c r="R1648" s="26" t="s">
        <v>4993</v>
      </c>
      <c r="S1648" s="26" t="s">
        <v>29</v>
      </c>
      <c r="T1648" s="6" t="str">
        <f>HYPERLINK("https://kanzpp.ru/api/getInfo/image/f688fbea-cbf6-11ee-a25a-00155d82e908")</f>
        <v>https://kanzpp.ru/api/getInfo/image/f688fbea-cbf6-11ee-a25a-00155d82e908</v>
      </c>
      <c r="U1648" s="6"/>
      <c r="V1648" s="33" t="s">
        <v>35</v>
      </c>
    </row>
    <row r="1649" spans="2:22" ht="21" customHeight="1" outlineLevel="4" x14ac:dyDescent="0.2">
      <c r="B1649" s="69">
        <v>1172</v>
      </c>
      <c r="C1649" s="6" t="s">
        <v>4994</v>
      </c>
      <c r="D1649" s="6" t="s">
        <v>4995</v>
      </c>
      <c r="E1649" s="7" t="s">
        <v>4996</v>
      </c>
      <c r="F1649" s="13"/>
      <c r="G1649" s="14"/>
      <c r="H1649" s="15">
        <v>10</v>
      </c>
      <c r="I1649" s="14"/>
      <c r="J1649" s="14" t="s">
        <v>144</v>
      </c>
      <c r="K1649" s="5">
        <v>1</v>
      </c>
      <c r="L1649" s="16">
        <v>79.86666666666666</v>
      </c>
      <c r="M1649" s="12"/>
      <c r="N1649" s="14">
        <f>L1649*M1649</f>
        <v>0</v>
      </c>
      <c r="O1649" s="28">
        <f>0.35*M1649</f>
        <v>0</v>
      </c>
      <c r="P1649" s="24">
        <f>0.00054*M1649</f>
        <v>0</v>
      </c>
      <c r="Q1649" s="25"/>
      <c r="R1649" s="26" t="s">
        <v>4997</v>
      </c>
      <c r="S1649" s="26" t="s">
        <v>29</v>
      </c>
      <c r="T1649" s="6" t="str">
        <f>HYPERLINK("https://kanzpp.ru/api/getInfo/image/175885d6-cbf7-11ee-a25a-00155d82e908")</f>
        <v>https://kanzpp.ru/api/getInfo/image/175885d6-cbf7-11ee-a25a-00155d82e908</v>
      </c>
      <c r="U1649" s="6"/>
      <c r="V1649" s="33" t="s">
        <v>35</v>
      </c>
    </row>
    <row r="1650" spans="2:22" ht="21" customHeight="1" outlineLevel="4" x14ac:dyDescent="0.2">
      <c r="B1650" s="69">
        <v>1173</v>
      </c>
      <c r="C1650" s="6" t="s">
        <v>4998</v>
      </c>
      <c r="D1650" s="6" t="s">
        <v>4999</v>
      </c>
      <c r="E1650" s="7" t="s">
        <v>5000</v>
      </c>
      <c r="F1650" s="13"/>
      <c r="G1650" s="14"/>
      <c r="H1650" s="15">
        <v>10</v>
      </c>
      <c r="I1650" s="14"/>
      <c r="J1650" s="14" t="s">
        <v>144</v>
      </c>
      <c r="K1650" s="5">
        <v>1</v>
      </c>
      <c r="L1650" s="16">
        <v>79.86666666666666</v>
      </c>
      <c r="M1650" s="12"/>
      <c r="N1650" s="14">
        <f>L1650*M1650</f>
        <v>0</v>
      </c>
      <c r="O1650" s="23">
        <f>0.347*M1650</f>
        <v>0</v>
      </c>
      <c r="P1650" s="24">
        <f>0.00071*M1650</f>
        <v>0</v>
      </c>
      <c r="Q1650" s="25"/>
      <c r="R1650" s="26" t="s">
        <v>5001</v>
      </c>
      <c r="S1650" s="26" t="s">
        <v>29</v>
      </c>
      <c r="T1650" s="6" t="str">
        <f>HYPERLINK("https://kanzpp.ru/api/getInfo/image/6cebc312-cbf6-11ee-a25a-00155d82e908")</f>
        <v>https://kanzpp.ru/api/getInfo/image/6cebc312-cbf6-11ee-a25a-00155d82e908</v>
      </c>
      <c r="U1650" s="6"/>
      <c r="V1650" s="33" t="s">
        <v>35</v>
      </c>
    </row>
    <row r="1651" spans="2:22" ht="21" customHeight="1" outlineLevel="4" x14ac:dyDescent="0.2">
      <c r="B1651" s="69">
        <v>1174</v>
      </c>
      <c r="C1651" s="6" t="s">
        <v>5002</v>
      </c>
      <c r="D1651" s="6" t="s">
        <v>5003</v>
      </c>
      <c r="E1651" s="7" t="s">
        <v>5004</v>
      </c>
      <c r="F1651" s="13"/>
      <c r="G1651" s="14"/>
      <c r="H1651" s="15">
        <v>10</v>
      </c>
      <c r="I1651" s="14"/>
      <c r="J1651" s="14" t="s">
        <v>144</v>
      </c>
      <c r="K1651" s="5">
        <v>1</v>
      </c>
      <c r="L1651" s="16">
        <v>79.86666666666666</v>
      </c>
      <c r="M1651" s="12"/>
      <c r="N1651" s="14">
        <f>L1651*M1651</f>
        <v>0</v>
      </c>
      <c r="O1651" s="23">
        <f>0.347*M1651</f>
        <v>0</v>
      </c>
      <c r="P1651" s="24">
        <f>0.00071*M1651</f>
        <v>0</v>
      </c>
      <c r="Q1651" s="25"/>
      <c r="R1651" s="26" t="s">
        <v>5005</v>
      </c>
      <c r="S1651" s="26" t="s">
        <v>29</v>
      </c>
      <c r="T1651" s="6" t="str">
        <f>HYPERLINK("https://kanzpp.ru/api/getInfo/image/d432707f-cbf6-11ee-a25a-00155d82e908")</f>
        <v>https://kanzpp.ru/api/getInfo/image/d432707f-cbf6-11ee-a25a-00155d82e908</v>
      </c>
      <c r="U1651" s="6"/>
      <c r="V1651" s="33" t="s">
        <v>35</v>
      </c>
    </row>
    <row r="1652" spans="2:22" ht="22.95" customHeight="1" outlineLevel="3" x14ac:dyDescent="0.2">
      <c r="B1652" s="81" t="s">
        <v>5006</v>
      </c>
      <c r="C1652" s="81"/>
      <c r="D1652" s="81"/>
      <c r="L1652">
        <v>0</v>
      </c>
    </row>
    <row r="1653" spans="2:22" ht="21" customHeight="1" outlineLevel="4" x14ac:dyDescent="0.2">
      <c r="B1653" s="69">
        <v>1175</v>
      </c>
      <c r="C1653" s="6" t="s">
        <v>5007</v>
      </c>
      <c r="D1653" s="6" t="s">
        <v>5008</v>
      </c>
      <c r="E1653" s="7" t="s">
        <v>5009</v>
      </c>
      <c r="F1653" s="13"/>
      <c r="G1653" s="14"/>
      <c r="H1653" s="15">
        <v>40</v>
      </c>
      <c r="I1653" s="14"/>
      <c r="J1653" s="15">
        <v>78</v>
      </c>
      <c r="K1653" s="5">
        <v>10</v>
      </c>
      <c r="L1653" s="16">
        <v>26.533333333333331</v>
      </c>
      <c r="M1653" s="12"/>
      <c r="N1653" s="14">
        <f>L1653*M1653</f>
        <v>0</v>
      </c>
      <c r="O1653" s="23">
        <f>0.125*M1653</f>
        <v>0</v>
      </c>
      <c r="P1653" s="31">
        <f>0.0002*M1653</f>
        <v>0</v>
      </c>
      <c r="Q1653" s="25"/>
      <c r="R1653" s="26"/>
      <c r="S1653" s="26" t="s">
        <v>29</v>
      </c>
      <c r="T1653" s="6" t="str">
        <f>HYPERLINK("https://kanzpp.ru/api/getInfo/image/ae9ef412-45b3-11ef-a262-00155d82e908")</f>
        <v>https://kanzpp.ru/api/getInfo/image/ae9ef412-45b3-11ef-a262-00155d82e908</v>
      </c>
      <c r="U1653" s="6" t="s">
        <v>5010</v>
      </c>
      <c r="V1653" s="33" t="s">
        <v>35</v>
      </c>
    </row>
    <row r="1654" spans="2:22" ht="22.95" customHeight="1" outlineLevel="2" x14ac:dyDescent="0.2">
      <c r="B1654" s="80" t="s">
        <v>5011</v>
      </c>
      <c r="C1654" s="80"/>
      <c r="D1654" s="80"/>
      <c r="L1654">
        <v>0</v>
      </c>
    </row>
    <row r="1655" spans="2:22" ht="22.95" customHeight="1" outlineLevel="3" x14ac:dyDescent="0.2">
      <c r="B1655" s="81" t="s">
        <v>5012</v>
      </c>
      <c r="C1655" s="81"/>
      <c r="D1655" s="81"/>
      <c r="L1655">
        <v>0</v>
      </c>
    </row>
    <row r="1656" spans="2:22" ht="21" customHeight="1" outlineLevel="4" x14ac:dyDescent="0.2">
      <c r="B1656" s="69">
        <v>1176</v>
      </c>
      <c r="C1656" s="6" t="s">
        <v>5013</v>
      </c>
      <c r="D1656" s="6" t="s">
        <v>5014</v>
      </c>
      <c r="E1656" s="7" t="s">
        <v>5015</v>
      </c>
      <c r="F1656" s="13"/>
      <c r="G1656" s="14"/>
      <c r="H1656" s="15">
        <v>20</v>
      </c>
      <c r="I1656" s="15">
        <v>20</v>
      </c>
      <c r="J1656" s="15">
        <v>4</v>
      </c>
      <c r="K1656" s="5">
        <v>4</v>
      </c>
      <c r="L1656" s="16">
        <v>26.533333333333331</v>
      </c>
      <c r="M1656" s="12"/>
      <c r="N1656" s="14">
        <f>L1656*M1656</f>
        <v>0</v>
      </c>
      <c r="O1656" s="23">
        <f>0.278*M1656</f>
        <v>0</v>
      </c>
      <c r="P1656" s="24">
        <f>0.00037*M1656</f>
        <v>0</v>
      </c>
      <c r="Q1656" s="25"/>
      <c r="R1656" s="26" t="s">
        <v>5016</v>
      </c>
      <c r="S1656" s="26" t="s">
        <v>93</v>
      </c>
      <c r="T1656" s="6" t="str">
        <f>HYPERLINK("https://kanzpp.ru/api/getInfo/image/ce6b7960-31fc-11e6-b4ab-5cf3fc4a2490")</f>
        <v>https://kanzpp.ru/api/getInfo/image/ce6b7960-31fc-11e6-b4ab-5cf3fc4a2490</v>
      </c>
      <c r="U1656" s="6"/>
      <c r="V1656" s="33" t="s">
        <v>35</v>
      </c>
    </row>
    <row r="1657" spans="2:22" ht="21" customHeight="1" outlineLevel="4" x14ac:dyDescent="0.2">
      <c r="B1657" s="69">
        <v>1177</v>
      </c>
      <c r="C1657" s="6" t="s">
        <v>5017</v>
      </c>
      <c r="D1657" s="6" t="s">
        <v>5018</v>
      </c>
      <c r="E1657" s="7" t="s">
        <v>5019</v>
      </c>
      <c r="F1657" s="13"/>
      <c r="G1657" s="14"/>
      <c r="H1657" s="15">
        <v>20</v>
      </c>
      <c r="I1657" s="15">
        <v>20</v>
      </c>
      <c r="J1657" s="15">
        <v>10</v>
      </c>
      <c r="K1657" s="5">
        <v>4</v>
      </c>
      <c r="L1657" s="16">
        <v>26.533333333333331</v>
      </c>
      <c r="M1657" s="12"/>
      <c r="N1657" s="14">
        <f>L1657*M1657</f>
        <v>0</v>
      </c>
      <c r="O1657" s="23">
        <f>0.278*M1657</f>
        <v>0</v>
      </c>
      <c r="P1657" s="24">
        <f>0.00037*M1657</f>
        <v>0</v>
      </c>
      <c r="Q1657" s="25"/>
      <c r="R1657" s="26" t="s">
        <v>5020</v>
      </c>
      <c r="S1657" s="26" t="s">
        <v>93</v>
      </c>
      <c r="T1657" s="6" t="str">
        <f>HYPERLINK("https://kanzpp.ru/api/getInfo/image/892cd9c0-31fc-11e6-b4ab-5cf3fc4a2490")</f>
        <v>https://kanzpp.ru/api/getInfo/image/892cd9c0-31fc-11e6-b4ab-5cf3fc4a2490</v>
      </c>
      <c r="U1657" s="6"/>
      <c r="V1657" s="33" t="s">
        <v>35</v>
      </c>
    </row>
    <row r="1658" spans="2:22" ht="22.95" customHeight="1" outlineLevel="3" x14ac:dyDescent="0.2">
      <c r="B1658" s="81" t="s">
        <v>5021</v>
      </c>
      <c r="C1658" s="81"/>
      <c r="D1658" s="81"/>
      <c r="L1658">
        <v>0</v>
      </c>
    </row>
    <row r="1659" spans="2:22" ht="21" customHeight="1" outlineLevel="4" x14ac:dyDescent="0.2">
      <c r="B1659" s="69">
        <v>1178</v>
      </c>
      <c r="C1659" s="6" t="s">
        <v>5022</v>
      </c>
      <c r="D1659" s="6" t="s">
        <v>5023</v>
      </c>
      <c r="E1659" s="7" t="s">
        <v>5024</v>
      </c>
      <c r="F1659" s="13"/>
      <c r="G1659" s="14"/>
      <c r="H1659" s="14"/>
      <c r="I1659" s="15">
        <v>30</v>
      </c>
      <c r="J1659" s="17">
        <v>1251</v>
      </c>
      <c r="K1659" s="5">
        <v>6</v>
      </c>
      <c r="L1659" s="16">
        <v>13.200000000000001</v>
      </c>
      <c r="M1659" s="12"/>
      <c r="N1659" s="14">
        <f>L1659*M1659</f>
        <v>0</v>
      </c>
      <c r="O1659" s="23">
        <f>0.184*M1659</f>
        <v>0</v>
      </c>
      <c r="P1659" s="24">
        <f>0.00049*M1659</f>
        <v>0</v>
      </c>
      <c r="Q1659" s="25"/>
      <c r="R1659" s="26" t="s">
        <v>5025</v>
      </c>
      <c r="S1659" s="26" t="s">
        <v>29</v>
      </c>
      <c r="T1659" s="6" t="str">
        <f>HYPERLINK("https://kanzpp.ru/api/getInfo/image/e7a2afd4-e377-11ed-a233-00155d82e902")</f>
        <v>https://kanzpp.ru/api/getInfo/image/e7a2afd4-e377-11ed-a233-00155d82e902</v>
      </c>
      <c r="U1659" s="6"/>
      <c r="V1659" s="33" t="s">
        <v>35</v>
      </c>
    </row>
    <row r="1660" spans="2:22" ht="21" customHeight="1" outlineLevel="4" x14ac:dyDescent="0.2">
      <c r="B1660" s="69">
        <v>1179</v>
      </c>
      <c r="C1660" s="6" t="s">
        <v>5026</v>
      </c>
      <c r="D1660" s="6" t="s">
        <v>5027</v>
      </c>
      <c r="E1660" s="7" t="s">
        <v>5028</v>
      </c>
      <c r="F1660" s="13"/>
      <c r="G1660" s="14"/>
      <c r="H1660" s="14"/>
      <c r="I1660" s="15">
        <v>30</v>
      </c>
      <c r="J1660" s="17">
        <v>1506</v>
      </c>
      <c r="K1660" s="5">
        <v>6</v>
      </c>
      <c r="L1660" s="16">
        <v>13.200000000000001</v>
      </c>
      <c r="M1660" s="12"/>
      <c r="N1660" s="14">
        <f>L1660*M1660</f>
        <v>0</v>
      </c>
      <c r="O1660" s="23">
        <f>0.183*M1660</f>
        <v>0</v>
      </c>
      <c r="P1660" s="31">
        <f>0.0005*M1660</f>
        <v>0</v>
      </c>
      <c r="Q1660" s="25"/>
      <c r="R1660" s="26" t="s">
        <v>5029</v>
      </c>
      <c r="S1660" s="26" t="s">
        <v>29</v>
      </c>
      <c r="T1660" s="6" t="str">
        <f>HYPERLINK("https://kanzpp.ru/api/getInfo/image/fa199c64-e3ec-11ed-a233-00155d82e902")</f>
        <v>https://kanzpp.ru/api/getInfo/image/fa199c64-e3ec-11ed-a233-00155d82e902</v>
      </c>
      <c r="U1660" s="6"/>
      <c r="V1660" s="33" t="s">
        <v>35</v>
      </c>
    </row>
    <row r="1661" spans="2:22" ht="21" customHeight="1" outlineLevel="4" x14ac:dyDescent="0.2">
      <c r="B1661" s="69">
        <v>1180</v>
      </c>
      <c r="C1661" s="6" t="s">
        <v>5030</v>
      </c>
      <c r="D1661" s="6" t="s">
        <v>5031</v>
      </c>
      <c r="E1661" s="7" t="s">
        <v>5032</v>
      </c>
      <c r="F1661" s="13"/>
      <c r="G1661" s="14"/>
      <c r="H1661" s="14"/>
      <c r="I1661" s="15">
        <v>30</v>
      </c>
      <c r="J1661" s="15">
        <v>966</v>
      </c>
      <c r="K1661" s="5">
        <v>6</v>
      </c>
      <c r="L1661" s="16">
        <v>13.200000000000001</v>
      </c>
      <c r="M1661" s="12"/>
      <c r="N1661" s="14">
        <f>L1661*M1661</f>
        <v>0</v>
      </c>
      <c r="O1661" s="28">
        <f>0.18*M1661</f>
        <v>0</v>
      </c>
      <c r="P1661" s="24">
        <f>0.00067*M1661</f>
        <v>0</v>
      </c>
      <c r="Q1661" s="25"/>
      <c r="R1661" s="26" t="s">
        <v>5033</v>
      </c>
      <c r="S1661" s="26" t="s">
        <v>29</v>
      </c>
      <c r="T1661" s="6" t="str">
        <f>HYPERLINK("https://kanzpp.ru/api/getInfo/image/2266751f-e3ed-11ed-a233-00155d82e902")</f>
        <v>https://kanzpp.ru/api/getInfo/image/2266751f-e3ed-11ed-a233-00155d82e902</v>
      </c>
      <c r="U1661" s="6"/>
      <c r="V1661" s="33" t="s">
        <v>35</v>
      </c>
    </row>
    <row r="1662" spans="2:22" ht="22.95" customHeight="1" outlineLevel="1" x14ac:dyDescent="0.2">
      <c r="B1662" s="79" t="s">
        <v>5034</v>
      </c>
      <c r="C1662" s="79"/>
      <c r="D1662" s="79"/>
      <c r="L1662">
        <v>0</v>
      </c>
    </row>
    <row r="1663" spans="2:22" ht="22.95" customHeight="1" outlineLevel="2" x14ac:dyDescent="0.2">
      <c r="B1663" s="80" t="s">
        <v>5035</v>
      </c>
      <c r="C1663" s="80"/>
      <c r="D1663" s="80"/>
      <c r="L1663">
        <v>0</v>
      </c>
    </row>
    <row r="1664" spans="2:22" ht="22.95" customHeight="1" outlineLevel="3" x14ac:dyDescent="0.2">
      <c r="B1664" s="81" t="s">
        <v>5036</v>
      </c>
      <c r="C1664" s="81"/>
      <c r="D1664" s="81"/>
      <c r="L1664">
        <v>0</v>
      </c>
    </row>
    <row r="1665" spans="2:22" ht="22.95" customHeight="1" outlineLevel="4" x14ac:dyDescent="0.2">
      <c r="B1665" s="82" t="s">
        <v>5037</v>
      </c>
      <c r="C1665" s="82"/>
      <c r="D1665" s="82"/>
      <c r="L1665">
        <v>0</v>
      </c>
    </row>
    <row r="1666" spans="2:22" ht="21" customHeight="1" outlineLevel="5" x14ac:dyDescent="0.2">
      <c r="B1666" s="69">
        <v>1181</v>
      </c>
      <c r="C1666" s="6" t="s">
        <v>5038</v>
      </c>
      <c r="D1666" s="6" t="s">
        <v>5039</v>
      </c>
      <c r="E1666" s="7" t="s">
        <v>5040</v>
      </c>
      <c r="F1666" s="13"/>
      <c r="G1666" s="14"/>
      <c r="H1666" s="14"/>
      <c r="I1666" s="15">
        <v>16</v>
      </c>
      <c r="J1666" s="14" t="s">
        <v>144</v>
      </c>
      <c r="K1666" s="5">
        <v>3</v>
      </c>
      <c r="L1666" s="16">
        <v>65.333333333333329</v>
      </c>
      <c r="M1666" s="12"/>
      <c r="N1666" s="14">
        <f>L1666*M1666</f>
        <v>0</v>
      </c>
      <c r="O1666" s="23">
        <f>0.251*M1666</f>
        <v>0</v>
      </c>
      <c r="P1666" s="24">
        <f>0.00031*M1666</f>
        <v>0</v>
      </c>
      <c r="Q1666" s="25"/>
      <c r="R1666" s="26" t="s">
        <v>5041</v>
      </c>
      <c r="S1666" s="26" t="s">
        <v>93</v>
      </c>
      <c r="T1666" s="6" t="str">
        <f>HYPERLINK("https://kanzpp.ru/api/getInfo/image/dc7c36a1-95d7-11ef-a267-00155d82e908")</f>
        <v>https://kanzpp.ru/api/getInfo/image/dc7c36a1-95d7-11ef-a267-00155d82e908</v>
      </c>
      <c r="U1666" s="6"/>
      <c r="V1666" s="33" t="s">
        <v>35</v>
      </c>
    </row>
    <row r="1667" spans="2:22" ht="21" customHeight="1" outlineLevel="5" x14ac:dyDescent="0.2">
      <c r="B1667" s="69">
        <v>1182</v>
      </c>
      <c r="C1667" s="6" t="s">
        <v>5042</v>
      </c>
      <c r="D1667" s="6" t="s">
        <v>5043</v>
      </c>
      <c r="E1667" s="7" t="s">
        <v>5044</v>
      </c>
      <c r="F1667" s="13"/>
      <c r="G1667" s="14"/>
      <c r="H1667" s="14"/>
      <c r="I1667" s="15">
        <v>16</v>
      </c>
      <c r="J1667" s="15">
        <v>134</v>
      </c>
      <c r="K1667" s="5">
        <v>3</v>
      </c>
      <c r="L1667" s="16">
        <v>65.333333333333329</v>
      </c>
      <c r="M1667" s="12"/>
      <c r="N1667" s="14">
        <f>L1667*M1667</f>
        <v>0</v>
      </c>
      <c r="O1667" s="23">
        <f>0.251*M1667</f>
        <v>0</v>
      </c>
      <c r="P1667" s="24">
        <f>0.00031*M1667</f>
        <v>0</v>
      </c>
      <c r="Q1667" s="25"/>
      <c r="R1667" s="26" t="s">
        <v>5045</v>
      </c>
      <c r="S1667" s="26" t="s">
        <v>93</v>
      </c>
      <c r="T1667" s="6" t="str">
        <f>HYPERLINK("https://kanzpp.ru/api/getInfo/image/24fbbff2-95d8-11ef-a267-00155d82e908")</f>
        <v>https://kanzpp.ru/api/getInfo/image/24fbbff2-95d8-11ef-a267-00155d82e908</v>
      </c>
      <c r="U1667" s="6"/>
      <c r="V1667" s="33" t="s">
        <v>35</v>
      </c>
    </row>
    <row r="1668" spans="2:22" ht="21" customHeight="1" outlineLevel="5" x14ac:dyDescent="0.2">
      <c r="B1668" s="69">
        <v>1183</v>
      </c>
      <c r="C1668" s="6" t="s">
        <v>5046</v>
      </c>
      <c r="D1668" s="6" t="s">
        <v>5047</v>
      </c>
      <c r="E1668" s="7" t="s">
        <v>5048</v>
      </c>
      <c r="F1668" s="13"/>
      <c r="G1668" s="14"/>
      <c r="H1668" s="15">
        <v>32</v>
      </c>
      <c r="I1668" s="14"/>
      <c r="J1668" s="15">
        <v>240</v>
      </c>
      <c r="K1668" s="5">
        <v>3</v>
      </c>
      <c r="L1668" s="16">
        <v>65.333333333333329</v>
      </c>
      <c r="M1668" s="12"/>
      <c r="N1668" s="14">
        <f>L1668*M1668</f>
        <v>0</v>
      </c>
      <c r="O1668" s="23">
        <f>0.275*M1668</f>
        <v>0</v>
      </c>
      <c r="P1668" s="24">
        <f>0.00038*M1668</f>
        <v>0</v>
      </c>
      <c r="Q1668" s="25"/>
      <c r="R1668" s="26"/>
      <c r="S1668" s="26" t="s">
        <v>93</v>
      </c>
      <c r="T1668" s="6" t="str">
        <f>HYPERLINK("https://kanzpp.ru/api/getInfo/image/86e6da71-9b1e-11ed-a22e-00155d82e902")</f>
        <v>https://kanzpp.ru/api/getInfo/image/86e6da71-9b1e-11ed-a22e-00155d82e902</v>
      </c>
      <c r="U1668" s="6" t="s">
        <v>5049</v>
      </c>
      <c r="V1668" s="33" t="s">
        <v>35</v>
      </c>
    </row>
    <row r="1669" spans="2:22" ht="21" customHeight="1" outlineLevel="5" x14ac:dyDescent="0.2">
      <c r="B1669" s="69">
        <v>1184</v>
      </c>
      <c r="C1669" s="6" t="s">
        <v>5050</v>
      </c>
      <c r="D1669" s="6" t="s">
        <v>5051</v>
      </c>
      <c r="E1669" s="7" t="s">
        <v>5052</v>
      </c>
      <c r="F1669" s="13"/>
      <c r="G1669" s="14"/>
      <c r="H1669" s="14"/>
      <c r="I1669" s="15">
        <v>16</v>
      </c>
      <c r="J1669" s="14" t="s">
        <v>144</v>
      </c>
      <c r="K1669" s="5">
        <v>3</v>
      </c>
      <c r="L1669" s="16">
        <v>65.333333333333329</v>
      </c>
      <c r="M1669" s="12"/>
      <c r="N1669" s="14">
        <f>L1669*M1669</f>
        <v>0</v>
      </c>
      <c r="O1669" s="23">
        <f>0.251*M1669</f>
        <v>0</v>
      </c>
      <c r="P1669" s="24">
        <f>0.00031*M1669</f>
        <v>0</v>
      </c>
      <c r="Q1669" s="25"/>
      <c r="R1669" s="26" t="s">
        <v>5053</v>
      </c>
      <c r="S1669" s="26" t="s">
        <v>93</v>
      </c>
      <c r="T1669" s="6" t="str">
        <f>HYPERLINK("https://kanzpp.ru/api/getInfo/image/3ca2ce73-f2e8-11ed-a237-00155d82e902")</f>
        <v>https://kanzpp.ru/api/getInfo/image/3ca2ce73-f2e8-11ed-a237-00155d82e902</v>
      </c>
      <c r="U1669" s="6"/>
      <c r="V1669" s="33" t="s">
        <v>35</v>
      </c>
    </row>
    <row r="1670" spans="2:22" ht="22.95" customHeight="1" outlineLevel="3" x14ac:dyDescent="0.2">
      <c r="B1670" s="81" t="s">
        <v>5054</v>
      </c>
      <c r="C1670" s="81"/>
      <c r="D1670" s="81"/>
      <c r="L1670">
        <v>0</v>
      </c>
    </row>
    <row r="1671" spans="2:22" ht="22.95" customHeight="1" outlineLevel="4" x14ac:dyDescent="0.2">
      <c r="B1671" s="82" t="s">
        <v>5055</v>
      </c>
      <c r="C1671" s="82"/>
      <c r="D1671" s="82"/>
      <c r="L1671">
        <v>0</v>
      </c>
    </row>
    <row r="1672" spans="2:22" ht="21" customHeight="1" outlineLevel="5" x14ac:dyDescent="0.2">
      <c r="B1672" s="69">
        <v>1185</v>
      </c>
      <c r="C1672" s="6" t="s">
        <v>5056</v>
      </c>
      <c r="D1672" s="6" t="s">
        <v>5057</v>
      </c>
      <c r="E1672" s="7" t="s">
        <v>5058</v>
      </c>
      <c r="F1672" s="13"/>
      <c r="G1672" s="14"/>
      <c r="H1672" s="14"/>
      <c r="I1672" s="15">
        <v>20</v>
      </c>
      <c r="J1672" s="15">
        <v>133</v>
      </c>
      <c r="K1672" s="5">
        <v>10</v>
      </c>
      <c r="L1672" s="16">
        <v>38.666666666666664</v>
      </c>
      <c r="M1672" s="12"/>
      <c r="N1672" s="14">
        <f>L1672*M1672</f>
        <v>0</v>
      </c>
      <c r="O1672" s="23">
        <f>0.168*M1672</f>
        <v>0</v>
      </c>
      <c r="P1672" s="24">
        <f>0.00012*M1672</f>
        <v>0</v>
      </c>
      <c r="Q1672" s="25"/>
      <c r="R1672" s="26" t="s">
        <v>5059</v>
      </c>
      <c r="S1672" s="26" t="s">
        <v>93</v>
      </c>
      <c r="T1672" s="6" t="str">
        <f>HYPERLINK("https://kanzpp.ru/api/getInfo/image/04460257-671b-11ec-a20f-ac1f6b442185")</f>
        <v>https://kanzpp.ru/api/getInfo/image/04460257-671b-11ec-a20f-ac1f6b442185</v>
      </c>
      <c r="U1672" s="6"/>
      <c r="V1672" s="33" t="s">
        <v>35</v>
      </c>
    </row>
    <row r="1673" spans="2:22" ht="21" customHeight="1" outlineLevel="5" x14ac:dyDescent="0.2">
      <c r="B1673" s="69">
        <v>1186</v>
      </c>
      <c r="C1673" s="6" t="s">
        <v>5060</v>
      </c>
      <c r="D1673" s="6" t="s">
        <v>5061</v>
      </c>
      <c r="E1673" s="7" t="s">
        <v>5062</v>
      </c>
      <c r="F1673" s="13"/>
      <c r="G1673" s="14"/>
      <c r="H1673" s="14"/>
      <c r="I1673" s="15">
        <v>20</v>
      </c>
      <c r="J1673" s="14" t="s">
        <v>144</v>
      </c>
      <c r="K1673" s="5">
        <v>10</v>
      </c>
      <c r="L1673" s="16">
        <v>38.666666666666664</v>
      </c>
      <c r="M1673" s="12"/>
      <c r="N1673" s="14">
        <f>L1673*M1673</f>
        <v>0</v>
      </c>
      <c r="O1673" s="23">
        <f>0.168*M1673</f>
        <v>0</v>
      </c>
      <c r="P1673" s="24">
        <f>0.00012*M1673</f>
        <v>0</v>
      </c>
      <c r="Q1673" s="25"/>
      <c r="R1673" s="26" t="s">
        <v>5063</v>
      </c>
      <c r="S1673" s="26" t="s">
        <v>93</v>
      </c>
      <c r="T1673" s="6" t="str">
        <f>HYPERLINK("https://kanzpp.ru/api/getInfo/image/6fc1bd1c-671b-11ec-a20f-ac1f6b442185")</f>
        <v>https://kanzpp.ru/api/getInfo/image/6fc1bd1c-671b-11ec-a20f-ac1f6b442185</v>
      </c>
      <c r="U1673" s="6"/>
      <c r="V1673" s="33" t="s">
        <v>35</v>
      </c>
    </row>
    <row r="1674" spans="2:22" ht="21" customHeight="1" outlineLevel="5" x14ac:dyDescent="0.2">
      <c r="B1674" s="69">
        <v>1187</v>
      </c>
      <c r="C1674" s="6" t="s">
        <v>5064</v>
      </c>
      <c r="D1674" s="6" t="s">
        <v>5061</v>
      </c>
      <c r="E1674" s="7" t="s">
        <v>5062</v>
      </c>
      <c r="F1674" s="13"/>
      <c r="G1674" s="14"/>
      <c r="H1674" s="15">
        <v>20</v>
      </c>
      <c r="I1674" s="14"/>
      <c r="J1674" s="15">
        <v>157</v>
      </c>
      <c r="K1674" s="5">
        <v>10</v>
      </c>
      <c r="L1674" s="16">
        <v>38.666666666666664</v>
      </c>
      <c r="M1674" s="12"/>
      <c r="N1674" s="14">
        <f>L1674*M1674</f>
        <v>0</v>
      </c>
      <c r="O1674" s="23">
        <f>0.168*M1674</f>
        <v>0</v>
      </c>
      <c r="P1674" s="24">
        <f>0.00012*M1674</f>
        <v>0</v>
      </c>
      <c r="Q1674" s="25"/>
      <c r="R1674" s="26"/>
      <c r="S1674" s="26" t="s">
        <v>93</v>
      </c>
      <c r="T1674" s="6" t="str">
        <f>HYPERLINK("https://kanzpp.ru/api/getInfo/image/3593e30f-bfd7-11ec-a211-ac1f6b442185")</f>
        <v>https://kanzpp.ru/api/getInfo/image/3593e30f-bfd7-11ec-a211-ac1f6b442185</v>
      </c>
      <c r="U1674" s="6" t="s">
        <v>5063</v>
      </c>
      <c r="V1674" s="33" t="s">
        <v>35</v>
      </c>
    </row>
    <row r="1675" spans="2:22" ht="21" customHeight="1" outlineLevel="5" x14ac:dyDescent="0.2">
      <c r="B1675" s="69">
        <v>1188</v>
      </c>
      <c r="C1675" s="6" t="s">
        <v>5065</v>
      </c>
      <c r="D1675" s="6" t="s">
        <v>5066</v>
      </c>
      <c r="E1675" s="7" t="s">
        <v>5067</v>
      </c>
      <c r="F1675" s="13"/>
      <c r="G1675" s="14"/>
      <c r="H1675" s="14"/>
      <c r="I1675" s="15">
        <v>20</v>
      </c>
      <c r="J1675" s="14" t="s">
        <v>144</v>
      </c>
      <c r="K1675" s="5">
        <v>10</v>
      </c>
      <c r="L1675" s="16">
        <v>38.666666666666664</v>
      </c>
      <c r="M1675" s="12"/>
      <c r="N1675" s="14">
        <f>L1675*M1675</f>
        <v>0</v>
      </c>
      <c r="O1675" s="23">
        <f>0.095*M1675</f>
        <v>0</v>
      </c>
      <c r="P1675" s="24">
        <f>0.00011*M1675</f>
        <v>0</v>
      </c>
      <c r="Q1675" s="25"/>
      <c r="R1675" s="26" t="s">
        <v>5068</v>
      </c>
      <c r="S1675" s="26" t="s">
        <v>93</v>
      </c>
      <c r="T1675" s="6" t="str">
        <f>HYPERLINK("https://kanzpp.ru/api/getInfo/image/a071050a-f2e4-11ed-a237-00155d82e902")</f>
        <v>https://kanzpp.ru/api/getInfo/image/a071050a-f2e4-11ed-a237-00155d82e902</v>
      </c>
      <c r="U1675" s="6"/>
      <c r="V1675" s="33" t="s">
        <v>35</v>
      </c>
    </row>
    <row r="1676" spans="2:22" ht="22.95" customHeight="1" outlineLevel="2" x14ac:dyDescent="0.2">
      <c r="B1676" s="80" t="s">
        <v>5069</v>
      </c>
      <c r="C1676" s="80"/>
      <c r="D1676" s="80"/>
      <c r="L1676">
        <v>0</v>
      </c>
    </row>
    <row r="1677" spans="2:22" ht="22.95" customHeight="1" outlineLevel="3" x14ac:dyDescent="0.2">
      <c r="B1677" s="81" t="s">
        <v>5070</v>
      </c>
      <c r="C1677" s="81"/>
      <c r="D1677" s="81"/>
      <c r="L1677">
        <v>0</v>
      </c>
    </row>
    <row r="1678" spans="2:22" ht="21" customHeight="1" outlineLevel="4" x14ac:dyDescent="0.2">
      <c r="B1678" s="69">
        <v>1189</v>
      </c>
      <c r="C1678" s="6" t="s">
        <v>5071</v>
      </c>
      <c r="D1678" s="6" t="s">
        <v>5072</v>
      </c>
      <c r="E1678" s="7" t="s">
        <v>5073</v>
      </c>
      <c r="F1678" s="13"/>
      <c r="G1678" s="14"/>
      <c r="H1678" s="14"/>
      <c r="I1678" s="15">
        <v>20</v>
      </c>
      <c r="J1678" s="14" t="s">
        <v>144</v>
      </c>
      <c r="K1678" s="5">
        <v>5</v>
      </c>
      <c r="L1678" s="16">
        <v>66.533333333333331</v>
      </c>
      <c r="M1678" s="12"/>
      <c r="N1678" s="14">
        <f t="shared" ref="N1678:N1683" si="65">L1678*M1678</f>
        <v>0</v>
      </c>
      <c r="O1678" s="23">
        <f>0.182*M1678</f>
        <v>0</v>
      </c>
      <c r="P1678" s="24">
        <f>0.00021*M1678</f>
        <v>0</v>
      </c>
      <c r="Q1678" s="25"/>
      <c r="R1678" s="26" t="s">
        <v>5074</v>
      </c>
      <c r="S1678" s="26" t="s">
        <v>93</v>
      </c>
      <c r="T1678" s="6" t="str">
        <f>HYPERLINK("https://kanzpp.ru/api/getInfo/image/9e8561dc-5203-11ee-a244-00155d82e902")</f>
        <v>https://kanzpp.ru/api/getInfo/image/9e8561dc-5203-11ee-a244-00155d82e902</v>
      </c>
      <c r="U1678" s="6"/>
      <c r="V1678" s="33" t="s">
        <v>35</v>
      </c>
    </row>
    <row r="1679" spans="2:22" ht="21" customHeight="1" outlineLevel="4" x14ac:dyDescent="0.2">
      <c r="B1679" s="69">
        <v>1190</v>
      </c>
      <c r="C1679" s="6" t="s">
        <v>5075</v>
      </c>
      <c r="D1679" s="6" t="s">
        <v>5076</v>
      </c>
      <c r="E1679" s="7" t="s">
        <v>5077</v>
      </c>
      <c r="F1679" s="13"/>
      <c r="G1679" s="14"/>
      <c r="H1679" s="14"/>
      <c r="I1679" s="15">
        <v>20</v>
      </c>
      <c r="J1679" s="14" t="s">
        <v>144</v>
      </c>
      <c r="K1679" s="5">
        <v>5</v>
      </c>
      <c r="L1679" s="16">
        <v>66.533333333333331</v>
      </c>
      <c r="M1679" s="12"/>
      <c r="N1679" s="14">
        <f t="shared" si="65"/>
        <v>0</v>
      </c>
      <c r="O1679" s="23">
        <f>0.214*M1679</f>
        <v>0</v>
      </c>
      <c r="P1679" s="24">
        <f>0.00028*M1679</f>
        <v>0</v>
      </c>
      <c r="Q1679" s="25"/>
      <c r="R1679" s="26" t="s">
        <v>5078</v>
      </c>
      <c r="S1679" s="26" t="s">
        <v>93</v>
      </c>
      <c r="T1679" s="6" t="str">
        <f>HYPERLINK("https://kanzpp.ru/api/getInfo/image/6aef1a8f-174f-11ef-a25d-00155d82e908")</f>
        <v>https://kanzpp.ru/api/getInfo/image/6aef1a8f-174f-11ef-a25d-00155d82e908</v>
      </c>
      <c r="U1679" s="6"/>
      <c r="V1679" s="33" t="s">
        <v>35</v>
      </c>
    </row>
    <row r="1680" spans="2:22" ht="21" customHeight="1" outlineLevel="4" x14ac:dyDescent="0.2">
      <c r="B1680" s="69">
        <v>1191</v>
      </c>
      <c r="C1680" s="6" t="s">
        <v>5079</v>
      </c>
      <c r="D1680" s="6" t="s">
        <v>5080</v>
      </c>
      <c r="E1680" s="7" t="s">
        <v>5077</v>
      </c>
      <c r="F1680" s="13"/>
      <c r="G1680" s="14"/>
      <c r="H1680" s="15">
        <v>20</v>
      </c>
      <c r="I1680" s="14"/>
      <c r="J1680" s="14" t="s">
        <v>144</v>
      </c>
      <c r="K1680" s="5">
        <v>5</v>
      </c>
      <c r="L1680" s="16">
        <v>66.533333333333331</v>
      </c>
      <c r="M1680" s="12"/>
      <c r="N1680" s="14">
        <f t="shared" si="65"/>
        <v>0</v>
      </c>
      <c r="O1680" s="23">
        <f>0.186*M1680</f>
        <v>0</v>
      </c>
      <c r="P1680" s="24">
        <f>0.00031*M1680</f>
        <v>0</v>
      </c>
      <c r="Q1680" s="25"/>
      <c r="R1680" s="26"/>
      <c r="S1680" s="26" t="s">
        <v>93</v>
      </c>
      <c r="T1680" s="6"/>
      <c r="U1680" s="6" t="s">
        <v>5078</v>
      </c>
      <c r="V1680" s="33" t="s">
        <v>35</v>
      </c>
    </row>
    <row r="1681" spans="2:22" ht="21" customHeight="1" outlineLevel="4" x14ac:dyDescent="0.2">
      <c r="B1681" s="69">
        <v>1192</v>
      </c>
      <c r="C1681" s="6" t="s">
        <v>5081</v>
      </c>
      <c r="D1681" s="6" t="s">
        <v>5082</v>
      </c>
      <c r="E1681" s="7" t="s">
        <v>5083</v>
      </c>
      <c r="F1681" s="13"/>
      <c r="G1681" s="14"/>
      <c r="H1681" s="14"/>
      <c r="I1681" s="15">
        <v>20</v>
      </c>
      <c r="J1681" s="14" t="s">
        <v>144</v>
      </c>
      <c r="K1681" s="5">
        <v>5</v>
      </c>
      <c r="L1681" s="16">
        <v>66.533333333333331</v>
      </c>
      <c r="M1681" s="12"/>
      <c r="N1681" s="14">
        <f t="shared" si="65"/>
        <v>0</v>
      </c>
      <c r="O1681" s="23">
        <f>0.185*M1681</f>
        <v>0</v>
      </c>
      <c r="P1681" s="24">
        <f>0.00025*M1681</f>
        <v>0</v>
      </c>
      <c r="Q1681" s="25"/>
      <c r="R1681" s="26" t="s">
        <v>5084</v>
      </c>
      <c r="S1681" s="26" t="s">
        <v>93</v>
      </c>
      <c r="T1681" s="6" t="str">
        <f>HYPERLINK("https://kanzpp.ru/api/getInfo/image/71fb9fe7-cc68-11ed-a230-00155d82e902")</f>
        <v>https://kanzpp.ru/api/getInfo/image/71fb9fe7-cc68-11ed-a230-00155d82e902</v>
      </c>
      <c r="U1681" s="6"/>
      <c r="V1681" s="33" t="s">
        <v>35</v>
      </c>
    </row>
    <row r="1682" spans="2:22" ht="21" customHeight="1" outlineLevel="4" x14ac:dyDescent="0.2">
      <c r="B1682" s="69">
        <v>1193</v>
      </c>
      <c r="C1682" s="6" t="s">
        <v>5085</v>
      </c>
      <c r="D1682" s="6" t="s">
        <v>5086</v>
      </c>
      <c r="E1682" s="7" t="s">
        <v>5087</v>
      </c>
      <c r="F1682" s="13"/>
      <c r="G1682" s="14"/>
      <c r="H1682" s="14"/>
      <c r="I1682" s="15">
        <v>20</v>
      </c>
      <c r="J1682" s="14" t="s">
        <v>144</v>
      </c>
      <c r="K1682" s="5">
        <v>5</v>
      </c>
      <c r="L1682" s="16">
        <v>66.533333333333331</v>
      </c>
      <c r="M1682" s="12"/>
      <c r="N1682" s="14">
        <f t="shared" si="65"/>
        <v>0</v>
      </c>
      <c r="O1682" s="23">
        <f>0.185*M1682</f>
        <v>0</v>
      </c>
      <c r="P1682" s="24">
        <f>0.00024*M1682</f>
        <v>0</v>
      </c>
      <c r="Q1682" s="25"/>
      <c r="R1682" s="26" t="s">
        <v>5088</v>
      </c>
      <c r="S1682" s="26" t="s">
        <v>93</v>
      </c>
      <c r="T1682" s="6" t="str">
        <f>HYPERLINK("https://kanzpp.ru/api/getInfo/image/31eab440-cc68-11ed-a230-00155d82e902")</f>
        <v>https://kanzpp.ru/api/getInfo/image/31eab440-cc68-11ed-a230-00155d82e902</v>
      </c>
      <c r="U1682" s="6"/>
      <c r="V1682" s="33" t="s">
        <v>35</v>
      </c>
    </row>
    <row r="1683" spans="2:22" ht="21" customHeight="1" outlineLevel="4" x14ac:dyDescent="0.2">
      <c r="B1683" s="69">
        <v>1194</v>
      </c>
      <c r="C1683" s="6" t="s">
        <v>5089</v>
      </c>
      <c r="D1683" s="6" t="s">
        <v>5090</v>
      </c>
      <c r="E1683" s="7" t="s">
        <v>5091</v>
      </c>
      <c r="F1683" s="13"/>
      <c r="G1683" s="14"/>
      <c r="H1683" s="15">
        <v>20</v>
      </c>
      <c r="I1683" s="14"/>
      <c r="J1683" s="14" t="s">
        <v>144</v>
      </c>
      <c r="K1683" s="5">
        <v>5</v>
      </c>
      <c r="L1683" s="16">
        <v>66.533333333333331</v>
      </c>
      <c r="M1683" s="12"/>
      <c r="N1683" s="14">
        <f t="shared" si="65"/>
        <v>0</v>
      </c>
      <c r="O1683" s="23">
        <f>0.189*M1683</f>
        <v>0</v>
      </c>
      <c r="P1683" s="24">
        <f>0.00022*M1683</f>
        <v>0</v>
      </c>
      <c r="Q1683" s="25"/>
      <c r="R1683" s="26"/>
      <c r="S1683" s="26" t="s">
        <v>93</v>
      </c>
      <c r="T1683" s="6"/>
      <c r="U1683" s="6" t="s">
        <v>5092</v>
      </c>
      <c r="V1683" s="33" t="s">
        <v>35</v>
      </c>
    </row>
    <row r="1684" spans="2:22" ht="22.95" customHeight="1" outlineLevel="3" x14ac:dyDescent="0.2">
      <c r="B1684" s="81" t="s">
        <v>5093</v>
      </c>
      <c r="C1684" s="81"/>
      <c r="D1684" s="81"/>
      <c r="L1684">
        <v>0</v>
      </c>
    </row>
    <row r="1685" spans="2:22" ht="21" customHeight="1" outlineLevel="4" x14ac:dyDescent="0.2">
      <c r="B1685" s="69">
        <v>1195</v>
      </c>
      <c r="C1685" s="6" t="s">
        <v>5094</v>
      </c>
      <c r="D1685" s="6" t="s">
        <v>5095</v>
      </c>
      <c r="E1685" s="7" t="s">
        <v>5096</v>
      </c>
      <c r="F1685" s="13"/>
      <c r="G1685" s="14"/>
      <c r="H1685" s="14"/>
      <c r="I1685" s="15">
        <v>20</v>
      </c>
      <c r="J1685" s="15">
        <v>50</v>
      </c>
      <c r="K1685" s="5">
        <v>6</v>
      </c>
      <c r="L1685" s="16">
        <v>38.666666666666664</v>
      </c>
      <c r="M1685" s="12"/>
      <c r="N1685" s="14">
        <f>L1685*M1685</f>
        <v>0</v>
      </c>
      <c r="O1685" s="23">
        <f>0.125*M1685</f>
        <v>0</v>
      </c>
      <c r="P1685" s="24">
        <f>0.00015*M1685</f>
        <v>0</v>
      </c>
      <c r="Q1685" s="25"/>
      <c r="R1685" s="26" t="s">
        <v>5097</v>
      </c>
      <c r="S1685" s="26" t="s">
        <v>93</v>
      </c>
      <c r="T1685" s="6" t="str">
        <f>HYPERLINK("https://kanzpp.ru/api/getInfo/image/bcc6569f-8f0a-11ec-a211-ac1f6b442185")</f>
        <v>https://kanzpp.ru/api/getInfo/image/bcc6569f-8f0a-11ec-a211-ac1f6b442185</v>
      </c>
      <c r="U1685" s="6"/>
      <c r="V1685" s="33" t="s">
        <v>35</v>
      </c>
    </row>
    <row r="1686" spans="2:22" ht="21" customHeight="1" outlineLevel="4" x14ac:dyDescent="0.2">
      <c r="B1686" s="69">
        <v>1196</v>
      </c>
      <c r="C1686" s="6" t="s">
        <v>5098</v>
      </c>
      <c r="D1686" s="6" t="s">
        <v>5095</v>
      </c>
      <c r="E1686" s="7" t="s">
        <v>5096</v>
      </c>
      <c r="F1686" s="13"/>
      <c r="G1686" s="14"/>
      <c r="H1686" s="15">
        <v>40</v>
      </c>
      <c r="I1686" s="14"/>
      <c r="J1686" s="15">
        <v>32</v>
      </c>
      <c r="K1686" s="5">
        <v>6</v>
      </c>
      <c r="L1686" s="16">
        <v>38.666666666666664</v>
      </c>
      <c r="M1686" s="12"/>
      <c r="N1686" s="14">
        <f>L1686*M1686</f>
        <v>0</v>
      </c>
      <c r="O1686" s="23">
        <f>0.125*M1686</f>
        <v>0</v>
      </c>
      <c r="P1686" s="24">
        <f>0.00015*M1686</f>
        <v>0</v>
      </c>
      <c r="Q1686" s="25"/>
      <c r="R1686" s="26"/>
      <c r="S1686" s="26" t="s">
        <v>93</v>
      </c>
      <c r="T1686" s="6" t="str">
        <f>HYPERLINK("https://kanzpp.ru/api/getInfo/image/5a45a1aa-4faf-11ed-a21b-ac1f6b442185")</f>
        <v>https://kanzpp.ru/api/getInfo/image/5a45a1aa-4faf-11ed-a21b-ac1f6b442185</v>
      </c>
      <c r="U1686" s="6" t="s">
        <v>5097</v>
      </c>
      <c r="V1686" s="33" t="s">
        <v>35</v>
      </c>
    </row>
    <row r="1687" spans="2:22" ht="22.95" customHeight="1" outlineLevel="2" x14ac:dyDescent="0.2">
      <c r="B1687" s="80" t="s">
        <v>5099</v>
      </c>
      <c r="C1687" s="80"/>
      <c r="D1687" s="80"/>
      <c r="L1687">
        <v>0</v>
      </c>
    </row>
    <row r="1688" spans="2:22" ht="22.95" customHeight="1" outlineLevel="3" x14ac:dyDescent="0.2">
      <c r="B1688" s="81" t="s">
        <v>5100</v>
      </c>
      <c r="C1688" s="81"/>
      <c r="D1688" s="81"/>
      <c r="L1688">
        <v>0</v>
      </c>
    </row>
    <row r="1689" spans="2:22" ht="21" customHeight="1" outlineLevel="4" x14ac:dyDescent="0.2">
      <c r="B1689" s="69">
        <v>1197</v>
      </c>
      <c r="C1689" s="6" t="s">
        <v>5101</v>
      </c>
      <c r="D1689" s="6" t="s">
        <v>5102</v>
      </c>
      <c r="E1689" s="7" t="s">
        <v>5103</v>
      </c>
      <c r="F1689" s="13"/>
      <c r="G1689" s="14"/>
      <c r="H1689" s="14"/>
      <c r="I1689" s="15">
        <v>20</v>
      </c>
      <c r="J1689" s="14" t="s">
        <v>144</v>
      </c>
      <c r="K1689" s="5">
        <v>4</v>
      </c>
      <c r="L1689" s="16">
        <v>66.533333333333331</v>
      </c>
      <c r="M1689" s="12"/>
      <c r="N1689" s="14">
        <f t="shared" ref="N1689:N1697" si="66">L1689*M1689</f>
        <v>0</v>
      </c>
      <c r="O1689" s="28">
        <f>0.21*M1689</f>
        <v>0</v>
      </c>
      <c r="P1689" s="24">
        <f>0.00031*M1689</f>
        <v>0</v>
      </c>
      <c r="Q1689" s="25"/>
      <c r="R1689" s="26" t="s">
        <v>5104</v>
      </c>
      <c r="S1689" s="26" t="s">
        <v>93</v>
      </c>
      <c r="T1689" s="6" t="str">
        <f>HYPERLINK("https://kanzpp.ru/api/getInfo/image/77fc6b90-346c-11ef-a261-00155d82e908")</f>
        <v>https://kanzpp.ru/api/getInfo/image/77fc6b90-346c-11ef-a261-00155d82e908</v>
      </c>
      <c r="U1689" s="6"/>
      <c r="V1689" s="33" t="s">
        <v>35</v>
      </c>
    </row>
    <row r="1690" spans="2:22" ht="21" customHeight="1" outlineLevel="4" x14ac:dyDescent="0.2">
      <c r="B1690" s="69">
        <v>1198</v>
      </c>
      <c r="C1690" s="6" t="s">
        <v>5105</v>
      </c>
      <c r="D1690" s="6" t="s">
        <v>5106</v>
      </c>
      <c r="E1690" s="7" t="s">
        <v>5107</v>
      </c>
      <c r="F1690" s="13"/>
      <c r="G1690" s="14"/>
      <c r="H1690" s="14"/>
      <c r="I1690" s="15">
        <v>20</v>
      </c>
      <c r="J1690" s="14" t="s">
        <v>144</v>
      </c>
      <c r="K1690" s="5">
        <v>4</v>
      </c>
      <c r="L1690" s="16">
        <v>66.533333333333331</v>
      </c>
      <c r="M1690" s="12"/>
      <c r="N1690" s="14">
        <f t="shared" si="66"/>
        <v>0</v>
      </c>
      <c r="O1690" s="28">
        <f>0.25*M1690</f>
        <v>0</v>
      </c>
      <c r="P1690" s="24">
        <f>0.00032*M1690</f>
        <v>0</v>
      </c>
      <c r="Q1690" s="25"/>
      <c r="R1690" s="26" t="s">
        <v>5108</v>
      </c>
      <c r="S1690" s="26" t="s">
        <v>93</v>
      </c>
      <c r="T1690" s="6" t="str">
        <f>HYPERLINK("https://kanzpp.ru/api/getInfo/image/a7454e01-8f2e-11ec-a211-ac1f6b442185")</f>
        <v>https://kanzpp.ru/api/getInfo/image/a7454e01-8f2e-11ec-a211-ac1f6b442185</v>
      </c>
      <c r="U1690" s="6"/>
      <c r="V1690" s="33" t="s">
        <v>35</v>
      </c>
    </row>
    <row r="1691" spans="2:22" ht="21" customHeight="1" outlineLevel="4" x14ac:dyDescent="0.2">
      <c r="B1691" s="69">
        <v>1199</v>
      </c>
      <c r="C1691" s="6" t="s">
        <v>5109</v>
      </c>
      <c r="D1691" s="6" t="s">
        <v>5106</v>
      </c>
      <c r="E1691" s="7" t="s">
        <v>5107</v>
      </c>
      <c r="F1691" s="13"/>
      <c r="G1691" s="14"/>
      <c r="H1691" s="15">
        <v>20</v>
      </c>
      <c r="I1691" s="14"/>
      <c r="J1691" s="15">
        <v>358</v>
      </c>
      <c r="K1691" s="5">
        <v>4</v>
      </c>
      <c r="L1691" s="16">
        <v>66.533333333333331</v>
      </c>
      <c r="M1691" s="12"/>
      <c r="N1691" s="14">
        <f t="shared" si="66"/>
        <v>0</v>
      </c>
      <c r="O1691" s="28">
        <f>0.25*M1691</f>
        <v>0</v>
      </c>
      <c r="P1691" s="24">
        <f>0.00032*M1691</f>
        <v>0</v>
      </c>
      <c r="Q1691" s="25"/>
      <c r="R1691" s="26"/>
      <c r="S1691" s="26" t="s">
        <v>93</v>
      </c>
      <c r="T1691" s="6" t="str">
        <f>HYPERLINK("https://kanzpp.ru/api/getInfo/image/3faffd8a-adf8-11ed-a230-00155d82e902")</f>
        <v>https://kanzpp.ru/api/getInfo/image/3faffd8a-adf8-11ed-a230-00155d82e902</v>
      </c>
      <c r="U1691" s="6" t="s">
        <v>5108</v>
      </c>
      <c r="V1691" s="33" t="s">
        <v>35</v>
      </c>
    </row>
    <row r="1692" spans="2:22" ht="21" customHeight="1" outlineLevel="4" x14ac:dyDescent="0.2">
      <c r="B1692" s="69">
        <v>1200</v>
      </c>
      <c r="C1692" s="6" t="s">
        <v>5110</v>
      </c>
      <c r="D1692" s="6" t="s">
        <v>5111</v>
      </c>
      <c r="E1692" s="7" t="s">
        <v>5112</v>
      </c>
      <c r="F1692" s="13"/>
      <c r="G1692" s="14"/>
      <c r="H1692" s="14"/>
      <c r="I1692" s="15">
        <v>20</v>
      </c>
      <c r="J1692" s="17">
        <v>1170</v>
      </c>
      <c r="K1692" s="5">
        <v>4</v>
      </c>
      <c r="L1692" s="16">
        <v>66.533333333333331</v>
      </c>
      <c r="M1692" s="12"/>
      <c r="N1692" s="14">
        <f t="shared" si="66"/>
        <v>0</v>
      </c>
      <c r="O1692" s="28">
        <f>0.25*M1692</f>
        <v>0</v>
      </c>
      <c r="P1692" s="24">
        <f>0.00032*M1692</f>
        <v>0</v>
      </c>
      <c r="Q1692" s="25"/>
      <c r="R1692" s="26" t="s">
        <v>5113</v>
      </c>
      <c r="S1692" s="26" t="s">
        <v>93</v>
      </c>
      <c r="T1692" s="6" t="str">
        <f>HYPERLINK("https://kanzpp.ru/api/getInfo/image/0758ce4f-8f2e-11ec-a211-ac1f6b442185")</f>
        <v>https://kanzpp.ru/api/getInfo/image/0758ce4f-8f2e-11ec-a211-ac1f6b442185</v>
      </c>
      <c r="U1692" s="6"/>
      <c r="V1692" s="33" t="s">
        <v>35</v>
      </c>
    </row>
    <row r="1693" spans="2:22" ht="21" customHeight="1" outlineLevel="4" x14ac:dyDescent="0.2">
      <c r="B1693" s="69">
        <v>1201</v>
      </c>
      <c r="C1693" s="6" t="s">
        <v>5114</v>
      </c>
      <c r="D1693" s="6" t="s">
        <v>5111</v>
      </c>
      <c r="E1693" s="7" t="s">
        <v>5112</v>
      </c>
      <c r="F1693" s="13"/>
      <c r="G1693" s="14"/>
      <c r="H1693" s="15">
        <v>20</v>
      </c>
      <c r="I1693" s="14"/>
      <c r="J1693" s="15">
        <v>572</v>
      </c>
      <c r="K1693" s="5">
        <v>4</v>
      </c>
      <c r="L1693" s="16">
        <v>66.533333333333331</v>
      </c>
      <c r="M1693" s="12"/>
      <c r="N1693" s="14">
        <f t="shared" si="66"/>
        <v>0</v>
      </c>
      <c r="O1693" s="28">
        <f>0.25*M1693</f>
        <v>0</v>
      </c>
      <c r="P1693" s="24">
        <f>0.00003*M1693</f>
        <v>0</v>
      </c>
      <c r="Q1693" s="25"/>
      <c r="R1693" s="26"/>
      <c r="S1693" s="26" t="s">
        <v>93</v>
      </c>
      <c r="T1693" s="6" t="str">
        <f>HYPERLINK("https://kanzpp.ru/api/getInfo/image/151dbead-9b21-11ed-a22e-00155d82e902")</f>
        <v>https://kanzpp.ru/api/getInfo/image/151dbead-9b21-11ed-a22e-00155d82e902</v>
      </c>
      <c r="U1693" s="6" t="s">
        <v>5113</v>
      </c>
      <c r="V1693" s="33" t="s">
        <v>35</v>
      </c>
    </row>
    <row r="1694" spans="2:22" ht="21" customHeight="1" outlineLevel="4" x14ac:dyDescent="0.2">
      <c r="B1694" s="69">
        <v>1202</v>
      </c>
      <c r="C1694" s="6" t="s">
        <v>5115</v>
      </c>
      <c r="D1694" s="6" t="s">
        <v>5116</v>
      </c>
      <c r="E1694" s="7" t="s">
        <v>5117</v>
      </c>
      <c r="F1694" s="13"/>
      <c r="G1694" s="14"/>
      <c r="H1694" s="14"/>
      <c r="I1694" s="15">
        <v>20</v>
      </c>
      <c r="J1694" s="14" t="s">
        <v>144</v>
      </c>
      <c r="K1694" s="5">
        <v>4</v>
      </c>
      <c r="L1694" s="16">
        <v>66.533333333333331</v>
      </c>
      <c r="M1694" s="12"/>
      <c r="N1694" s="14">
        <f t="shared" si="66"/>
        <v>0</v>
      </c>
      <c r="O1694" s="23">
        <f>0.222*M1694</f>
        <v>0</v>
      </c>
      <c r="P1694" s="24">
        <f>0.00032*M1694</f>
        <v>0</v>
      </c>
      <c r="Q1694" s="25"/>
      <c r="R1694" s="26" t="s">
        <v>5118</v>
      </c>
      <c r="S1694" s="26" t="s">
        <v>93</v>
      </c>
      <c r="T1694" s="6" t="str">
        <f>HYPERLINK("https://kanzpp.ru/api/getInfo/image/86dfd5a0-d916-11ed-a232-00155d82e902")</f>
        <v>https://kanzpp.ru/api/getInfo/image/86dfd5a0-d916-11ed-a232-00155d82e902</v>
      </c>
      <c r="U1694" s="6"/>
      <c r="V1694" s="33" t="s">
        <v>35</v>
      </c>
    </row>
    <row r="1695" spans="2:22" ht="21" customHeight="1" outlineLevel="4" x14ac:dyDescent="0.2">
      <c r="B1695" s="69">
        <v>1203</v>
      </c>
      <c r="C1695" s="6" t="s">
        <v>5119</v>
      </c>
      <c r="D1695" s="6" t="s">
        <v>5120</v>
      </c>
      <c r="E1695" s="7" t="s">
        <v>5121</v>
      </c>
      <c r="F1695" s="13"/>
      <c r="G1695" s="14"/>
      <c r="H1695" s="14"/>
      <c r="I1695" s="15">
        <v>20</v>
      </c>
      <c r="J1695" s="15">
        <v>33</v>
      </c>
      <c r="K1695" s="5">
        <v>4</v>
      </c>
      <c r="L1695" s="16">
        <v>66.533333333333331</v>
      </c>
      <c r="M1695" s="12"/>
      <c r="N1695" s="14">
        <f t="shared" si="66"/>
        <v>0</v>
      </c>
      <c r="O1695" s="28">
        <f>0.25*M1695</f>
        <v>0</v>
      </c>
      <c r="P1695" s="24">
        <f>0.00032*M1695</f>
        <v>0</v>
      </c>
      <c r="Q1695" s="25"/>
      <c r="R1695" s="26" t="s">
        <v>5122</v>
      </c>
      <c r="S1695" s="26" t="s">
        <v>93</v>
      </c>
      <c r="T1695" s="6" t="str">
        <f>HYPERLINK("https://kanzpp.ru/api/getInfo/image/74df42c6-8f2e-11ec-a211-ac1f6b442185")</f>
        <v>https://kanzpp.ru/api/getInfo/image/74df42c6-8f2e-11ec-a211-ac1f6b442185</v>
      </c>
      <c r="U1695" s="6"/>
      <c r="V1695" s="33" t="s">
        <v>35</v>
      </c>
    </row>
    <row r="1696" spans="2:22" ht="21" customHeight="1" outlineLevel="4" x14ac:dyDescent="0.2">
      <c r="B1696" s="69">
        <v>1204</v>
      </c>
      <c r="C1696" s="6" t="s">
        <v>5123</v>
      </c>
      <c r="D1696" s="6" t="s">
        <v>5124</v>
      </c>
      <c r="E1696" s="7" t="s">
        <v>5125</v>
      </c>
      <c r="F1696" s="13"/>
      <c r="G1696" s="14"/>
      <c r="H1696" s="14"/>
      <c r="I1696" s="15">
        <v>20</v>
      </c>
      <c r="J1696" s="15">
        <v>496</v>
      </c>
      <c r="K1696" s="5">
        <v>4</v>
      </c>
      <c r="L1696" s="16">
        <v>66.533333333333331</v>
      </c>
      <c r="M1696" s="12"/>
      <c r="N1696" s="14">
        <f t="shared" si="66"/>
        <v>0</v>
      </c>
      <c r="O1696" s="23">
        <f>0.224*M1696</f>
        <v>0</v>
      </c>
      <c r="P1696" s="24">
        <f>0.00026*M1696</f>
        <v>0</v>
      </c>
      <c r="Q1696" s="25"/>
      <c r="R1696" s="26" t="s">
        <v>5126</v>
      </c>
      <c r="S1696" s="26" t="s">
        <v>93</v>
      </c>
      <c r="T1696" s="6" t="str">
        <f>HYPERLINK("https://kanzpp.ru/api/getInfo/image/6c2c3663-c3f7-11ee-a25a-00155d82e908")</f>
        <v>https://kanzpp.ru/api/getInfo/image/6c2c3663-c3f7-11ee-a25a-00155d82e908</v>
      </c>
      <c r="U1696" s="6"/>
      <c r="V1696" s="33" t="s">
        <v>35</v>
      </c>
    </row>
    <row r="1697" spans="2:22" ht="21" customHeight="1" outlineLevel="4" x14ac:dyDescent="0.2">
      <c r="B1697" s="69">
        <v>1205</v>
      </c>
      <c r="C1697" s="6" t="s">
        <v>5127</v>
      </c>
      <c r="D1697" s="6" t="s">
        <v>5128</v>
      </c>
      <c r="E1697" s="7" t="s">
        <v>5129</v>
      </c>
      <c r="F1697" s="13"/>
      <c r="G1697" s="14"/>
      <c r="H1697" s="14"/>
      <c r="I1697" s="15">
        <v>20</v>
      </c>
      <c r="J1697" s="14" t="s">
        <v>144</v>
      </c>
      <c r="K1697" s="5">
        <v>4</v>
      </c>
      <c r="L1697" s="16">
        <v>66.533333333333331</v>
      </c>
      <c r="M1697" s="12"/>
      <c r="N1697" s="14">
        <f t="shared" si="66"/>
        <v>0</v>
      </c>
      <c r="O1697" s="28">
        <f>0.25*M1697</f>
        <v>0</v>
      </c>
      <c r="P1697" s="24">
        <f>0.00032*M1697</f>
        <v>0</v>
      </c>
      <c r="Q1697" s="25"/>
      <c r="R1697" s="26" t="s">
        <v>5130</v>
      </c>
      <c r="S1697" s="26" t="s">
        <v>93</v>
      </c>
      <c r="T1697" s="6" t="str">
        <f>HYPERLINK("https://kanzpp.ru/api/getInfo/image/3e6bd257-8f2e-11ec-a211-ac1f6b442185")</f>
        <v>https://kanzpp.ru/api/getInfo/image/3e6bd257-8f2e-11ec-a211-ac1f6b442185</v>
      </c>
      <c r="U1697" s="6"/>
      <c r="V1697" s="33" t="s">
        <v>35</v>
      </c>
    </row>
    <row r="1698" spans="2:22" ht="22.95" customHeight="1" outlineLevel="3" x14ac:dyDescent="0.2">
      <c r="B1698" s="81" t="s">
        <v>5131</v>
      </c>
      <c r="C1698" s="81"/>
      <c r="D1698" s="81"/>
      <c r="L1698">
        <v>0</v>
      </c>
    </row>
    <row r="1699" spans="2:22" ht="21" customHeight="1" outlineLevel="4" x14ac:dyDescent="0.2">
      <c r="B1699" s="69">
        <v>1206</v>
      </c>
      <c r="C1699" s="6" t="s">
        <v>5132</v>
      </c>
      <c r="D1699" s="6" t="s">
        <v>5133</v>
      </c>
      <c r="E1699" s="7" t="s">
        <v>5134</v>
      </c>
      <c r="F1699" s="13"/>
      <c r="G1699" s="14"/>
      <c r="H1699" s="14"/>
      <c r="I1699" s="15">
        <v>20</v>
      </c>
      <c r="J1699" s="14" t="s">
        <v>144</v>
      </c>
      <c r="K1699" s="5">
        <v>4</v>
      </c>
      <c r="L1699" s="16">
        <v>38.666666666666664</v>
      </c>
      <c r="M1699" s="12"/>
      <c r="N1699" s="14">
        <f t="shared" ref="N1699:N1705" si="67">L1699*M1699</f>
        <v>0</v>
      </c>
      <c r="O1699" s="23">
        <f>0.221*M1699</f>
        <v>0</v>
      </c>
      <c r="P1699" s="24">
        <f>0.00029*M1699</f>
        <v>0</v>
      </c>
      <c r="Q1699" s="25"/>
      <c r="R1699" s="26" t="s">
        <v>5135</v>
      </c>
      <c r="S1699" s="26" t="s">
        <v>93</v>
      </c>
      <c r="T1699" s="6" t="str">
        <f>HYPERLINK("https://kanzpp.ru/api/getInfo/image/5c6b3147-174e-11ef-a25d-00155d82e908")</f>
        <v>https://kanzpp.ru/api/getInfo/image/5c6b3147-174e-11ef-a25d-00155d82e908</v>
      </c>
      <c r="U1699" s="6"/>
      <c r="V1699" s="33" t="s">
        <v>35</v>
      </c>
    </row>
    <row r="1700" spans="2:22" ht="21" customHeight="1" outlineLevel="4" x14ac:dyDescent="0.2">
      <c r="B1700" s="69">
        <v>1207</v>
      </c>
      <c r="C1700" s="6" t="s">
        <v>5136</v>
      </c>
      <c r="D1700" s="6" t="s">
        <v>5137</v>
      </c>
      <c r="E1700" s="7" t="s">
        <v>5134</v>
      </c>
      <c r="F1700" s="13"/>
      <c r="G1700" s="14"/>
      <c r="H1700" s="15">
        <v>20</v>
      </c>
      <c r="I1700" s="14"/>
      <c r="J1700" s="15">
        <v>465</v>
      </c>
      <c r="K1700" s="5">
        <v>4</v>
      </c>
      <c r="L1700" s="16">
        <v>38.666666666666664</v>
      </c>
      <c r="M1700" s="12"/>
      <c r="N1700" s="14">
        <f t="shared" si="67"/>
        <v>0</v>
      </c>
      <c r="O1700" s="23">
        <f>0.223*M1700</f>
        <v>0</v>
      </c>
      <c r="P1700" s="24">
        <f>0.00032*M1700</f>
        <v>0</v>
      </c>
      <c r="Q1700" s="25"/>
      <c r="R1700" s="26"/>
      <c r="S1700" s="26" t="s">
        <v>93</v>
      </c>
      <c r="T1700" s="6"/>
      <c r="U1700" s="6" t="s">
        <v>5135</v>
      </c>
      <c r="V1700" s="33" t="s">
        <v>35</v>
      </c>
    </row>
    <row r="1701" spans="2:22" ht="21" customHeight="1" outlineLevel="4" x14ac:dyDescent="0.2">
      <c r="B1701" s="69">
        <v>1208</v>
      </c>
      <c r="C1701" s="6" t="s">
        <v>5138</v>
      </c>
      <c r="D1701" s="6" t="s">
        <v>5139</v>
      </c>
      <c r="E1701" s="7" t="s">
        <v>5140</v>
      </c>
      <c r="F1701" s="13"/>
      <c r="G1701" s="14"/>
      <c r="H1701" s="15">
        <v>20</v>
      </c>
      <c r="I1701" s="14"/>
      <c r="J1701" s="15">
        <v>292</v>
      </c>
      <c r="K1701" s="5">
        <v>4</v>
      </c>
      <c r="L1701" s="16">
        <v>38.666666666666664</v>
      </c>
      <c r="M1701" s="12"/>
      <c r="N1701" s="14">
        <f t="shared" si="67"/>
        <v>0</v>
      </c>
      <c r="O1701" s="23">
        <f>4.615*M1701</f>
        <v>0</v>
      </c>
      <c r="P1701" s="24">
        <f>0.00866*M1701</f>
        <v>0</v>
      </c>
      <c r="Q1701" s="25"/>
      <c r="R1701" s="26"/>
      <c r="S1701" s="26" t="s">
        <v>93</v>
      </c>
      <c r="T1701" s="6" t="str">
        <f>HYPERLINK("https://kanzpp.ru/api/getInfo/image/d86bb1c7-5849-11ee-a245-00155d82e902")</f>
        <v>https://kanzpp.ru/api/getInfo/image/d86bb1c7-5849-11ee-a245-00155d82e902</v>
      </c>
      <c r="U1701" s="6"/>
      <c r="V1701" s="33" t="s">
        <v>35</v>
      </c>
    </row>
    <row r="1702" spans="2:22" ht="21" customHeight="1" outlineLevel="4" x14ac:dyDescent="0.2">
      <c r="B1702" s="69">
        <v>1209</v>
      </c>
      <c r="C1702" s="6" t="s">
        <v>5141</v>
      </c>
      <c r="D1702" s="6" t="s">
        <v>5142</v>
      </c>
      <c r="E1702" s="7" t="s">
        <v>5140</v>
      </c>
      <c r="F1702" s="13"/>
      <c r="G1702" s="14"/>
      <c r="H1702" s="14"/>
      <c r="I1702" s="15">
        <v>20</v>
      </c>
      <c r="J1702" s="14" t="s">
        <v>144</v>
      </c>
      <c r="K1702" s="5">
        <v>4</v>
      </c>
      <c r="L1702" s="16">
        <v>38.666666666666664</v>
      </c>
      <c r="M1702" s="12"/>
      <c r="N1702" s="14">
        <f t="shared" si="67"/>
        <v>0</v>
      </c>
      <c r="O1702" s="23">
        <f>0.221*M1702</f>
        <v>0</v>
      </c>
      <c r="P1702" s="24">
        <f>0.00025*M1702</f>
        <v>0</v>
      </c>
      <c r="Q1702" s="25"/>
      <c r="R1702" s="26" t="s">
        <v>5143</v>
      </c>
      <c r="S1702" s="26" t="s">
        <v>93</v>
      </c>
      <c r="T1702" s="6" t="str">
        <f>HYPERLINK("https://kanzpp.ru/api/getInfo/image/91dbcd65-b1ec-11ed-a230-00155d82e902")</f>
        <v>https://kanzpp.ru/api/getInfo/image/91dbcd65-b1ec-11ed-a230-00155d82e902</v>
      </c>
      <c r="U1702" s="6"/>
      <c r="V1702" s="33" t="s">
        <v>35</v>
      </c>
    </row>
    <row r="1703" spans="2:22" ht="21" customHeight="1" outlineLevel="4" x14ac:dyDescent="0.2">
      <c r="B1703" s="69">
        <v>1210</v>
      </c>
      <c r="C1703" s="6" t="s">
        <v>5144</v>
      </c>
      <c r="D1703" s="6" t="s">
        <v>5145</v>
      </c>
      <c r="E1703" s="7" t="s">
        <v>5146</v>
      </c>
      <c r="F1703" s="13"/>
      <c r="G1703" s="14"/>
      <c r="H1703" s="14"/>
      <c r="I1703" s="15">
        <v>20</v>
      </c>
      <c r="J1703" s="15">
        <v>554</v>
      </c>
      <c r="K1703" s="5">
        <v>4</v>
      </c>
      <c r="L1703" s="16">
        <v>38.666666666666664</v>
      </c>
      <c r="M1703" s="12"/>
      <c r="N1703" s="14">
        <f t="shared" si="67"/>
        <v>0</v>
      </c>
      <c r="O1703" s="23">
        <f>0.218*M1703</f>
        <v>0</v>
      </c>
      <c r="P1703" s="24">
        <f>0.00029*M1703</f>
        <v>0</v>
      </c>
      <c r="Q1703" s="25"/>
      <c r="R1703" s="26" t="s">
        <v>5147</v>
      </c>
      <c r="S1703" s="26" t="s">
        <v>93</v>
      </c>
      <c r="T1703" s="6" t="str">
        <f>HYPERLINK("https://kanzpp.ru/api/getInfo/image/adb853ef-c3f7-11ee-a25a-00155d82e908")</f>
        <v>https://kanzpp.ru/api/getInfo/image/adb853ef-c3f7-11ee-a25a-00155d82e908</v>
      </c>
      <c r="U1703" s="6"/>
      <c r="V1703" s="33" t="s">
        <v>35</v>
      </c>
    </row>
    <row r="1704" spans="2:22" ht="21" customHeight="1" outlineLevel="4" x14ac:dyDescent="0.2">
      <c r="B1704" s="69">
        <v>1211</v>
      </c>
      <c r="C1704" s="6" t="s">
        <v>5148</v>
      </c>
      <c r="D1704" s="6" t="s">
        <v>5149</v>
      </c>
      <c r="E1704" s="7" t="s">
        <v>5150</v>
      </c>
      <c r="F1704" s="13"/>
      <c r="G1704" s="14"/>
      <c r="H1704" s="14"/>
      <c r="I1704" s="15">
        <v>20</v>
      </c>
      <c r="J1704" s="14" t="s">
        <v>144</v>
      </c>
      <c r="K1704" s="5">
        <v>4</v>
      </c>
      <c r="L1704" s="16">
        <v>38.666666666666664</v>
      </c>
      <c r="M1704" s="12"/>
      <c r="N1704" s="14">
        <f t="shared" si="67"/>
        <v>0</v>
      </c>
      <c r="O1704" s="23">
        <f>0.222*M1704</f>
        <v>0</v>
      </c>
      <c r="P1704" s="24">
        <f>0.00032*M1704</f>
        <v>0</v>
      </c>
      <c r="Q1704" s="25"/>
      <c r="R1704" s="26" t="s">
        <v>5151</v>
      </c>
      <c r="S1704" s="26" t="s">
        <v>93</v>
      </c>
      <c r="T1704" s="6" t="str">
        <f>HYPERLINK("https://kanzpp.ru/api/getInfo/image/5c0cbfd1-bf0d-11ed-a230-00155d82e902")</f>
        <v>https://kanzpp.ru/api/getInfo/image/5c0cbfd1-bf0d-11ed-a230-00155d82e902</v>
      </c>
      <c r="U1704" s="6"/>
      <c r="V1704" s="33" t="s">
        <v>35</v>
      </c>
    </row>
    <row r="1705" spans="2:22" ht="21" customHeight="1" outlineLevel="4" x14ac:dyDescent="0.2">
      <c r="B1705" s="69">
        <v>1212</v>
      </c>
      <c r="C1705" s="6" t="s">
        <v>5152</v>
      </c>
      <c r="D1705" s="6" t="s">
        <v>5153</v>
      </c>
      <c r="E1705" s="7" t="s">
        <v>5150</v>
      </c>
      <c r="F1705" s="13"/>
      <c r="G1705" s="14"/>
      <c r="H1705" s="15">
        <v>20</v>
      </c>
      <c r="I1705" s="14"/>
      <c r="J1705" s="15">
        <v>475</v>
      </c>
      <c r="K1705" s="5">
        <v>4</v>
      </c>
      <c r="L1705" s="16">
        <v>38.666666666666664</v>
      </c>
      <c r="M1705" s="12"/>
      <c r="N1705" s="14">
        <f t="shared" si="67"/>
        <v>0</v>
      </c>
      <c r="O1705" s="23">
        <f>4.613*M1705</f>
        <v>0</v>
      </c>
      <c r="P1705" s="24">
        <f>0.00885*M1705</f>
        <v>0</v>
      </c>
      <c r="Q1705" s="25"/>
      <c r="R1705" s="26"/>
      <c r="S1705" s="26" t="s">
        <v>93</v>
      </c>
      <c r="T1705" s="6" t="str">
        <f>HYPERLINK("https://kanzpp.ru/api/getInfo/image/56f5f822-584a-11ee-a245-00155d82e902")</f>
        <v>https://kanzpp.ru/api/getInfo/image/56f5f822-584a-11ee-a245-00155d82e902</v>
      </c>
      <c r="U1705" s="6"/>
      <c r="V1705" s="33" t="s">
        <v>35</v>
      </c>
    </row>
    <row r="1706" spans="2:22" ht="22.95" customHeight="1" outlineLevel="3" x14ac:dyDescent="0.2">
      <c r="B1706" s="81" t="s">
        <v>5154</v>
      </c>
      <c r="C1706" s="81"/>
      <c r="D1706" s="81"/>
      <c r="L1706">
        <v>0</v>
      </c>
    </row>
    <row r="1707" spans="2:22" ht="21" customHeight="1" outlineLevel="4" x14ac:dyDescent="0.2">
      <c r="B1707" s="69">
        <v>1213</v>
      </c>
      <c r="C1707" s="6" t="s">
        <v>5155</v>
      </c>
      <c r="D1707" s="6" t="s">
        <v>5156</v>
      </c>
      <c r="E1707" s="7" t="s">
        <v>5157</v>
      </c>
      <c r="F1707" s="13"/>
      <c r="G1707" s="14"/>
      <c r="H1707" s="14"/>
      <c r="I1707" s="15">
        <v>20</v>
      </c>
      <c r="J1707" s="14" t="s">
        <v>144</v>
      </c>
      <c r="K1707" s="5">
        <v>7</v>
      </c>
      <c r="L1707" s="16">
        <v>26.533333333333331</v>
      </c>
      <c r="M1707" s="12"/>
      <c r="N1707" s="14">
        <f>L1707*M1707</f>
        <v>0</v>
      </c>
      <c r="O1707" s="23">
        <f>0.118*M1707</f>
        <v>0</v>
      </c>
      <c r="P1707" s="24">
        <f>0.00012*M1707</f>
        <v>0</v>
      </c>
      <c r="Q1707" s="25"/>
      <c r="R1707" s="26" t="s">
        <v>5158</v>
      </c>
      <c r="S1707" s="26" t="s">
        <v>93</v>
      </c>
      <c r="T1707" s="6" t="str">
        <f>HYPERLINK("https://kanzpp.ru/api/getInfo/image/7c439c8f-d914-11ed-a232-00155d82e902")</f>
        <v>https://kanzpp.ru/api/getInfo/image/7c439c8f-d914-11ed-a232-00155d82e902</v>
      </c>
      <c r="U1707" s="6"/>
      <c r="V1707" s="33" t="s">
        <v>35</v>
      </c>
    </row>
    <row r="1708" spans="2:22" ht="21" customHeight="1" outlineLevel="4" x14ac:dyDescent="0.2">
      <c r="B1708" s="69">
        <v>1214</v>
      </c>
      <c r="C1708" s="6" t="s">
        <v>5159</v>
      </c>
      <c r="D1708" s="6" t="s">
        <v>5160</v>
      </c>
      <c r="E1708" s="7" t="s">
        <v>5161</v>
      </c>
      <c r="F1708" s="13"/>
      <c r="G1708" s="14"/>
      <c r="H1708" s="14"/>
      <c r="I1708" s="15">
        <v>20</v>
      </c>
      <c r="J1708" s="14" t="s">
        <v>144</v>
      </c>
      <c r="K1708" s="5">
        <v>7</v>
      </c>
      <c r="L1708" s="16">
        <v>26.533333333333331</v>
      </c>
      <c r="M1708" s="12"/>
      <c r="N1708" s="14">
        <f>L1708*M1708</f>
        <v>0</v>
      </c>
      <c r="O1708" s="23">
        <f>0.117*M1708</f>
        <v>0</v>
      </c>
      <c r="P1708" s="24">
        <f>0.00015*M1708</f>
        <v>0</v>
      </c>
      <c r="Q1708" s="25"/>
      <c r="R1708" s="26" t="s">
        <v>5162</v>
      </c>
      <c r="S1708" s="26" t="s">
        <v>93</v>
      </c>
      <c r="T1708" s="6" t="str">
        <f>HYPERLINK("https://kanzpp.ru/api/getInfo/image/55f09088-d914-11ed-a232-00155d82e902")</f>
        <v>https://kanzpp.ru/api/getInfo/image/55f09088-d914-11ed-a232-00155d82e902</v>
      </c>
      <c r="U1708" s="6"/>
      <c r="V1708" s="33" t="s">
        <v>35</v>
      </c>
    </row>
    <row r="1709" spans="2:22" ht="21" customHeight="1" outlineLevel="4" x14ac:dyDescent="0.2">
      <c r="B1709" s="69">
        <v>1215</v>
      </c>
      <c r="C1709" s="6" t="s">
        <v>5163</v>
      </c>
      <c r="D1709" s="6" t="s">
        <v>5164</v>
      </c>
      <c r="E1709" s="7" t="s">
        <v>5165</v>
      </c>
      <c r="F1709" s="13"/>
      <c r="G1709" s="14"/>
      <c r="H1709" s="14"/>
      <c r="I1709" s="15">
        <v>20</v>
      </c>
      <c r="J1709" s="15">
        <v>20</v>
      </c>
      <c r="K1709" s="5">
        <v>7</v>
      </c>
      <c r="L1709" s="16">
        <v>26.533333333333331</v>
      </c>
      <c r="M1709" s="12"/>
      <c r="N1709" s="14">
        <f>L1709*M1709</f>
        <v>0</v>
      </c>
      <c r="O1709" s="23">
        <f>0.122*M1709</f>
        <v>0</v>
      </c>
      <c r="P1709" s="24">
        <f>0.00013*M1709</f>
        <v>0</v>
      </c>
      <c r="Q1709" s="25"/>
      <c r="R1709" s="26" t="s">
        <v>5166</v>
      </c>
      <c r="S1709" s="26" t="s">
        <v>93</v>
      </c>
      <c r="T1709" s="6" t="str">
        <f>HYPERLINK("https://kanzpp.ru/api/getInfo/image/4e04b1ec-671a-11ec-a20f-ac1f6b442185")</f>
        <v>https://kanzpp.ru/api/getInfo/image/4e04b1ec-671a-11ec-a20f-ac1f6b442185</v>
      </c>
      <c r="U1709" s="6"/>
      <c r="V1709" s="33" t="s">
        <v>35</v>
      </c>
    </row>
    <row r="1710" spans="2:22" ht="22.95" customHeight="1" outlineLevel="1" x14ac:dyDescent="0.2">
      <c r="B1710" s="79" t="s">
        <v>5167</v>
      </c>
      <c r="C1710" s="79"/>
      <c r="D1710" s="79"/>
      <c r="L1710">
        <v>0</v>
      </c>
    </row>
    <row r="1711" spans="2:22" ht="22.95" customHeight="1" outlineLevel="2" x14ac:dyDescent="0.2">
      <c r="B1711" s="80" t="s">
        <v>5168</v>
      </c>
      <c r="C1711" s="80"/>
      <c r="D1711" s="80"/>
      <c r="L1711">
        <v>0</v>
      </c>
    </row>
    <row r="1712" spans="2:22" ht="22.95" customHeight="1" outlineLevel="3" x14ac:dyDescent="0.2">
      <c r="B1712" s="81" t="s">
        <v>5169</v>
      </c>
      <c r="C1712" s="81"/>
      <c r="D1712" s="81"/>
      <c r="L1712">
        <v>0</v>
      </c>
    </row>
    <row r="1713" spans="2:22" ht="21" customHeight="1" outlineLevel="4" x14ac:dyDescent="0.2">
      <c r="B1713" s="69">
        <v>1216</v>
      </c>
      <c r="C1713" s="6" t="s">
        <v>5170</v>
      </c>
      <c r="D1713" s="6" t="s">
        <v>5171</v>
      </c>
      <c r="E1713" s="7" t="s">
        <v>5172</v>
      </c>
      <c r="F1713" s="13"/>
      <c r="G1713" s="14"/>
      <c r="H1713" s="15">
        <v>50</v>
      </c>
      <c r="I1713" s="14"/>
      <c r="J1713" s="15">
        <v>313</v>
      </c>
      <c r="K1713" s="5">
        <v>3</v>
      </c>
      <c r="L1713" s="16">
        <v>92</v>
      </c>
      <c r="M1713" s="12"/>
      <c r="N1713" s="14">
        <f t="shared" ref="N1713:N1720" si="68">L1713*M1713</f>
        <v>0</v>
      </c>
      <c r="O1713" s="23">
        <f>0.052*M1713</f>
        <v>0</v>
      </c>
      <c r="P1713" s="24">
        <f>0.00027*M1713</f>
        <v>0</v>
      </c>
      <c r="Q1713" s="25"/>
      <c r="R1713" s="26" t="s">
        <v>5173</v>
      </c>
      <c r="S1713" s="26" t="s">
        <v>29</v>
      </c>
      <c r="T1713" s="6" t="str">
        <f>HYPERLINK("https://kanzpp.ru/api/getInfo/image/f2db3f9f-37ba-11ec-a20f-ac1f6b442185")</f>
        <v>https://kanzpp.ru/api/getInfo/image/f2db3f9f-37ba-11ec-a20f-ac1f6b442185</v>
      </c>
      <c r="U1713" s="6"/>
      <c r="V1713" s="33" t="s">
        <v>35</v>
      </c>
    </row>
    <row r="1714" spans="2:22" ht="21" customHeight="1" outlineLevel="4" x14ac:dyDescent="0.2">
      <c r="B1714" s="69">
        <v>1217</v>
      </c>
      <c r="C1714" s="6" t="s">
        <v>5174</v>
      </c>
      <c r="D1714" s="6" t="s">
        <v>5175</v>
      </c>
      <c r="E1714" s="7" t="s">
        <v>5176</v>
      </c>
      <c r="F1714" s="13"/>
      <c r="G1714" s="14"/>
      <c r="H1714" s="15">
        <v>50</v>
      </c>
      <c r="I1714" s="14"/>
      <c r="J1714" s="15">
        <v>456</v>
      </c>
      <c r="K1714" s="5">
        <v>3</v>
      </c>
      <c r="L1714" s="16">
        <v>92</v>
      </c>
      <c r="M1714" s="12"/>
      <c r="N1714" s="14">
        <f t="shared" si="68"/>
        <v>0</v>
      </c>
      <c r="O1714" s="23">
        <f>0.045*M1714</f>
        <v>0</v>
      </c>
      <c r="P1714" s="24">
        <f>0.00029*M1714</f>
        <v>0</v>
      </c>
      <c r="Q1714" s="25"/>
      <c r="R1714" s="26" t="s">
        <v>5177</v>
      </c>
      <c r="S1714" s="26" t="s">
        <v>29</v>
      </c>
      <c r="T1714" s="6" t="str">
        <f>HYPERLINK("https://kanzpp.ru/api/getInfo/image/cc5aa090-37bb-11ec-a20f-ac1f6b442185")</f>
        <v>https://kanzpp.ru/api/getInfo/image/cc5aa090-37bb-11ec-a20f-ac1f6b442185</v>
      </c>
      <c r="U1714" s="6"/>
      <c r="V1714" s="33" t="s">
        <v>35</v>
      </c>
    </row>
    <row r="1715" spans="2:22" ht="21" customHeight="1" outlineLevel="4" x14ac:dyDescent="0.2">
      <c r="B1715" s="69">
        <v>1218</v>
      </c>
      <c r="C1715" s="6" t="s">
        <v>5178</v>
      </c>
      <c r="D1715" s="6" t="s">
        <v>5179</v>
      </c>
      <c r="E1715" s="7" t="s">
        <v>5180</v>
      </c>
      <c r="F1715" s="13"/>
      <c r="G1715" s="14"/>
      <c r="H1715" s="15">
        <v>50</v>
      </c>
      <c r="I1715" s="14"/>
      <c r="J1715" s="15">
        <v>320</v>
      </c>
      <c r="K1715" s="5">
        <v>3</v>
      </c>
      <c r="L1715" s="16">
        <v>92</v>
      </c>
      <c r="M1715" s="12"/>
      <c r="N1715" s="14">
        <f t="shared" si="68"/>
        <v>0</v>
      </c>
      <c r="O1715" s="23">
        <f>0.045*M1715</f>
        <v>0</v>
      </c>
      <c r="P1715" s="24">
        <f>0.00035*M1715</f>
        <v>0</v>
      </c>
      <c r="Q1715" s="25"/>
      <c r="R1715" s="26" t="s">
        <v>5181</v>
      </c>
      <c r="S1715" s="26" t="s">
        <v>29</v>
      </c>
      <c r="T1715" s="6" t="str">
        <f>HYPERLINK("https://kanzpp.ru/api/getInfo/image/7273564b-37b9-11ec-a20f-ac1f6b442185")</f>
        <v>https://kanzpp.ru/api/getInfo/image/7273564b-37b9-11ec-a20f-ac1f6b442185</v>
      </c>
      <c r="U1715" s="6"/>
      <c r="V1715" s="33" t="s">
        <v>35</v>
      </c>
    </row>
    <row r="1716" spans="2:22" ht="21" customHeight="1" outlineLevel="4" x14ac:dyDescent="0.2">
      <c r="B1716" s="69">
        <v>1219</v>
      </c>
      <c r="C1716" s="6" t="s">
        <v>5182</v>
      </c>
      <c r="D1716" s="6" t="s">
        <v>5183</v>
      </c>
      <c r="E1716" s="7" t="s">
        <v>5184</v>
      </c>
      <c r="F1716" s="13"/>
      <c r="G1716" s="14"/>
      <c r="H1716" s="15">
        <v>50</v>
      </c>
      <c r="I1716" s="14"/>
      <c r="J1716" s="15">
        <v>439</v>
      </c>
      <c r="K1716" s="5">
        <v>3</v>
      </c>
      <c r="L1716" s="16">
        <v>92</v>
      </c>
      <c r="M1716" s="12"/>
      <c r="N1716" s="14">
        <f t="shared" si="68"/>
        <v>0</v>
      </c>
      <c r="O1716" s="23">
        <f>0.048*M1716</f>
        <v>0</v>
      </c>
      <c r="P1716" s="31">
        <f>0.0005*M1716</f>
        <v>0</v>
      </c>
      <c r="Q1716" s="25"/>
      <c r="R1716" s="26" t="s">
        <v>5185</v>
      </c>
      <c r="S1716" s="26" t="s">
        <v>29</v>
      </c>
      <c r="T1716" s="6" t="str">
        <f>HYPERLINK("https://kanzpp.ru/api/getInfo/image/3151def6-37b6-11ec-a20f-ac1f6b442185")</f>
        <v>https://kanzpp.ru/api/getInfo/image/3151def6-37b6-11ec-a20f-ac1f6b442185</v>
      </c>
      <c r="U1716" s="6"/>
      <c r="V1716" s="33" t="s">
        <v>35</v>
      </c>
    </row>
    <row r="1717" spans="2:22" ht="21" customHeight="1" outlineLevel="4" x14ac:dyDescent="0.2">
      <c r="B1717" s="69">
        <v>1220</v>
      </c>
      <c r="C1717" s="6" t="s">
        <v>5186</v>
      </c>
      <c r="D1717" s="6" t="s">
        <v>5187</v>
      </c>
      <c r="E1717" s="7" t="s">
        <v>5188</v>
      </c>
      <c r="F1717" s="13"/>
      <c r="G1717" s="14"/>
      <c r="H1717" s="15">
        <v>50</v>
      </c>
      <c r="I1717" s="14"/>
      <c r="J1717" s="15">
        <v>462</v>
      </c>
      <c r="K1717" s="5">
        <v>3</v>
      </c>
      <c r="L1717" s="16">
        <v>92</v>
      </c>
      <c r="M1717" s="12"/>
      <c r="N1717" s="14">
        <f t="shared" si="68"/>
        <v>0</v>
      </c>
      <c r="O1717" s="23">
        <f>0.045*M1717</f>
        <v>0</v>
      </c>
      <c r="P1717" s="24">
        <f>0.00029*M1717</f>
        <v>0</v>
      </c>
      <c r="Q1717" s="25"/>
      <c r="R1717" s="26" t="s">
        <v>5189</v>
      </c>
      <c r="S1717" s="26" t="s">
        <v>29</v>
      </c>
      <c r="T1717" s="6" t="str">
        <f>HYPERLINK("https://kanzpp.ru/api/getInfo/image/afc317ed-37b5-11ec-a20f-ac1f6b442185")</f>
        <v>https://kanzpp.ru/api/getInfo/image/afc317ed-37b5-11ec-a20f-ac1f6b442185</v>
      </c>
      <c r="U1717" s="6"/>
      <c r="V1717" s="33" t="s">
        <v>35</v>
      </c>
    </row>
    <row r="1718" spans="2:22" ht="21" customHeight="1" outlineLevel="4" x14ac:dyDescent="0.2">
      <c r="B1718" s="69">
        <v>1221</v>
      </c>
      <c r="C1718" s="6" t="s">
        <v>5190</v>
      </c>
      <c r="D1718" s="6" t="s">
        <v>5191</v>
      </c>
      <c r="E1718" s="7" t="s">
        <v>5192</v>
      </c>
      <c r="F1718" s="13"/>
      <c r="G1718" s="14"/>
      <c r="H1718" s="15">
        <v>50</v>
      </c>
      <c r="I1718" s="14"/>
      <c r="J1718" s="15">
        <v>444</v>
      </c>
      <c r="K1718" s="5">
        <v>3</v>
      </c>
      <c r="L1718" s="16">
        <v>92</v>
      </c>
      <c r="M1718" s="12"/>
      <c r="N1718" s="14">
        <f t="shared" si="68"/>
        <v>0</v>
      </c>
      <c r="O1718" s="23">
        <f>0.045*M1718</f>
        <v>0</v>
      </c>
      <c r="P1718" s="24">
        <f>0.00029*M1718</f>
        <v>0</v>
      </c>
      <c r="Q1718" s="25"/>
      <c r="R1718" s="26" t="s">
        <v>5193</v>
      </c>
      <c r="S1718" s="26" t="s">
        <v>29</v>
      </c>
      <c r="T1718" s="6" t="str">
        <f>HYPERLINK("https://kanzpp.ru/api/getInfo/image/3a4f287f-37bb-11ec-a20f-ac1f6b442185")</f>
        <v>https://kanzpp.ru/api/getInfo/image/3a4f287f-37bb-11ec-a20f-ac1f6b442185</v>
      </c>
      <c r="U1718" s="6"/>
      <c r="V1718" s="33" t="s">
        <v>35</v>
      </c>
    </row>
    <row r="1719" spans="2:22" ht="21" customHeight="1" outlineLevel="4" x14ac:dyDescent="0.2">
      <c r="B1719" s="69">
        <v>1222</v>
      </c>
      <c r="C1719" s="6" t="s">
        <v>5194</v>
      </c>
      <c r="D1719" s="6" t="s">
        <v>5195</v>
      </c>
      <c r="E1719" s="7" t="s">
        <v>5196</v>
      </c>
      <c r="F1719" s="13"/>
      <c r="G1719" s="14"/>
      <c r="H1719" s="15">
        <v>50</v>
      </c>
      <c r="I1719" s="14"/>
      <c r="J1719" s="15">
        <v>384</v>
      </c>
      <c r="K1719" s="5">
        <v>3</v>
      </c>
      <c r="L1719" s="16">
        <v>92</v>
      </c>
      <c r="M1719" s="12"/>
      <c r="N1719" s="14">
        <f t="shared" si="68"/>
        <v>0</v>
      </c>
      <c r="O1719" s="23">
        <f>0.045*M1719</f>
        <v>0</v>
      </c>
      <c r="P1719" s="24">
        <f>0.00032*M1719</f>
        <v>0</v>
      </c>
      <c r="Q1719" s="25"/>
      <c r="R1719" s="26" t="s">
        <v>5197</v>
      </c>
      <c r="S1719" s="26" t="s">
        <v>29</v>
      </c>
      <c r="T1719" s="6" t="str">
        <f>HYPERLINK("https://kanzpp.ru/api/getInfo/image/398199f6-37b8-11ec-a20f-ac1f6b442185")</f>
        <v>https://kanzpp.ru/api/getInfo/image/398199f6-37b8-11ec-a20f-ac1f6b442185</v>
      </c>
      <c r="U1719" s="6"/>
      <c r="V1719" s="33" t="s">
        <v>35</v>
      </c>
    </row>
    <row r="1720" spans="2:22" ht="21" customHeight="1" outlineLevel="4" x14ac:dyDescent="0.2">
      <c r="B1720" s="69">
        <v>1223</v>
      </c>
      <c r="C1720" s="6" t="s">
        <v>5198</v>
      </c>
      <c r="D1720" s="6" t="s">
        <v>5199</v>
      </c>
      <c r="E1720" s="7" t="s">
        <v>5200</v>
      </c>
      <c r="F1720" s="13"/>
      <c r="G1720" s="14"/>
      <c r="H1720" s="15">
        <v>50</v>
      </c>
      <c r="I1720" s="14"/>
      <c r="J1720" s="15">
        <v>448</v>
      </c>
      <c r="K1720" s="5">
        <v>3</v>
      </c>
      <c r="L1720" s="16">
        <v>92</v>
      </c>
      <c r="M1720" s="12"/>
      <c r="N1720" s="14">
        <f t="shared" si="68"/>
        <v>0</v>
      </c>
      <c r="O1720" s="23">
        <f>0.045*M1720</f>
        <v>0</v>
      </c>
      <c r="P1720" s="24">
        <f>0.00039*M1720</f>
        <v>0</v>
      </c>
      <c r="Q1720" s="25"/>
      <c r="R1720" s="26" t="s">
        <v>5201</v>
      </c>
      <c r="S1720" s="26" t="s">
        <v>29</v>
      </c>
      <c r="T1720" s="6" t="str">
        <f>HYPERLINK("https://kanzpp.ru/api/getInfo/image/fc1ce1d7-37b7-11ec-a20f-ac1f6b442185")</f>
        <v>https://kanzpp.ru/api/getInfo/image/fc1ce1d7-37b7-11ec-a20f-ac1f6b442185</v>
      </c>
      <c r="U1720" s="6"/>
      <c r="V1720" s="33" t="s">
        <v>35</v>
      </c>
    </row>
    <row r="1721" spans="2:22" ht="22.95" customHeight="1" outlineLevel="3" x14ac:dyDescent="0.2">
      <c r="B1721" s="81" t="s">
        <v>5202</v>
      </c>
      <c r="C1721" s="81"/>
      <c r="D1721" s="81"/>
      <c r="L1721">
        <v>0</v>
      </c>
    </row>
    <row r="1722" spans="2:22" ht="21" customHeight="1" outlineLevel="4" x14ac:dyDescent="0.2">
      <c r="B1722" s="69">
        <v>1224</v>
      </c>
      <c r="C1722" s="6" t="s">
        <v>5203</v>
      </c>
      <c r="D1722" s="6" t="s">
        <v>5204</v>
      </c>
      <c r="E1722" s="7" t="s">
        <v>5205</v>
      </c>
      <c r="F1722" s="13"/>
      <c r="G1722" s="14"/>
      <c r="H1722" s="15">
        <v>50</v>
      </c>
      <c r="I1722" s="14"/>
      <c r="J1722" s="15">
        <v>447</v>
      </c>
      <c r="K1722" s="5">
        <v>3</v>
      </c>
      <c r="L1722" s="16">
        <v>65.333333333333329</v>
      </c>
      <c r="M1722" s="12"/>
      <c r="N1722" s="14">
        <f>L1722*M1722</f>
        <v>0</v>
      </c>
      <c r="O1722" s="27">
        <f>0.1*M1722</f>
        <v>0</v>
      </c>
      <c r="P1722" s="24">
        <f>0.00076*M1722</f>
        <v>0</v>
      </c>
      <c r="Q1722" s="25"/>
      <c r="R1722" s="26" t="s">
        <v>5206</v>
      </c>
      <c r="S1722" s="26" t="s">
        <v>29</v>
      </c>
      <c r="T1722" s="6" t="str">
        <f>HYPERLINK("https://kanzpp.ru/api/getInfo/image/3ef4545d-9cea-11e6-a489-5cf3fc4a2490")</f>
        <v>https://kanzpp.ru/api/getInfo/image/3ef4545d-9cea-11e6-a489-5cf3fc4a2490</v>
      </c>
      <c r="U1722" s="6"/>
      <c r="V1722" s="33" t="s">
        <v>35</v>
      </c>
    </row>
    <row r="1723" spans="2:22" ht="21" customHeight="1" outlineLevel="4" x14ac:dyDescent="0.2">
      <c r="B1723" s="69">
        <v>1225</v>
      </c>
      <c r="C1723" s="6" t="s">
        <v>5207</v>
      </c>
      <c r="D1723" s="6" t="s">
        <v>5208</v>
      </c>
      <c r="E1723" s="7" t="s">
        <v>5209</v>
      </c>
      <c r="F1723" s="13"/>
      <c r="G1723" s="14"/>
      <c r="H1723" s="15">
        <v>50</v>
      </c>
      <c r="I1723" s="14"/>
      <c r="J1723" s="15">
        <v>502</v>
      </c>
      <c r="K1723" s="5">
        <v>3</v>
      </c>
      <c r="L1723" s="16">
        <v>65.333333333333329</v>
      </c>
      <c r="M1723" s="12"/>
      <c r="N1723" s="14">
        <f>L1723*M1723</f>
        <v>0</v>
      </c>
      <c r="O1723" s="27">
        <f>0.1*M1723</f>
        <v>0</v>
      </c>
      <c r="P1723" s="24">
        <f>0.00076*M1723</f>
        <v>0</v>
      </c>
      <c r="Q1723" s="25"/>
      <c r="R1723" s="26" t="s">
        <v>5210</v>
      </c>
      <c r="S1723" s="26" t="s">
        <v>29</v>
      </c>
      <c r="T1723" s="6" t="str">
        <f>HYPERLINK("https://kanzpp.ru/api/getInfo/image/99bb4747-feb6-11ec-a213-ac1f6b442185")</f>
        <v>https://kanzpp.ru/api/getInfo/image/99bb4747-feb6-11ec-a213-ac1f6b442185</v>
      </c>
      <c r="U1723" s="6"/>
      <c r="V1723" s="33" t="s">
        <v>35</v>
      </c>
    </row>
    <row r="1724" spans="2:22" ht="21" customHeight="1" outlineLevel="4" x14ac:dyDescent="0.2">
      <c r="B1724" s="69">
        <v>1226</v>
      </c>
      <c r="C1724" s="6" t="s">
        <v>5211</v>
      </c>
      <c r="D1724" s="6" t="s">
        <v>5212</v>
      </c>
      <c r="E1724" s="7" t="s">
        <v>5213</v>
      </c>
      <c r="F1724" s="13"/>
      <c r="G1724" s="14"/>
      <c r="H1724" s="15">
        <v>50</v>
      </c>
      <c r="I1724" s="14"/>
      <c r="J1724" s="15">
        <v>354</v>
      </c>
      <c r="K1724" s="5">
        <v>3</v>
      </c>
      <c r="L1724" s="16">
        <v>65.333333333333329</v>
      </c>
      <c r="M1724" s="12"/>
      <c r="N1724" s="14">
        <f>L1724*M1724</f>
        <v>0</v>
      </c>
      <c r="O1724" s="27">
        <f>0.1*M1724</f>
        <v>0</v>
      </c>
      <c r="P1724" s="24">
        <f>0.00076*M1724</f>
        <v>0</v>
      </c>
      <c r="Q1724" s="25"/>
      <c r="R1724" s="26" t="s">
        <v>5214</v>
      </c>
      <c r="S1724" s="26" t="s">
        <v>29</v>
      </c>
      <c r="T1724" s="6" t="str">
        <f>HYPERLINK("https://kanzpp.ru/api/getInfo/image/6b643228-9cea-11e6-a489-5cf3fc4a2490")</f>
        <v>https://kanzpp.ru/api/getInfo/image/6b643228-9cea-11e6-a489-5cf3fc4a2490</v>
      </c>
      <c r="U1724" s="6"/>
      <c r="V1724" s="33" t="s">
        <v>35</v>
      </c>
    </row>
    <row r="1725" spans="2:22" ht="21" customHeight="1" outlineLevel="4" x14ac:dyDescent="0.2">
      <c r="B1725" s="69">
        <v>1227</v>
      </c>
      <c r="C1725" s="6" t="s">
        <v>5215</v>
      </c>
      <c r="D1725" s="6" t="s">
        <v>5216</v>
      </c>
      <c r="E1725" s="7" t="s">
        <v>5217</v>
      </c>
      <c r="F1725" s="13"/>
      <c r="G1725" s="14"/>
      <c r="H1725" s="15">
        <v>50</v>
      </c>
      <c r="I1725" s="14"/>
      <c r="J1725" s="15">
        <v>329</v>
      </c>
      <c r="K1725" s="5">
        <v>3</v>
      </c>
      <c r="L1725" s="16">
        <v>65.333333333333329</v>
      </c>
      <c r="M1725" s="12"/>
      <c r="N1725" s="14">
        <f>L1725*M1725</f>
        <v>0</v>
      </c>
      <c r="O1725" s="27">
        <f>0.1*M1725</f>
        <v>0</v>
      </c>
      <c r="P1725" s="24">
        <f>0.00076*M1725</f>
        <v>0</v>
      </c>
      <c r="Q1725" s="25"/>
      <c r="R1725" s="26" t="s">
        <v>5218</v>
      </c>
      <c r="S1725" s="26" t="s">
        <v>29</v>
      </c>
      <c r="T1725" s="6" t="str">
        <f>HYPERLINK("https://kanzpp.ru/api/getInfo/image/8beac992-9cea-11e6-a489-5cf3fc4a2490")</f>
        <v>https://kanzpp.ru/api/getInfo/image/8beac992-9cea-11e6-a489-5cf3fc4a2490</v>
      </c>
      <c r="U1725" s="6"/>
      <c r="V1725" s="33" t="s">
        <v>35</v>
      </c>
    </row>
    <row r="1726" spans="2:22" ht="21" customHeight="1" outlineLevel="4" x14ac:dyDescent="0.2">
      <c r="B1726" s="69">
        <v>1228</v>
      </c>
      <c r="C1726" s="6" t="s">
        <v>5219</v>
      </c>
      <c r="D1726" s="6" t="s">
        <v>5220</v>
      </c>
      <c r="E1726" s="7" t="s">
        <v>5221</v>
      </c>
      <c r="F1726" s="13"/>
      <c r="G1726" s="14"/>
      <c r="H1726" s="15">
        <v>50</v>
      </c>
      <c r="I1726" s="14"/>
      <c r="J1726" s="15">
        <v>96</v>
      </c>
      <c r="K1726" s="5">
        <v>3</v>
      </c>
      <c r="L1726" s="16">
        <v>65.333333333333329</v>
      </c>
      <c r="M1726" s="12"/>
      <c r="N1726" s="14">
        <f>L1726*M1726</f>
        <v>0</v>
      </c>
      <c r="O1726" s="27">
        <f>0.1*M1726</f>
        <v>0</v>
      </c>
      <c r="P1726" s="24">
        <f>0.00076*M1726</f>
        <v>0</v>
      </c>
      <c r="Q1726" s="25"/>
      <c r="R1726" s="26" t="s">
        <v>5222</v>
      </c>
      <c r="S1726" s="26" t="s">
        <v>29</v>
      </c>
      <c r="T1726" s="6" t="str">
        <f>HYPERLINK("https://kanzpp.ru/api/getInfo/image/09348cc3-9f74-11e6-a489-5cf3fc4a2490")</f>
        <v>https://kanzpp.ru/api/getInfo/image/09348cc3-9f74-11e6-a489-5cf3fc4a2490</v>
      </c>
      <c r="U1726" s="6"/>
      <c r="V1726" s="33" t="s">
        <v>35</v>
      </c>
    </row>
    <row r="1727" spans="2:22" ht="22.95" customHeight="1" outlineLevel="3" x14ac:dyDescent="0.2">
      <c r="B1727" s="81" t="s">
        <v>5223</v>
      </c>
      <c r="C1727" s="81"/>
      <c r="D1727" s="81"/>
      <c r="L1727">
        <v>0</v>
      </c>
    </row>
    <row r="1728" spans="2:22" ht="21" customHeight="1" outlineLevel="4" x14ac:dyDescent="0.2">
      <c r="B1728" s="69">
        <v>1229</v>
      </c>
      <c r="C1728" s="6" t="s">
        <v>5224</v>
      </c>
      <c r="D1728" s="6" t="s">
        <v>5225</v>
      </c>
      <c r="E1728" s="7" t="s">
        <v>5226</v>
      </c>
      <c r="F1728" s="13"/>
      <c r="G1728" s="14"/>
      <c r="H1728" s="15">
        <v>45</v>
      </c>
      <c r="I1728" s="15">
        <v>1</v>
      </c>
      <c r="J1728" s="15">
        <v>28</v>
      </c>
      <c r="K1728" s="5">
        <v>1</v>
      </c>
      <c r="L1728" s="16">
        <v>65.333333333333329</v>
      </c>
      <c r="M1728" s="12"/>
      <c r="N1728" s="14">
        <f>L1728*M1728</f>
        <v>0</v>
      </c>
      <c r="O1728" s="23">
        <f>0.112*M1728</f>
        <v>0</v>
      </c>
      <c r="P1728" s="31">
        <f>0.0008*M1728</f>
        <v>0</v>
      </c>
      <c r="Q1728" s="25"/>
      <c r="R1728" s="26" t="s">
        <v>5227</v>
      </c>
      <c r="S1728" s="26" t="s">
        <v>29</v>
      </c>
      <c r="T1728" s="6"/>
      <c r="U1728" s="6"/>
      <c r="V1728" s="33" t="s">
        <v>35</v>
      </c>
    </row>
    <row r="1729" spans="2:22" ht="21" customHeight="1" outlineLevel="4" x14ac:dyDescent="0.2">
      <c r="B1729" s="69">
        <v>1230</v>
      </c>
      <c r="C1729" s="6" t="s">
        <v>5228</v>
      </c>
      <c r="D1729" s="6" t="s">
        <v>5229</v>
      </c>
      <c r="E1729" s="7" t="s">
        <v>5230</v>
      </c>
      <c r="F1729" s="13"/>
      <c r="G1729" s="14"/>
      <c r="H1729" s="15">
        <v>45</v>
      </c>
      <c r="I1729" s="14"/>
      <c r="J1729" s="15">
        <v>485</v>
      </c>
      <c r="K1729" s="5">
        <v>3</v>
      </c>
      <c r="L1729" s="16">
        <v>65.333333333333329</v>
      </c>
      <c r="M1729" s="12"/>
      <c r="N1729" s="14">
        <f>L1729*M1729</f>
        <v>0</v>
      </c>
      <c r="O1729" s="23">
        <f>0.112*M1729</f>
        <v>0</v>
      </c>
      <c r="P1729" s="31">
        <f>0.0008*M1729</f>
        <v>0</v>
      </c>
      <c r="Q1729" s="25"/>
      <c r="R1729" s="26" t="s">
        <v>5231</v>
      </c>
      <c r="S1729" s="26" t="s">
        <v>29</v>
      </c>
      <c r="T1729" s="6" t="str">
        <f>HYPERLINK("https://kanzpp.ru/api/getInfo/image/ae93a181-feb7-11ec-a213-ac1f6b442185")</f>
        <v>https://kanzpp.ru/api/getInfo/image/ae93a181-feb7-11ec-a213-ac1f6b442185</v>
      </c>
      <c r="U1729" s="6"/>
      <c r="V1729" s="33" t="s">
        <v>35</v>
      </c>
    </row>
    <row r="1730" spans="2:22" ht="21" customHeight="1" outlineLevel="4" x14ac:dyDescent="0.2">
      <c r="B1730" s="69">
        <v>1231</v>
      </c>
      <c r="C1730" s="6" t="s">
        <v>5232</v>
      </c>
      <c r="D1730" s="6" t="s">
        <v>5233</v>
      </c>
      <c r="E1730" s="7" t="s">
        <v>5234</v>
      </c>
      <c r="F1730" s="13"/>
      <c r="G1730" s="14"/>
      <c r="H1730" s="15">
        <v>45</v>
      </c>
      <c r="I1730" s="14"/>
      <c r="J1730" s="15">
        <v>345</v>
      </c>
      <c r="K1730" s="5">
        <v>3</v>
      </c>
      <c r="L1730" s="16">
        <v>65.333333333333329</v>
      </c>
      <c r="M1730" s="12"/>
      <c r="N1730" s="14">
        <f>L1730*M1730</f>
        <v>0</v>
      </c>
      <c r="O1730" s="23">
        <f>0.112*M1730</f>
        <v>0</v>
      </c>
      <c r="P1730" s="31">
        <f>0.0008*M1730</f>
        <v>0</v>
      </c>
      <c r="Q1730" s="25"/>
      <c r="R1730" s="26" t="s">
        <v>5235</v>
      </c>
      <c r="S1730" s="26" t="s">
        <v>29</v>
      </c>
      <c r="T1730" s="6" t="str">
        <f>HYPERLINK("https://kanzpp.ru/api/getInfo/image/e25747a3-8ef5-11e6-9fbd-5cf3fc4a2490")</f>
        <v>https://kanzpp.ru/api/getInfo/image/e25747a3-8ef5-11e6-9fbd-5cf3fc4a2490</v>
      </c>
      <c r="U1730" s="6"/>
      <c r="V1730" s="33" t="s">
        <v>35</v>
      </c>
    </row>
    <row r="1731" spans="2:22" ht="21" customHeight="1" outlineLevel="4" x14ac:dyDescent="0.2">
      <c r="B1731" s="69">
        <v>1232</v>
      </c>
      <c r="C1731" s="6" t="s">
        <v>5236</v>
      </c>
      <c r="D1731" s="6" t="s">
        <v>5237</v>
      </c>
      <c r="E1731" s="7" t="s">
        <v>5238</v>
      </c>
      <c r="F1731" s="13"/>
      <c r="G1731" s="14"/>
      <c r="H1731" s="15">
        <v>45</v>
      </c>
      <c r="I1731" s="14"/>
      <c r="J1731" s="15">
        <v>453</v>
      </c>
      <c r="K1731" s="5">
        <v>3</v>
      </c>
      <c r="L1731" s="16">
        <v>65.333333333333329</v>
      </c>
      <c r="M1731" s="12"/>
      <c r="N1731" s="14">
        <f>L1731*M1731</f>
        <v>0</v>
      </c>
      <c r="O1731" s="23">
        <f>0.112*M1731</f>
        <v>0</v>
      </c>
      <c r="P1731" s="31">
        <f>0.0008*M1731</f>
        <v>0</v>
      </c>
      <c r="Q1731" s="25"/>
      <c r="R1731" s="26" t="s">
        <v>5239</v>
      </c>
      <c r="S1731" s="26" t="s">
        <v>29</v>
      </c>
      <c r="T1731" s="6" t="str">
        <f>HYPERLINK("https://kanzpp.ru/api/getInfo/image/45deef73-8ef6-11e6-9fbd-5cf3fc4a2490")</f>
        <v>https://kanzpp.ru/api/getInfo/image/45deef73-8ef6-11e6-9fbd-5cf3fc4a2490</v>
      </c>
      <c r="U1731" s="6"/>
      <c r="V1731" s="33" t="s">
        <v>35</v>
      </c>
    </row>
    <row r="1732" spans="2:22" ht="21" customHeight="1" outlineLevel="4" x14ac:dyDescent="0.2">
      <c r="B1732" s="69">
        <v>1233</v>
      </c>
      <c r="C1732" s="6" t="s">
        <v>5240</v>
      </c>
      <c r="D1732" s="6" t="s">
        <v>5241</v>
      </c>
      <c r="E1732" s="7" t="s">
        <v>5242</v>
      </c>
      <c r="F1732" s="13"/>
      <c r="G1732" s="14"/>
      <c r="H1732" s="15">
        <v>45</v>
      </c>
      <c r="I1732" s="14"/>
      <c r="J1732" s="15">
        <v>335</v>
      </c>
      <c r="K1732" s="5">
        <v>3</v>
      </c>
      <c r="L1732" s="16">
        <v>65.333333333333329</v>
      </c>
      <c r="M1732" s="12"/>
      <c r="N1732" s="14">
        <f>L1732*M1732</f>
        <v>0</v>
      </c>
      <c r="O1732" s="23">
        <f>0.112*M1732</f>
        <v>0</v>
      </c>
      <c r="P1732" s="31">
        <f>0.0008*M1732</f>
        <v>0</v>
      </c>
      <c r="Q1732" s="25"/>
      <c r="R1732" s="26" t="s">
        <v>5243</v>
      </c>
      <c r="S1732" s="26" t="s">
        <v>29</v>
      </c>
      <c r="T1732" s="6" t="str">
        <f>HYPERLINK("https://kanzpp.ru/api/getInfo/image/06b9bb4c-8ef6-11e6-9fbd-5cf3fc4a2490")</f>
        <v>https://kanzpp.ru/api/getInfo/image/06b9bb4c-8ef6-11e6-9fbd-5cf3fc4a2490</v>
      </c>
      <c r="U1732" s="6"/>
      <c r="V1732" s="33" t="s">
        <v>35</v>
      </c>
    </row>
    <row r="1733" spans="2:22" ht="22.95" customHeight="1" outlineLevel="3" x14ac:dyDescent="0.2">
      <c r="B1733" s="81" t="s">
        <v>5244</v>
      </c>
      <c r="C1733" s="81"/>
      <c r="D1733" s="81"/>
      <c r="L1733">
        <v>0</v>
      </c>
    </row>
    <row r="1734" spans="2:22" ht="21" customHeight="1" outlineLevel="4" x14ac:dyDescent="0.2">
      <c r="B1734" s="69">
        <v>1234</v>
      </c>
      <c r="C1734" s="6" t="s">
        <v>5245</v>
      </c>
      <c r="D1734" s="6" t="s">
        <v>5246</v>
      </c>
      <c r="E1734" s="7" t="s">
        <v>5247</v>
      </c>
      <c r="F1734" s="13"/>
      <c r="G1734" s="14"/>
      <c r="H1734" s="15">
        <v>50</v>
      </c>
      <c r="I1734" s="14"/>
      <c r="J1734" s="15">
        <v>380</v>
      </c>
      <c r="K1734" s="5">
        <v>3</v>
      </c>
      <c r="L1734" s="16">
        <v>65.333333333333329</v>
      </c>
      <c r="M1734" s="12"/>
      <c r="N1734" s="14">
        <f>L1734*M1734</f>
        <v>0</v>
      </c>
      <c r="O1734" s="23">
        <f>0.135*M1734</f>
        <v>0</v>
      </c>
      <c r="P1734" s="24">
        <f>0.00099*M1734</f>
        <v>0</v>
      </c>
      <c r="Q1734" s="25"/>
      <c r="R1734" s="26" t="s">
        <v>5248</v>
      </c>
      <c r="S1734" s="26" t="s">
        <v>29</v>
      </c>
      <c r="T1734" s="6" t="str">
        <f>HYPERLINK("https://kanzpp.ru/api/getInfo/image/df565308-944a-11e6-a489-5cf3fc4a2490")</f>
        <v>https://kanzpp.ru/api/getInfo/image/df565308-944a-11e6-a489-5cf3fc4a2490</v>
      </c>
      <c r="U1734" s="6"/>
      <c r="V1734" s="33" t="s">
        <v>35</v>
      </c>
    </row>
    <row r="1735" spans="2:22" ht="21" customHeight="1" outlineLevel="4" x14ac:dyDescent="0.2">
      <c r="B1735" s="69">
        <v>1235</v>
      </c>
      <c r="C1735" s="6" t="s">
        <v>5249</v>
      </c>
      <c r="D1735" s="6" t="s">
        <v>5250</v>
      </c>
      <c r="E1735" s="7" t="s">
        <v>5251</v>
      </c>
      <c r="F1735" s="13"/>
      <c r="G1735" s="14"/>
      <c r="H1735" s="15">
        <v>50</v>
      </c>
      <c r="I1735" s="14"/>
      <c r="J1735" s="15">
        <v>475</v>
      </c>
      <c r="K1735" s="5">
        <v>3</v>
      </c>
      <c r="L1735" s="16">
        <v>65.333333333333329</v>
      </c>
      <c r="M1735" s="12"/>
      <c r="N1735" s="14">
        <f>L1735*M1735</f>
        <v>0</v>
      </c>
      <c r="O1735" s="23">
        <f>0.135*M1735</f>
        <v>0</v>
      </c>
      <c r="P1735" s="24">
        <f>0.00099*M1735</f>
        <v>0</v>
      </c>
      <c r="Q1735" s="25"/>
      <c r="R1735" s="26" t="s">
        <v>5252</v>
      </c>
      <c r="S1735" s="26" t="s">
        <v>29</v>
      </c>
      <c r="T1735" s="6" t="str">
        <f>HYPERLINK("https://kanzpp.ru/api/getInfo/image/85522c0d-a662-11e6-a48a-5cf3fc4a2490")</f>
        <v>https://kanzpp.ru/api/getInfo/image/85522c0d-a662-11e6-a48a-5cf3fc4a2490</v>
      </c>
      <c r="U1735" s="6"/>
      <c r="V1735" s="33" t="s">
        <v>35</v>
      </c>
    </row>
    <row r="1736" spans="2:22" ht="21" customHeight="1" outlineLevel="4" x14ac:dyDescent="0.2">
      <c r="B1736" s="69">
        <v>1236</v>
      </c>
      <c r="C1736" s="6" t="s">
        <v>5253</v>
      </c>
      <c r="D1736" s="6" t="s">
        <v>5254</v>
      </c>
      <c r="E1736" s="7" t="s">
        <v>5255</v>
      </c>
      <c r="F1736" s="13"/>
      <c r="G1736" s="14"/>
      <c r="H1736" s="15">
        <v>50</v>
      </c>
      <c r="I1736" s="14"/>
      <c r="J1736" s="15">
        <v>436</v>
      </c>
      <c r="K1736" s="5">
        <v>3</v>
      </c>
      <c r="L1736" s="16">
        <v>65.333333333333329</v>
      </c>
      <c r="M1736" s="12"/>
      <c r="N1736" s="14">
        <f>L1736*M1736</f>
        <v>0</v>
      </c>
      <c r="O1736" s="23">
        <f>0.135*M1736</f>
        <v>0</v>
      </c>
      <c r="P1736" s="24">
        <f>0.00099*M1736</f>
        <v>0</v>
      </c>
      <c r="Q1736" s="25"/>
      <c r="R1736" s="26" t="s">
        <v>5256</v>
      </c>
      <c r="S1736" s="26" t="s">
        <v>29</v>
      </c>
      <c r="T1736" s="6" t="str">
        <f>HYPERLINK("https://kanzpp.ru/api/getInfo/image/1b547a87-944b-11e6-a489-5cf3fc4a2490")</f>
        <v>https://kanzpp.ru/api/getInfo/image/1b547a87-944b-11e6-a489-5cf3fc4a2490</v>
      </c>
      <c r="U1736" s="6"/>
      <c r="V1736" s="33" t="s">
        <v>35</v>
      </c>
    </row>
    <row r="1737" spans="2:22" ht="22.95" customHeight="1" outlineLevel="3" x14ac:dyDescent="0.2">
      <c r="B1737" s="81" t="s">
        <v>5257</v>
      </c>
      <c r="C1737" s="81"/>
      <c r="D1737" s="81"/>
      <c r="L1737">
        <v>0</v>
      </c>
    </row>
    <row r="1738" spans="2:22" ht="21" customHeight="1" outlineLevel="4" x14ac:dyDescent="0.2">
      <c r="B1738" s="69">
        <v>1237</v>
      </c>
      <c r="C1738" s="6" t="s">
        <v>5258</v>
      </c>
      <c r="D1738" s="6" t="s">
        <v>5259</v>
      </c>
      <c r="E1738" s="7" t="s">
        <v>5260</v>
      </c>
      <c r="F1738" s="13"/>
      <c r="G1738" s="14"/>
      <c r="H1738" s="15">
        <v>50</v>
      </c>
      <c r="I1738" s="14"/>
      <c r="J1738" s="15">
        <v>386</v>
      </c>
      <c r="K1738" s="5">
        <v>4</v>
      </c>
      <c r="L1738" s="16">
        <v>65.333333333333329</v>
      </c>
      <c r="M1738" s="12"/>
      <c r="N1738" s="14">
        <f t="shared" ref="N1738:N1745" si="69">L1738*M1738</f>
        <v>0</v>
      </c>
      <c r="O1738" s="23">
        <f>0.089*M1738</f>
        <v>0</v>
      </c>
      <c r="P1738" s="24">
        <f>0.00087*M1738</f>
        <v>0</v>
      </c>
      <c r="Q1738" s="25"/>
      <c r="R1738" s="26" t="s">
        <v>5261</v>
      </c>
      <c r="S1738" s="26" t="s">
        <v>29</v>
      </c>
      <c r="T1738" s="6" t="str">
        <f>HYPERLINK("https://kanzpp.ru/api/getInfo/image/a7f150da-7151-11ed-a22a-00155d82e902")</f>
        <v>https://kanzpp.ru/api/getInfo/image/a7f150da-7151-11ed-a22a-00155d82e902</v>
      </c>
      <c r="U1738" s="6"/>
      <c r="V1738" s="33" t="s">
        <v>35</v>
      </c>
    </row>
    <row r="1739" spans="2:22" ht="21" customHeight="1" outlineLevel="4" x14ac:dyDescent="0.2">
      <c r="B1739" s="69">
        <v>1238</v>
      </c>
      <c r="C1739" s="6" t="s">
        <v>5262</v>
      </c>
      <c r="D1739" s="6" t="s">
        <v>5263</v>
      </c>
      <c r="E1739" s="7" t="s">
        <v>5264</v>
      </c>
      <c r="F1739" s="13"/>
      <c r="G1739" s="14"/>
      <c r="H1739" s="15">
        <v>50</v>
      </c>
      <c r="I1739" s="14"/>
      <c r="J1739" s="15">
        <v>248</v>
      </c>
      <c r="K1739" s="5">
        <v>4</v>
      </c>
      <c r="L1739" s="16">
        <v>65.333333333333329</v>
      </c>
      <c r="M1739" s="12"/>
      <c r="N1739" s="14">
        <f t="shared" si="69"/>
        <v>0</v>
      </c>
      <c r="O1739" s="23">
        <f>0.088*M1739</f>
        <v>0</v>
      </c>
      <c r="P1739" s="31">
        <f>0.0009*M1739</f>
        <v>0</v>
      </c>
      <c r="Q1739" s="25"/>
      <c r="R1739" s="26" t="s">
        <v>5265</v>
      </c>
      <c r="S1739" s="26" t="s">
        <v>29</v>
      </c>
      <c r="T1739" s="6" t="str">
        <f>HYPERLINK("https://kanzpp.ru/api/getInfo/image/7576904a-714d-11ed-a22a-00155d82e902")</f>
        <v>https://kanzpp.ru/api/getInfo/image/7576904a-714d-11ed-a22a-00155d82e902</v>
      </c>
      <c r="U1739" s="6"/>
      <c r="V1739" s="33" t="s">
        <v>35</v>
      </c>
    </row>
    <row r="1740" spans="2:22" ht="21" customHeight="1" outlineLevel="4" x14ac:dyDescent="0.2">
      <c r="B1740" s="69">
        <v>1239</v>
      </c>
      <c r="C1740" s="6" t="s">
        <v>5266</v>
      </c>
      <c r="D1740" s="6" t="s">
        <v>5267</v>
      </c>
      <c r="E1740" s="7" t="s">
        <v>5268</v>
      </c>
      <c r="F1740" s="13"/>
      <c r="G1740" s="14"/>
      <c r="H1740" s="15">
        <v>50</v>
      </c>
      <c r="I1740" s="14"/>
      <c r="J1740" s="15">
        <v>263</v>
      </c>
      <c r="K1740" s="5">
        <v>4</v>
      </c>
      <c r="L1740" s="16">
        <v>65.333333333333329</v>
      </c>
      <c r="M1740" s="12"/>
      <c r="N1740" s="14">
        <f t="shared" si="69"/>
        <v>0</v>
      </c>
      <c r="O1740" s="23">
        <f>0.087*M1740</f>
        <v>0</v>
      </c>
      <c r="P1740" s="24">
        <f>0.00097*M1740</f>
        <v>0</v>
      </c>
      <c r="Q1740" s="25"/>
      <c r="R1740" s="26" t="s">
        <v>5269</v>
      </c>
      <c r="S1740" s="26" t="s">
        <v>29</v>
      </c>
      <c r="T1740" s="6" t="str">
        <f>HYPERLINK("https://kanzpp.ru/api/getInfo/image/d1926c10-7151-11ed-a22a-00155d82e902")</f>
        <v>https://kanzpp.ru/api/getInfo/image/d1926c10-7151-11ed-a22a-00155d82e902</v>
      </c>
      <c r="U1740" s="6"/>
      <c r="V1740" s="33" t="s">
        <v>35</v>
      </c>
    </row>
    <row r="1741" spans="2:22" ht="21" customHeight="1" outlineLevel="4" x14ac:dyDescent="0.2">
      <c r="B1741" s="69">
        <v>1240</v>
      </c>
      <c r="C1741" s="6" t="s">
        <v>5270</v>
      </c>
      <c r="D1741" s="6" t="s">
        <v>5271</v>
      </c>
      <c r="E1741" s="7" t="s">
        <v>5272</v>
      </c>
      <c r="F1741" s="13"/>
      <c r="G1741" s="14"/>
      <c r="H1741" s="15">
        <v>50</v>
      </c>
      <c r="I1741" s="14"/>
      <c r="J1741" s="15">
        <v>419</v>
      </c>
      <c r="K1741" s="5">
        <v>4</v>
      </c>
      <c r="L1741" s="16">
        <v>65.333333333333329</v>
      </c>
      <c r="M1741" s="12"/>
      <c r="N1741" s="14">
        <f t="shared" si="69"/>
        <v>0</v>
      </c>
      <c r="O1741" s="23">
        <f>0.091*M1741</f>
        <v>0</v>
      </c>
      <c r="P1741" s="24">
        <f>0.00087*M1741</f>
        <v>0</v>
      </c>
      <c r="Q1741" s="25"/>
      <c r="R1741" s="26" t="s">
        <v>5273</v>
      </c>
      <c r="S1741" s="26" t="s">
        <v>29</v>
      </c>
      <c r="T1741" s="6" t="str">
        <f>HYPERLINK("https://kanzpp.ru/api/getInfo/image/f4351882-7151-11ed-a22a-00155d82e902")</f>
        <v>https://kanzpp.ru/api/getInfo/image/f4351882-7151-11ed-a22a-00155d82e902</v>
      </c>
      <c r="U1741" s="6"/>
      <c r="V1741" s="33" t="s">
        <v>35</v>
      </c>
    </row>
    <row r="1742" spans="2:22" ht="21" customHeight="1" outlineLevel="4" x14ac:dyDescent="0.2">
      <c r="B1742" s="69">
        <v>1241</v>
      </c>
      <c r="C1742" s="6" t="s">
        <v>5274</v>
      </c>
      <c r="D1742" s="6" t="s">
        <v>5275</v>
      </c>
      <c r="E1742" s="7" t="s">
        <v>5276</v>
      </c>
      <c r="F1742" s="13"/>
      <c r="G1742" s="14"/>
      <c r="H1742" s="15">
        <v>50</v>
      </c>
      <c r="I1742" s="14"/>
      <c r="J1742" s="15">
        <v>174</v>
      </c>
      <c r="K1742" s="5">
        <v>4</v>
      </c>
      <c r="L1742" s="16">
        <v>65.333333333333329</v>
      </c>
      <c r="M1742" s="12"/>
      <c r="N1742" s="14">
        <f t="shared" si="69"/>
        <v>0</v>
      </c>
      <c r="O1742" s="28">
        <f>0.09*M1742</f>
        <v>0</v>
      </c>
      <c r="P1742" s="24">
        <f>0.00087*M1742</f>
        <v>0</v>
      </c>
      <c r="Q1742" s="25"/>
      <c r="R1742" s="26" t="s">
        <v>5277</v>
      </c>
      <c r="S1742" s="26" t="s">
        <v>29</v>
      </c>
      <c r="T1742" s="6" t="str">
        <f>HYPERLINK("https://kanzpp.ru/api/getInfo/image/146261fb-7152-11ed-a22a-00155d82e902")</f>
        <v>https://kanzpp.ru/api/getInfo/image/146261fb-7152-11ed-a22a-00155d82e902</v>
      </c>
      <c r="U1742" s="6"/>
      <c r="V1742" s="33" t="s">
        <v>35</v>
      </c>
    </row>
    <row r="1743" spans="2:22" ht="21" customHeight="1" outlineLevel="4" x14ac:dyDescent="0.2">
      <c r="B1743" s="69">
        <v>1242</v>
      </c>
      <c r="C1743" s="6" t="s">
        <v>5278</v>
      </c>
      <c r="D1743" s="6" t="s">
        <v>5279</v>
      </c>
      <c r="E1743" s="7" t="s">
        <v>5280</v>
      </c>
      <c r="F1743" s="13"/>
      <c r="G1743" s="14"/>
      <c r="H1743" s="15">
        <v>50</v>
      </c>
      <c r="I1743" s="14"/>
      <c r="J1743" s="15">
        <v>317</v>
      </c>
      <c r="K1743" s="5">
        <v>4</v>
      </c>
      <c r="L1743" s="16">
        <v>65.333333333333329</v>
      </c>
      <c r="M1743" s="12"/>
      <c r="N1743" s="14">
        <f t="shared" si="69"/>
        <v>0</v>
      </c>
      <c r="O1743" s="23">
        <f>0.091*M1743</f>
        <v>0</v>
      </c>
      <c r="P1743" s="24">
        <f>0.00061*M1743</f>
        <v>0</v>
      </c>
      <c r="Q1743" s="25"/>
      <c r="R1743" s="26" t="s">
        <v>5281</v>
      </c>
      <c r="S1743" s="26" t="s">
        <v>29</v>
      </c>
      <c r="T1743" s="6" t="str">
        <f>HYPERLINK("https://kanzpp.ru/api/getInfo/image/3975c514-7152-11ed-a22a-00155d82e902")</f>
        <v>https://kanzpp.ru/api/getInfo/image/3975c514-7152-11ed-a22a-00155d82e902</v>
      </c>
      <c r="U1743" s="6"/>
      <c r="V1743" s="33" t="s">
        <v>35</v>
      </c>
    </row>
    <row r="1744" spans="2:22" ht="21" customHeight="1" outlineLevel="4" x14ac:dyDescent="0.2">
      <c r="B1744" s="69">
        <v>1243</v>
      </c>
      <c r="C1744" s="6" t="s">
        <v>5282</v>
      </c>
      <c r="D1744" s="6" t="s">
        <v>5283</v>
      </c>
      <c r="E1744" s="7" t="s">
        <v>5284</v>
      </c>
      <c r="F1744" s="13"/>
      <c r="G1744" s="14"/>
      <c r="H1744" s="15">
        <v>50</v>
      </c>
      <c r="I1744" s="14"/>
      <c r="J1744" s="15">
        <v>384</v>
      </c>
      <c r="K1744" s="5">
        <v>4</v>
      </c>
      <c r="L1744" s="16">
        <v>65.333333333333329</v>
      </c>
      <c r="M1744" s="12"/>
      <c r="N1744" s="14">
        <f t="shared" si="69"/>
        <v>0</v>
      </c>
      <c r="O1744" s="23">
        <f>0.089*M1744</f>
        <v>0</v>
      </c>
      <c r="P1744" s="24">
        <f>0.00089*M1744</f>
        <v>0</v>
      </c>
      <c r="Q1744" s="25"/>
      <c r="R1744" s="26" t="s">
        <v>5285</v>
      </c>
      <c r="S1744" s="26" t="s">
        <v>29</v>
      </c>
      <c r="T1744" s="6" t="str">
        <f>HYPERLINK("https://kanzpp.ru/api/getInfo/image/7c922964-7152-11ed-a22a-00155d82e902")</f>
        <v>https://kanzpp.ru/api/getInfo/image/7c922964-7152-11ed-a22a-00155d82e902</v>
      </c>
      <c r="U1744" s="6"/>
      <c r="V1744" s="33" t="s">
        <v>35</v>
      </c>
    </row>
    <row r="1745" spans="2:22" ht="21" customHeight="1" outlineLevel="4" x14ac:dyDescent="0.2">
      <c r="B1745" s="69">
        <v>1244</v>
      </c>
      <c r="C1745" s="6" t="s">
        <v>5286</v>
      </c>
      <c r="D1745" s="6" t="s">
        <v>5287</v>
      </c>
      <c r="E1745" s="7" t="s">
        <v>5288</v>
      </c>
      <c r="F1745" s="13"/>
      <c r="G1745" s="14"/>
      <c r="H1745" s="15">
        <v>50</v>
      </c>
      <c r="I1745" s="14"/>
      <c r="J1745" s="15">
        <v>352</v>
      </c>
      <c r="K1745" s="5">
        <v>4</v>
      </c>
      <c r="L1745" s="16">
        <v>65.333333333333329</v>
      </c>
      <c r="M1745" s="12"/>
      <c r="N1745" s="14">
        <f t="shared" si="69"/>
        <v>0</v>
      </c>
      <c r="O1745" s="28">
        <f>0.09*M1745</f>
        <v>0</v>
      </c>
      <c r="P1745" s="24">
        <f>0.00097*M1745</f>
        <v>0</v>
      </c>
      <c r="Q1745" s="25"/>
      <c r="R1745" s="26" t="s">
        <v>5289</v>
      </c>
      <c r="S1745" s="26" t="s">
        <v>29</v>
      </c>
      <c r="T1745" s="6" t="str">
        <f>HYPERLINK("https://kanzpp.ru/api/getInfo/image/5b205bac-7152-11ed-a22a-00155d82e902")</f>
        <v>https://kanzpp.ru/api/getInfo/image/5b205bac-7152-11ed-a22a-00155d82e902</v>
      </c>
      <c r="U1745" s="6"/>
      <c r="V1745" s="33" t="s">
        <v>35</v>
      </c>
    </row>
    <row r="1746" spans="2:22" ht="22.95" customHeight="1" outlineLevel="3" x14ac:dyDescent="0.2">
      <c r="B1746" s="81" t="s">
        <v>5290</v>
      </c>
      <c r="C1746" s="81"/>
      <c r="D1746" s="81"/>
      <c r="L1746">
        <v>0</v>
      </c>
    </row>
    <row r="1747" spans="2:22" ht="21" customHeight="1" outlineLevel="4" x14ac:dyDescent="0.2">
      <c r="B1747" s="71">
        <v>1245</v>
      </c>
      <c r="C1747" s="37" t="s">
        <v>5291</v>
      </c>
      <c r="D1747" s="37" t="s">
        <v>5292</v>
      </c>
      <c r="E1747" s="38" t="s">
        <v>5293</v>
      </c>
      <c r="F1747" s="39"/>
      <c r="G1747" s="40"/>
      <c r="H1747" s="41">
        <v>50</v>
      </c>
      <c r="I1747" s="40"/>
      <c r="J1747" s="41">
        <v>14</v>
      </c>
      <c r="K1747" s="36">
        <v>3</v>
      </c>
      <c r="L1747" s="42">
        <f>(200.96*(1-O3/100))/0.75</f>
        <v>267.94666666666666</v>
      </c>
      <c r="M1747" s="12"/>
      <c r="N1747" s="40">
        <f>L1747*M1747</f>
        <v>0</v>
      </c>
      <c r="O1747" s="43">
        <f>0.062*M1747</f>
        <v>0</v>
      </c>
      <c r="P1747" s="47">
        <f>0.00032*M1747</f>
        <v>0</v>
      </c>
      <c r="Q1747" s="44"/>
      <c r="R1747" s="45" t="s">
        <v>5294</v>
      </c>
      <c r="S1747" s="45" t="s">
        <v>29</v>
      </c>
      <c r="T1747" s="37" t="str">
        <f>HYPERLINK("https://kanzpp.ru/api/getInfo/image/68a35160-3207-11e6-b4ab-5cf3fc4a2490")</f>
        <v>https://kanzpp.ru/api/getInfo/image/68a35160-3207-11e6-b4ab-5cf3fc4a2490</v>
      </c>
      <c r="U1747" s="37"/>
    </row>
    <row r="1748" spans="2:22" ht="22.95" customHeight="1" outlineLevel="2" x14ac:dyDescent="0.2">
      <c r="B1748" s="80" t="s">
        <v>5295</v>
      </c>
      <c r="C1748" s="80"/>
      <c r="D1748" s="80"/>
      <c r="L1748">
        <v>0</v>
      </c>
    </row>
    <row r="1749" spans="2:22" ht="22.95" customHeight="1" outlineLevel="3" x14ac:dyDescent="0.2">
      <c r="B1749" s="81" t="s">
        <v>591</v>
      </c>
      <c r="C1749" s="81"/>
      <c r="D1749" s="81"/>
      <c r="L1749">
        <v>0</v>
      </c>
    </row>
    <row r="1750" spans="2:22" ht="22.95" customHeight="1" outlineLevel="4" x14ac:dyDescent="0.2">
      <c r="B1750" s="82" t="s">
        <v>5296</v>
      </c>
      <c r="C1750" s="82"/>
      <c r="D1750" s="82"/>
      <c r="L1750">
        <v>0</v>
      </c>
    </row>
    <row r="1751" spans="2:22" ht="22.95" customHeight="1" outlineLevel="5" x14ac:dyDescent="0.2">
      <c r="B1751" s="83" t="s">
        <v>5297</v>
      </c>
      <c r="C1751" s="83"/>
      <c r="D1751" s="83"/>
      <c r="L1751">
        <v>0</v>
      </c>
    </row>
    <row r="1752" spans="2:22" ht="21" customHeight="1" outlineLevel="6" x14ac:dyDescent="0.2">
      <c r="B1752" s="69">
        <v>1246</v>
      </c>
      <c r="C1752" s="6" t="s">
        <v>5298</v>
      </c>
      <c r="D1752" s="6" t="s">
        <v>5299</v>
      </c>
      <c r="E1752" s="7" t="s">
        <v>5300</v>
      </c>
      <c r="F1752" s="13"/>
      <c r="G1752" s="14"/>
      <c r="H1752" s="15">
        <v>60</v>
      </c>
      <c r="I1752" s="14"/>
      <c r="J1752" s="14" t="s">
        <v>144</v>
      </c>
      <c r="K1752" s="5">
        <v>10</v>
      </c>
      <c r="L1752" s="16">
        <v>38.666666666666664</v>
      </c>
      <c r="M1752" s="12"/>
      <c r="N1752" s="14">
        <f t="shared" ref="N1752:N1761" si="70">L1752*M1752</f>
        <v>0</v>
      </c>
      <c r="O1752" s="23">
        <f>0.036*M1752</f>
        <v>0</v>
      </c>
      <c r="P1752" s="31">
        <f>0.0004*M1752</f>
        <v>0</v>
      </c>
      <c r="Q1752" s="25"/>
      <c r="R1752" s="26" t="s">
        <v>5301</v>
      </c>
      <c r="S1752" s="26" t="s">
        <v>29</v>
      </c>
      <c r="T1752" s="6" t="str">
        <f>HYPERLINK("https://kanzpp.ru/api/getInfo/image/0a7ccef6-5ae0-11ef-a262-00155d82e908")</f>
        <v>https://kanzpp.ru/api/getInfo/image/0a7ccef6-5ae0-11ef-a262-00155d82e908</v>
      </c>
      <c r="U1752" s="6"/>
      <c r="V1752" s="33" t="s">
        <v>35</v>
      </c>
    </row>
    <row r="1753" spans="2:22" ht="21" customHeight="1" outlineLevel="6" x14ac:dyDescent="0.2">
      <c r="B1753" s="69">
        <v>1247</v>
      </c>
      <c r="C1753" s="6" t="s">
        <v>5302</v>
      </c>
      <c r="D1753" s="6" t="s">
        <v>5303</v>
      </c>
      <c r="E1753" s="7" t="s">
        <v>5304</v>
      </c>
      <c r="F1753" s="13"/>
      <c r="G1753" s="14"/>
      <c r="H1753" s="15">
        <v>60</v>
      </c>
      <c r="I1753" s="14"/>
      <c r="J1753" s="14" t="s">
        <v>144</v>
      </c>
      <c r="K1753" s="5">
        <v>10</v>
      </c>
      <c r="L1753" s="16">
        <v>38.666666666666664</v>
      </c>
      <c r="M1753" s="12"/>
      <c r="N1753" s="14">
        <f t="shared" si="70"/>
        <v>0</v>
      </c>
      <c r="O1753" s="28">
        <f>0.04*M1753</f>
        <v>0</v>
      </c>
      <c r="P1753" s="24">
        <f>0.00038*M1753</f>
        <v>0</v>
      </c>
      <c r="Q1753" s="25"/>
      <c r="R1753" s="26" t="s">
        <v>5305</v>
      </c>
      <c r="S1753" s="26" t="s">
        <v>29</v>
      </c>
      <c r="T1753" s="6" t="str">
        <f>HYPERLINK("https://kanzpp.ru/api/getInfo/image/ec29d998-5adf-11ef-a262-00155d82e908")</f>
        <v>https://kanzpp.ru/api/getInfo/image/ec29d998-5adf-11ef-a262-00155d82e908</v>
      </c>
      <c r="U1753" s="6"/>
      <c r="V1753" s="33" t="s">
        <v>35</v>
      </c>
    </row>
    <row r="1754" spans="2:22" ht="21" customHeight="1" outlineLevel="6" x14ac:dyDescent="0.2">
      <c r="B1754" s="69">
        <v>1248</v>
      </c>
      <c r="C1754" s="6" t="s">
        <v>5306</v>
      </c>
      <c r="D1754" s="6" t="s">
        <v>5307</v>
      </c>
      <c r="E1754" s="7" t="s">
        <v>5308</v>
      </c>
      <c r="F1754" s="13"/>
      <c r="G1754" s="14"/>
      <c r="H1754" s="15">
        <v>60</v>
      </c>
      <c r="I1754" s="14"/>
      <c r="J1754" s="14" t="s">
        <v>144</v>
      </c>
      <c r="K1754" s="5">
        <v>10</v>
      </c>
      <c r="L1754" s="16">
        <v>38.666666666666664</v>
      </c>
      <c r="M1754" s="12"/>
      <c r="N1754" s="14">
        <f t="shared" si="70"/>
        <v>0</v>
      </c>
      <c r="O1754" s="28">
        <f>0.04*M1754</f>
        <v>0</v>
      </c>
      <c r="P1754" s="24">
        <f>0.00038*M1754</f>
        <v>0</v>
      </c>
      <c r="Q1754" s="25"/>
      <c r="R1754" s="26" t="s">
        <v>5309</v>
      </c>
      <c r="S1754" s="26" t="s">
        <v>29</v>
      </c>
      <c r="T1754" s="6" t="str">
        <f>HYPERLINK("https://kanzpp.ru/api/getInfo/image/f06c5751-5ae0-11ef-a262-00155d82e908")</f>
        <v>https://kanzpp.ru/api/getInfo/image/f06c5751-5ae0-11ef-a262-00155d82e908</v>
      </c>
      <c r="U1754" s="6"/>
      <c r="V1754" s="33" t="s">
        <v>35</v>
      </c>
    </row>
    <row r="1755" spans="2:22" ht="21" customHeight="1" outlineLevel="6" x14ac:dyDescent="0.2">
      <c r="B1755" s="69">
        <v>1249</v>
      </c>
      <c r="C1755" s="6" t="s">
        <v>5310</v>
      </c>
      <c r="D1755" s="6" t="s">
        <v>5311</v>
      </c>
      <c r="E1755" s="7" t="s">
        <v>5312</v>
      </c>
      <c r="F1755" s="13"/>
      <c r="G1755" s="14"/>
      <c r="H1755" s="15">
        <v>60</v>
      </c>
      <c r="I1755" s="14"/>
      <c r="J1755" s="14" t="s">
        <v>144</v>
      </c>
      <c r="K1755" s="5">
        <v>10</v>
      </c>
      <c r="L1755" s="16">
        <v>38.666666666666664</v>
      </c>
      <c r="M1755" s="12"/>
      <c r="N1755" s="14">
        <f t="shared" si="70"/>
        <v>0</v>
      </c>
      <c r="O1755" s="28">
        <f>0.04*M1755</f>
        <v>0</v>
      </c>
      <c r="P1755" s="24">
        <f>0.00038*M1755</f>
        <v>0</v>
      </c>
      <c r="Q1755" s="25"/>
      <c r="R1755" s="26" t="s">
        <v>5313</v>
      </c>
      <c r="S1755" s="26" t="s">
        <v>29</v>
      </c>
      <c r="T1755" s="6" t="str">
        <f>HYPERLINK("https://kanzpp.ru/api/getInfo/image/ade5153f-5adf-11ef-a262-00155d82e908")</f>
        <v>https://kanzpp.ru/api/getInfo/image/ade5153f-5adf-11ef-a262-00155d82e908</v>
      </c>
      <c r="U1755" s="6"/>
      <c r="V1755" s="33" t="s">
        <v>35</v>
      </c>
    </row>
    <row r="1756" spans="2:22" ht="21" customHeight="1" outlineLevel="6" x14ac:dyDescent="0.2">
      <c r="B1756" s="69">
        <v>1250</v>
      </c>
      <c r="C1756" s="6" t="s">
        <v>5314</v>
      </c>
      <c r="D1756" s="6" t="s">
        <v>5315</v>
      </c>
      <c r="E1756" s="7" t="s">
        <v>5316</v>
      </c>
      <c r="F1756" s="13"/>
      <c r="G1756" s="14"/>
      <c r="H1756" s="15">
        <v>60</v>
      </c>
      <c r="I1756" s="14"/>
      <c r="J1756" s="14" t="s">
        <v>144</v>
      </c>
      <c r="K1756" s="5">
        <v>10</v>
      </c>
      <c r="L1756" s="16">
        <v>38.666666666666664</v>
      </c>
      <c r="M1756" s="12"/>
      <c r="N1756" s="14">
        <f t="shared" si="70"/>
        <v>0</v>
      </c>
      <c r="O1756" s="28">
        <f>0.04*M1756</f>
        <v>0</v>
      </c>
      <c r="P1756" s="24">
        <f>0.00038*M1756</f>
        <v>0</v>
      </c>
      <c r="Q1756" s="25"/>
      <c r="R1756" s="26" t="s">
        <v>5317</v>
      </c>
      <c r="S1756" s="26" t="s">
        <v>29</v>
      </c>
      <c r="T1756" s="6" t="str">
        <f>HYPERLINK("https://kanzpp.ru/api/getInfo/image/6e37bc13-5ae1-11ef-a262-00155d82e908")</f>
        <v>https://kanzpp.ru/api/getInfo/image/6e37bc13-5ae1-11ef-a262-00155d82e908</v>
      </c>
      <c r="U1756" s="6"/>
      <c r="V1756" s="33" t="s">
        <v>35</v>
      </c>
    </row>
    <row r="1757" spans="2:22" ht="21" customHeight="1" outlineLevel="6" x14ac:dyDescent="0.2">
      <c r="B1757" s="69">
        <v>1251</v>
      </c>
      <c r="C1757" s="6" t="s">
        <v>5318</v>
      </c>
      <c r="D1757" s="6" t="s">
        <v>5319</v>
      </c>
      <c r="E1757" s="7" t="s">
        <v>5320</v>
      </c>
      <c r="F1757" s="13"/>
      <c r="G1757" s="14"/>
      <c r="H1757" s="15">
        <v>60</v>
      </c>
      <c r="I1757" s="14"/>
      <c r="J1757" s="15">
        <v>583</v>
      </c>
      <c r="K1757" s="5">
        <v>10</v>
      </c>
      <c r="L1757" s="16">
        <v>38.666666666666664</v>
      </c>
      <c r="M1757" s="12"/>
      <c r="N1757" s="14">
        <f t="shared" si="70"/>
        <v>0</v>
      </c>
      <c r="O1757" s="28">
        <f>0.04*M1757</f>
        <v>0</v>
      </c>
      <c r="P1757" s="24">
        <f>0.00037*M1757</f>
        <v>0</v>
      </c>
      <c r="Q1757" s="25"/>
      <c r="R1757" s="26" t="s">
        <v>5321</v>
      </c>
      <c r="S1757" s="26" t="s">
        <v>29</v>
      </c>
      <c r="T1757" s="6" t="str">
        <f>HYPERLINK("https://kanzpp.ru/api/getInfo/image/a725728b-5ae0-11ef-a262-00155d82e908")</f>
        <v>https://kanzpp.ru/api/getInfo/image/a725728b-5ae0-11ef-a262-00155d82e908</v>
      </c>
      <c r="U1757" s="6"/>
      <c r="V1757" s="33" t="s">
        <v>35</v>
      </c>
    </row>
    <row r="1758" spans="2:22" ht="21" customHeight="1" outlineLevel="6" x14ac:dyDescent="0.2">
      <c r="B1758" s="69">
        <v>1252</v>
      </c>
      <c r="C1758" s="6" t="s">
        <v>5322</v>
      </c>
      <c r="D1758" s="6" t="s">
        <v>5323</v>
      </c>
      <c r="E1758" s="7" t="s">
        <v>5324</v>
      </c>
      <c r="F1758" s="13"/>
      <c r="G1758" s="14"/>
      <c r="H1758" s="15">
        <v>60</v>
      </c>
      <c r="I1758" s="14"/>
      <c r="J1758" s="14" t="s">
        <v>144</v>
      </c>
      <c r="K1758" s="5">
        <v>10</v>
      </c>
      <c r="L1758" s="16">
        <v>38.666666666666664</v>
      </c>
      <c r="M1758" s="12"/>
      <c r="N1758" s="14">
        <f t="shared" si="70"/>
        <v>0</v>
      </c>
      <c r="O1758" s="23">
        <f>0.038*M1758</f>
        <v>0</v>
      </c>
      <c r="P1758" s="24">
        <f>0.00037*M1758</f>
        <v>0</v>
      </c>
      <c r="Q1758" s="25"/>
      <c r="R1758" s="26" t="s">
        <v>5325</v>
      </c>
      <c r="S1758" s="26" t="s">
        <v>29</v>
      </c>
      <c r="T1758" s="6" t="str">
        <f>HYPERLINK("https://kanzpp.ru/api/getInfo/image/38e8935d-5ae1-11ef-a262-00155d82e908")</f>
        <v>https://kanzpp.ru/api/getInfo/image/38e8935d-5ae1-11ef-a262-00155d82e908</v>
      </c>
      <c r="U1758" s="6"/>
      <c r="V1758" s="33" t="s">
        <v>35</v>
      </c>
    </row>
    <row r="1759" spans="2:22" ht="21" customHeight="1" outlineLevel="6" x14ac:dyDescent="0.2">
      <c r="B1759" s="69">
        <v>1253</v>
      </c>
      <c r="C1759" s="6" t="s">
        <v>5326</v>
      </c>
      <c r="D1759" s="6" t="s">
        <v>5327</v>
      </c>
      <c r="E1759" s="7" t="s">
        <v>5328</v>
      </c>
      <c r="F1759" s="13"/>
      <c r="G1759" s="14"/>
      <c r="H1759" s="15">
        <v>60</v>
      </c>
      <c r="I1759" s="14"/>
      <c r="J1759" s="14" t="s">
        <v>144</v>
      </c>
      <c r="K1759" s="5">
        <v>10</v>
      </c>
      <c r="L1759" s="16">
        <v>38.666666666666664</v>
      </c>
      <c r="M1759" s="12"/>
      <c r="N1759" s="14">
        <f t="shared" si="70"/>
        <v>0</v>
      </c>
      <c r="O1759" s="28">
        <f>0.04*M1759</f>
        <v>0</v>
      </c>
      <c r="P1759" s="24">
        <f>0.00038*M1759</f>
        <v>0</v>
      </c>
      <c r="Q1759" s="25"/>
      <c r="R1759" s="26" t="s">
        <v>5329</v>
      </c>
      <c r="S1759" s="26" t="s">
        <v>29</v>
      </c>
      <c r="T1759" s="6" t="str">
        <f>HYPERLINK("https://kanzpp.ru/api/getInfo/image/63587715-5ae0-11ef-a262-00155d82e908")</f>
        <v>https://kanzpp.ru/api/getInfo/image/63587715-5ae0-11ef-a262-00155d82e908</v>
      </c>
      <c r="U1759" s="6"/>
      <c r="V1759" s="33" t="s">
        <v>35</v>
      </c>
    </row>
    <row r="1760" spans="2:22" ht="21" customHeight="1" outlineLevel="6" x14ac:dyDescent="0.2">
      <c r="B1760" s="69">
        <v>1254</v>
      </c>
      <c r="C1760" s="6" t="s">
        <v>5330</v>
      </c>
      <c r="D1760" s="6" t="s">
        <v>5331</v>
      </c>
      <c r="E1760" s="7" t="s">
        <v>5332</v>
      </c>
      <c r="F1760" s="13"/>
      <c r="G1760" s="14"/>
      <c r="H1760" s="15">
        <v>60</v>
      </c>
      <c r="I1760" s="14"/>
      <c r="J1760" s="15">
        <v>386</v>
      </c>
      <c r="K1760" s="5">
        <v>10</v>
      </c>
      <c r="L1760" s="16">
        <v>38.666666666666664</v>
      </c>
      <c r="M1760" s="12"/>
      <c r="N1760" s="14">
        <f t="shared" si="70"/>
        <v>0</v>
      </c>
      <c r="O1760" s="28">
        <f>0.04*M1760</f>
        <v>0</v>
      </c>
      <c r="P1760" s="24">
        <f>0.00037*M1760</f>
        <v>0</v>
      </c>
      <c r="Q1760" s="25"/>
      <c r="R1760" s="26" t="s">
        <v>5333</v>
      </c>
      <c r="S1760" s="26" t="s">
        <v>29</v>
      </c>
      <c r="T1760" s="6" t="str">
        <f>HYPERLINK("https://kanzpp.ru/api/getInfo/image/df69938d-3b6c-11ee-a241-00155d82e902")</f>
        <v>https://kanzpp.ru/api/getInfo/image/df69938d-3b6c-11ee-a241-00155d82e902</v>
      </c>
      <c r="U1760" s="6"/>
      <c r="V1760" s="33" t="s">
        <v>35</v>
      </c>
    </row>
    <row r="1761" spans="2:22" ht="21" customHeight="1" outlineLevel="6" x14ac:dyDescent="0.2">
      <c r="B1761" s="69">
        <v>1255</v>
      </c>
      <c r="C1761" s="6" t="s">
        <v>5334</v>
      </c>
      <c r="D1761" s="6" t="s">
        <v>5335</v>
      </c>
      <c r="E1761" s="7" t="s">
        <v>5336</v>
      </c>
      <c r="F1761" s="13"/>
      <c r="G1761" s="14"/>
      <c r="H1761" s="15">
        <v>60</v>
      </c>
      <c r="I1761" s="14"/>
      <c r="J1761" s="14" t="s">
        <v>144</v>
      </c>
      <c r="K1761" s="5">
        <v>10</v>
      </c>
      <c r="L1761" s="16">
        <v>38.666666666666664</v>
      </c>
      <c r="M1761" s="12"/>
      <c r="N1761" s="14">
        <f t="shared" si="70"/>
        <v>0</v>
      </c>
      <c r="O1761" s="28">
        <f>0.04*M1761</f>
        <v>0</v>
      </c>
      <c r="P1761" s="24">
        <f>0.00038*M1761</f>
        <v>0</v>
      </c>
      <c r="Q1761" s="25"/>
      <c r="R1761" s="26" t="s">
        <v>5337</v>
      </c>
      <c r="S1761" s="26" t="s">
        <v>29</v>
      </c>
      <c r="T1761" s="6" t="str">
        <f>HYPERLINK("https://kanzpp.ru/api/getInfo/image/17f7a83d-5ae1-11ef-a262-00155d82e908")</f>
        <v>https://kanzpp.ru/api/getInfo/image/17f7a83d-5ae1-11ef-a262-00155d82e908</v>
      </c>
      <c r="U1761" s="6"/>
      <c r="V1761" s="33" t="s">
        <v>35</v>
      </c>
    </row>
    <row r="1762" spans="2:22" ht="22.95" customHeight="1" outlineLevel="4" x14ac:dyDescent="0.2">
      <c r="B1762" s="82" t="s">
        <v>5338</v>
      </c>
      <c r="C1762" s="82"/>
      <c r="D1762" s="82"/>
      <c r="L1762">
        <v>0</v>
      </c>
    </row>
    <row r="1763" spans="2:22" ht="22.95" customHeight="1" outlineLevel="5" x14ac:dyDescent="0.2">
      <c r="B1763" s="83" t="s">
        <v>5339</v>
      </c>
      <c r="C1763" s="83"/>
      <c r="D1763" s="83"/>
      <c r="L1763">
        <v>0</v>
      </c>
    </row>
    <row r="1764" spans="2:22" ht="21" customHeight="1" outlineLevel="6" x14ac:dyDescent="0.2">
      <c r="B1764" s="69">
        <v>1256</v>
      </c>
      <c r="C1764" s="6" t="s">
        <v>5340</v>
      </c>
      <c r="D1764" s="6" t="s">
        <v>5341</v>
      </c>
      <c r="E1764" s="7" t="s">
        <v>5342</v>
      </c>
      <c r="F1764" s="13"/>
      <c r="G1764" s="14"/>
      <c r="H1764" s="15">
        <v>40</v>
      </c>
      <c r="I1764" s="14"/>
      <c r="J1764" s="14" t="s">
        <v>144</v>
      </c>
      <c r="K1764" s="5">
        <v>7</v>
      </c>
      <c r="L1764" s="16">
        <v>52</v>
      </c>
      <c r="M1764" s="12"/>
      <c r="N1764" s="14">
        <f t="shared" ref="N1764:N1773" si="71">L1764*M1764</f>
        <v>0</v>
      </c>
      <c r="O1764" s="23">
        <f>0.059*M1764</f>
        <v>0</v>
      </c>
      <c r="P1764" s="24">
        <f>0.00055*M1764</f>
        <v>0</v>
      </c>
      <c r="Q1764" s="25"/>
      <c r="R1764" s="26" t="s">
        <v>5343</v>
      </c>
      <c r="S1764" s="26" t="s">
        <v>29</v>
      </c>
      <c r="T1764" s="6" t="str">
        <f>HYPERLINK("https://kanzpp.ru/api/getInfo/image/44ce1bfb-5ae2-11ef-a262-00155d82e908")</f>
        <v>https://kanzpp.ru/api/getInfo/image/44ce1bfb-5ae2-11ef-a262-00155d82e908</v>
      </c>
      <c r="U1764" s="6"/>
      <c r="V1764" s="33" t="s">
        <v>35</v>
      </c>
    </row>
    <row r="1765" spans="2:22" ht="21" customHeight="1" outlineLevel="6" x14ac:dyDescent="0.2">
      <c r="B1765" s="69">
        <v>1257</v>
      </c>
      <c r="C1765" s="6" t="s">
        <v>5344</v>
      </c>
      <c r="D1765" s="6" t="s">
        <v>5345</v>
      </c>
      <c r="E1765" s="7" t="s">
        <v>5346</v>
      </c>
      <c r="F1765" s="13"/>
      <c r="G1765" s="14"/>
      <c r="H1765" s="15">
        <v>40</v>
      </c>
      <c r="I1765" s="14"/>
      <c r="J1765" s="15">
        <v>681</v>
      </c>
      <c r="K1765" s="5">
        <v>7</v>
      </c>
      <c r="L1765" s="16">
        <v>52</v>
      </c>
      <c r="M1765" s="12"/>
      <c r="N1765" s="14">
        <f t="shared" si="71"/>
        <v>0</v>
      </c>
      <c r="O1765" s="23">
        <f>0.074*M1765</f>
        <v>0</v>
      </c>
      <c r="P1765" s="24">
        <f>0.00069*M1765</f>
        <v>0</v>
      </c>
      <c r="Q1765" s="25"/>
      <c r="R1765" s="26" t="s">
        <v>5347</v>
      </c>
      <c r="S1765" s="26" t="s">
        <v>29</v>
      </c>
      <c r="T1765" s="6" t="str">
        <f>HYPERLINK("https://kanzpp.ru/api/getInfo/image/e290170e-5ae2-11ef-a262-00155d82e908")</f>
        <v>https://kanzpp.ru/api/getInfo/image/e290170e-5ae2-11ef-a262-00155d82e908</v>
      </c>
      <c r="U1765" s="6"/>
      <c r="V1765" s="33" t="s">
        <v>35</v>
      </c>
    </row>
    <row r="1766" spans="2:22" ht="21" customHeight="1" outlineLevel="6" x14ac:dyDescent="0.2">
      <c r="B1766" s="69">
        <v>1258</v>
      </c>
      <c r="C1766" s="6" t="s">
        <v>5348</v>
      </c>
      <c r="D1766" s="6" t="s">
        <v>5349</v>
      </c>
      <c r="E1766" s="7" t="s">
        <v>5350</v>
      </c>
      <c r="F1766" s="13"/>
      <c r="G1766" s="14"/>
      <c r="H1766" s="15">
        <v>40</v>
      </c>
      <c r="I1766" s="14"/>
      <c r="J1766" s="14" t="s">
        <v>144</v>
      </c>
      <c r="K1766" s="5">
        <v>7</v>
      </c>
      <c r="L1766" s="16">
        <v>52</v>
      </c>
      <c r="M1766" s="12"/>
      <c r="N1766" s="14">
        <f t="shared" si="71"/>
        <v>0</v>
      </c>
      <c r="O1766" s="28">
        <f>0.05*M1766</f>
        <v>0</v>
      </c>
      <c r="P1766" s="24">
        <f>0.00047*M1766</f>
        <v>0</v>
      </c>
      <c r="Q1766" s="25"/>
      <c r="R1766" s="26" t="s">
        <v>5351</v>
      </c>
      <c r="S1766" s="26" t="s">
        <v>29</v>
      </c>
      <c r="T1766" s="6" t="str">
        <f>HYPERLINK("https://kanzpp.ru/api/getInfo/image/9a864b95-5ae2-11ef-a262-00155d82e908")</f>
        <v>https://kanzpp.ru/api/getInfo/image/9a864b95-5ae2-11ef-a262-00155d82e908</v>
      </c>
      <c r="U1766" s="6"/>
      <c r="V1766" s="33" t="s">
        <v>35</v>
      </c>
    </row>
    <row r="1767" spans="2:22" ht="21" customHeight="1" outlineLevel="6" x14ac:dyDescent="0.2">
      <c r="B1767" s="69">
        <v>1259</v>
      </c>
      <c r="C1767" s="6" t="s">
        <v>5352</v>
      </c>
      <c r="D1767" s="6" t="s">
        <v>5353</v>
      </c>
      <c r="E1767" s="7" t="s">
        <v>5354</v>
      </c>
      <c r="F1767" s="13"/>
      <c r="G1767" s="14"/>
      <c r="H1767" s="15">
        <v>40</v>
      </c>
      <c r="I1767" s="14"/>
      <c r="J1767" s="14" t="s">
        <v>144</v>
      </c>
      <c r="K1767" s="5">
        <v>7</v>
      </c>
      <c r="L1767" s="16">
        <v>52</v>
      </c>
      <c r="M1767" s="12"/>
      <c r="N1767" s="14">
        <f t="shared" si="71"/>
        <v>0</v>
      </c>
      <c r="O1767" s="28">
        <f>0.05*M1767</f>
        <v>0</v>
      </c>
      <c r="P1767" s="24">
        <f>0.00047*M1767</f>
        <v>0</v>
      </c>
      <c r="Q1767" s="25"/>
      <c r="R1767" s="26" t="s">
        <v>5355</v>
      </c>
      <c r="S1767" s="26" t="s">
        <v>29</v>
      </c>
      <c r="T1767" s="6" t="str">
        <f>HYPERLINK("https://kanzpp.ru/api/getInfo/image/22d31454-5ae3-11ef-a262-00155d82e908")</f>
        <v>https://kanzpp.ru/api/getInfo/image/22d31454-5ae3-11ef-a262-00155d82e908</v>
      </c>
      <c r="U1767" s="6"/>
      <c r="V1767" s="33" t="s">
        <v>35</v>
      </c>
    </row>
    <row r="1768" spans="2:22" ht="21" customHeight="1" outlineLevel="6" x14ac:dyDescent="0.2">
      <c r="B1768" s="69">
        <v>1260</v>
      </c>
      <c r="C1768" s="6" t="s">
        <v>5356</v>
      </c>
      <c r="D1768" s="6" t="s">
        <v>5357</v>
      </c>
      <c r="E1768" s="7" t="s">
        <v>5358</v>
      </c>
      <c r="F1768" s="13"/>
      <c r="G1768" s="14"/>
      <c r="H1768" s="15">
        <v>40</v>
      </c>
      <c r="I1768" s="14"/>
      <c r="J1768" s="14" t="s">
        <v>144</v>
      </c>
      <c r="K1768" s="5">
        <v>7</v>
      </c>
      <c r="L1768" s="16">
        <v>52</v>
      </c>
      <c r="M1768" s="12"/>
      <c r="N1768" s="14">
        <f t="shared" si="71"/>
        <v>0</v>
      </c>
      <c r="O1768" s="23">
        <f>0.053*M1768</f>
        <v>0</v>
      </c>
      <c r="P1768" s="24">
        <f>0.00053*M1768</f>
        <v>0</v>
      </c>
      <c r="Q1768" s="25"/>
      <c r="R1768" s="26" t="s">
        <v>5359</v>
      </c>
      <c r="S1768" s="26" t="s">
        <v>29</v>
      </c>
      <c r="T1768" s="6" t="str">
        <f>HYPERLINK("https://kanzpp.ru/api/getInfo/image/f9dc715b-5ae1-11ef-a262-00155d82e908")</f>
        <v>https://kanzpp.ru/api/getInfo/image/f9dc715b-5ae1-11ef-a262-00155d82e908</v>
      </c>
      <c r="U1768" s="6"/>
      <c r="V1768" s="33" t="s">
        <v>35</v>
      </c>
    </row>
    <row r="1769" spans="2:22" ht="21" customHeight="1" outlineLevel="6" x14ac:dyDescent="0.2">
      <c r="B1769" s="69">
        <v>1261</v>
      </c>
      <c r="C1769" s="6" t="s">
        <v>5360</v>
      </c>
      <c r="D1769" s="6" t="s">
        <v>5361</v>
      </c>
      <c r="E1769" s="7" t="s">
        <v>5362</v>
      </c>
      <c r="F1769" s="13"/>
      <c r="G1769" s="14"/>
      <c r="H1769" s="15">
        <v>40</v>
      </c>
      <c r="I1769" s="14"/>
      <c r="J1769" s="15">
        <v>91</v>
      </c>
      <c r="K1769" s="5">
        <v>10</v>
      </c>
      <c r="L1769" s="16">
        <v>52</v>
      </c>
      <c r="M1769" s="12"/>
      <c r="N1769" s="14">
        <f t="shared" si="71"/>
        <v>0</v>
      </c>
      <c r="O1769" s="23">
        <f>0.051*M1769</f>
        <v>0</v>
      </c>
      <c r="P1769" s="31">
        <f>0.0005*M1769</f>
        <v>0</v>
      </c>
      <c r="Q1769" s="25"/>
      <c r="R1769" s="26" t="s">
        <v>5363</v>
      </c>
      <c r="S1769" s="26" t="s">
        <v>29</v>
      </c>
      <c r="T1769" s="6" t="str">
        <f>HYPERLINK("https://kanzpp.ru/api/getInfo/image/7ed43226-40dd-11ee-a243-00155d82e902")</f>
        <v>https://kanzpp.ru/api/getInfo/image/7ed43226-40dd-11ee-a243-00155d82e902</v>
      </c>
      <c r="U1769" s="6"/>
      <c r="V1769" s="33" t="s">
        <v>35</v>
      </c>
    </row>
    <row r="1770" spans="2:22" ht="21" customHeight="1" outlineLevel="6" x14ac:dyDescent="0.2">
      <c r="B1770" s="69">
        <v>1262</v>
      </c>
      <c r="C1770" s="6" t="s">
        <v>5364</v>
      </c>
      <c r="D1770" s="6" t="s">
        <v>5365</v>
      </c>
      <c r="E1770" s="7" t="s">
        <v>5366</v>
      </c>
      <c r="F1770" s="13"/>
      <c r="G1770" s="14"/>
      <c r="H1770" s="15">
        <v>40</v>
      </c>
      <c r="I1770" s="14"/>
      <c r="J1770" s="14" t="s">
        <v>144</v>
      </c>
      <c r="K1770" s="5">
        <v>7</v>
      </c>
      <c r="L1770" s="16">
        <v>52</v>
      </c>
      <c r="M1770" s="12"/>
      <c r="N1770" s="14">
        <f t="shared" si="71"/>
        <v>0</v>
      </c>
      <c r="O1770" s="23">
        <f>0.049*M1770</f>
        <v>0</v>
      </c>
      <c r="P1770" s="24">
        <f>0.00072*M1770</f>
        <v>0</v>
      </c>
      <c r="Q1770" s="25"/>
      <c r="R1770" s="26" t="s">
        <v>5367</v>
      </c>
      <c r="S1770" s="26" t="s">
        <v>29</v>
      </c>
      <c r="T1770" s="6" t="str">
        <f>HYPERLINK("https://kanzpp.ru/api/getInfo/image/3e5d28fd-5ae3-11ef-a262-00155d82e908")</f>
        <v>https://kanzpp.ru/api/getInfo/image/3e5d28fd-5ae3-11ef-a262-00155d82e908</v>
      </c>
      <c r="U1770" s="6"/>
      <c r="V1770" s="33" t="s">
        <v>35</v>
      </c>
    </row>
    <row r="1771" spans="2:22" ht="21" customHeight="1" outlineLevel="6" x14ac:dyDescent="0.2">
      <c r="B1771" s="69">
        <v>1263</v>
      </c>
      <c r="C1771" s="6" t="s">
        <v>5368</v>
      </c>
      <c r="D1771" s="6" t="s">
        <v>5369</v>
      </c>
      <c r="E1771" s="7" t="s">
        <v>5370</v>
      </c>
      <c r="F1771" s="13"/>
      <c r="G1771" s="14"/>
      <c r="H1771" s="15">
        <v>40</v>
      </c>
      <c r="I1771" s="14"/>
      <c r="J1771" s="14" t="s">
        <v>144</v>
      </c>
      <c r="K1771" s="5">
        <v>7</v>
      </c>
      <c r="L1771" s="16">
        <v>52</v>
      </c>
      <c r="M1771" s="12"/>
      <c r="N1771" s="14">
        <f t="shared" si="71"/>
        <v>0</v>
      </c>
      <c r="O1771" s="28">
        <f>0.05*M1771</f>
        <v>0</v>
      </c>
      <c r="P1771" s="24">
        <f>0.00047*M1771</f>
        <v>0</v>
      </c>
      <c r="Q1771" s="25"/>
      <c r="R1771" s="26" t="s">
        <v>5371</v>
      </c>
      <c r="S1771" s="26" t="s">
        <v>29</v>
      </c>
      <c r="T1771" s="6" t="str">
        <f>HYPERLINK("https://kanzpp.ru/api/getInfo/image/029e82b2-5ae3-11ef-a262-00155d82e908")</f>
        <v>https://kanzpp.ru/api/getInfo/image/029e82b2-5ae3-11ef-a262-00155d82e908</v>
      </c>
      <c r="U1771" s="6"/>
      <c r="V1771" s="33" t="s">
        <v>35</v>
      </c>
    </row>
    <row r="1772" spans="2:22" ht="21" customHeight="1" outlineLevel="6" x14ac:dyDescent="0.2">
      <c r="B1772" s="69">
        <v>1264</v>
      </c>
      <c r="C1772" s="6" t="s">
        <v>5372</v>
      </c>
      <c r="D1772" s="6" t="s">
        <v>5373</v>
      </c>
      <c r="E1772" s="7" t="s">
        <v>5374</v>
      </c>
      <c r="F1772" s="13"/>
      <c r="G1772" s="14"/>
      <c r="H1772" s="15">
        <v>40</v>
      </c>
      <c r="I1772" s="14"/>
      <c r="J1772" s="14" t="s">
        <v>144</v>
      </c>
      <c r="K1772" s="5">
        <v>7</v>
      </c>
      <c r="L1772" s="16">
        <v>52</v>
      </c>
      <c r="M1772" s="12"/>
      <c r="N1772" s="14">
        <f t="shared" si="71"/>
        <v>0</v>
      </c>
      <c r="O1772" s="23">
        <f>0.053*M1772</f>
        <v>0</v>
      </c>
      <c r="P1772" s="24">
        <f>0.00053*M1772</f>
        <v>0</v>
      </c>
      <c r="Q1772" s="25"/>
      <c r="R1772" s="26" t="s">
        <v>5375</v>
      </c>
      <c r="S1772" s="26" t="s">
        <v>29</v>
      </c>
      <c r="T1772" s="6" t="str">
        <f>HYPERLINK("https://kanzpp.ru/api/getInfo/image/ba81a43c-5ae2-11ef-a262-00155d82e908")</f>
        <v>https://kanzpp.ru/api/getInfo/image/ba81a43c-5ae2-11ef-a262-00155d82e908</v>
      </c>
      <c r="U1772" s="6"/>
      <c r="V1772" s="33" t="s">
        <v>35</v>
      </c>
    </row>
    <row r="1773" spans="2:22" ht="21" customHeight="1" outlineLevel="6" x14ac:dyDescent="0.2">
      <c r="B1773" s="69">
        <v>1265</v>
      </c>
      <c r="C1773" s="6" t="s">
        <v>5376</v>
      </c>
      <c r="D1773" s="6" t="s">
        <v>5377</v>
      </c>
      <c r="E1773" s="7" t="s">
        <v>5378</v>
      </c>
      <c r="F1773" s="13"/>
      <c r="G1773" s="14"/>
      <c r="H1773" s="15">
        <v>40</v>
      </c>
      <c r="I1773" s="14"/>
      <c r="J1773" s="15">
        <v>1</v>
      </c>
      <c r="K1773" s="5">
        <v>1</v>
      </c>
      <c r="L1773" s="16">
        <v>52</v>
      </c>
      <c r="M1773" s="12"/>
      <c r="N1773" s="14">
        <f t="shared" si="71"/>
        <v>0</v>
      </c>
      <c r="O1773" s="23">
        <f>0.048*M1773</f>
        <v>0</v>
      </c>
      <c r="P1773" s="24">
        <f>0.00059*M1773</f>
        <v>0</v>
      </c>
      <c r="Q1773" s="25"/>
      <c r="R1773" s="26" t="s">
        <v>5379</v>
      </c>
      <c r="S1773" s="26" t="s">
        <v>29</v>
      </c>
      <c r="T1773" s="6" t="str">
        <f>HYPERLINK("https://kanzpp.ru/api/getInfo/image/d9acfc88-40dd-11ee-a243-00155d82e902")</f>
        <v>https://kanzpp.ru/api/getInfo/image/d9acfc88-40dd-11ee-a243-00155d82e902</v>
      </c>
      <c r="U1773" s="6"/>
      <c r="V1773" s="33" t="s">
        <v>35</v>
      </c>
    </row>
    <row r="1774" spans="2:22" ht="22.95" customHeight="1" outlineLevel="5" x14ac:dyDescent="0.2">
      <c r="B1774" s="83" t="s">
        <v>5380</v>
      </c>
      <c r="C1774" s="83"/>
      <c r="D1774" s="83"/>
      <c r="L1774">
        <v>0</v>
      </c>
    </row>
    <row r="1775" spans="2:22" ht="21" customHeight="1" outlineLevel="6" x14ac:dyDescent="0.2">
      <c r="B1775" s="69">
        <v>1266</v>
      </c>
      <c r="C1775" s="6" t="s">
        <v>5381</v>
      </c>
      <c r="D1775" s="6" t="s">
        <v>5382</v>
      </c>
      <c r="E1775" s="7" t="s">
        <v>5383</v>
      </c>
      <c r="F1775" s="13"/>
      <c r="G1775" s="14"/>
      <c r="H1775" s="15">
        <v>40</v>
      </c>
      <c r="I1775" s="14"/>
      <c r="J1775" s="15">
        <v>728</v>
      </c>
      <c r="K1775" s="5">
        <v>6</v>
      </c>
      <c r="L1775" s="16">
        <v>52</v>
      </c>
      <c r="M1775" s="12"/>
      <c r="N1775" s="14">
        <f t="shared" ref="N1775:N1784" si="72">L1775*M1775</f>
        <v>0</v>
      </c>
      <c r="O1775" s="28">
        <f>0.05*M1775</f>
        <v>0</v>
      </c>
      <c r="P1775" s="31">
        <f>0.0005*M1775</f>
        <v>0</v>
      </c>
      <c r="Q1775" s="25"/>
      <c r="R1775" s="26" t="s">
        <v>5384</v>
      </c>
      <c r="S1775" s="26" t="s">
        <v>29</v>
      </c>
      <c r="T1775" s="6" t="str">
        <f>HYPERLINK("https://kanzpp.ru/api/getInfo/image/78a8bf74-3b72-11ee-a241-00155d82e902")</f>
        <v>https://kanzpp.ru/api/getInfo/image/78a8bf74-3b72-11ee-a241-00155d82e902</v>
      </c>
      <c r="U1775" s="6"/>
      <c r="V1775" s="33" t="s">
        <v>35</v>
      </c>
    </row>
    <row r="1776" spans="2:22" ht="21" customHeight="1" outlineLevel="6" x14ac:dyDescent="0.2">
      <c r="B1776" s="69">
        <v>1267</v>
      </c>
      <c r="C1776" s="6" t="s">
        <v>5385</v>
      </c>
      <c r="D1776" s="6" t="s">
        <v>5386</v>
      </c>
      <c r="E1776" s="7" t="s">
        <v>5387</v>
      </c>
      <c r="F1776" s="13"/>
      <c r="G1776" s="14"/>
      <c r="H1776" s="15">
        <v>40</v>
      </c>
      <c r="I1776" s="14"/>
      <c r="J1776" s="14" t="s">
        <v>144</v>
      </c>
      <c r="K1776" s="5">
        <v>6</v>
      </c>
      <c r="L1776" s="16">
        <v>52</v>
      </c>
      <c r="M1776" s="12"/>
      <c r="N1776" s="14">
        <f t="shared" si="72"/>
        <v>0</v>
      </c>
      <c r="O1776" s="28">
        <f>0.05*M1776</f>
        <v>0</v>
      </c>
      <c r="P1776" s="31">
        <f>0.0005*M1776</f>
        <v>0</v>
      </c>
      <c r="Q1776" s="25"/>
      <c r="R1776" s="26" t="s">
        <v>5388</v>
      </c>
      <c r="S1776" s="26" t="s">
        <v>29</v>
      </c>
      <c r="T1776" s="6" t="str">
        <f>HYPERLINK("https://kanzpp.ru/api/getInfo/image/a5a9352a-3b72-11ee-a241-00155d82e902")</f>
        <v>https://kanzpp.ru/api/getInfo/image/a5a9352a-3b72-11ee-a241-00155d82e902</v>
      </c>
      <c r="U1776" s="6"/>
      <c r="V1776" s="33" t="s">
        <v>35</v>
      </c>
    </row>
    <row r="1777" spans="2:22" ht="21" customHeight="1" outlineLevel="6" x14ac:dyDescent="0.2">
      <c r="B1777" s="69">
        <v>1268</v>
      </c>
      <c r="C1777" s="6" t="s">
        <v>5389</v>
      </c>
      <c r="D1777" s="6" t="s">
        <v>5390</v>
      </c>
      <c r="E1777" s="7" t="s">
        <v>5391</v>
      </c>
      <c r="F1777" s="13"/>
      <c r="G1777" s="14"/>
      <c r="H1777" s="15">
        <v>40</v>
      </c>
      <c r="I1777" s="14"/>
      <c r="J1777" s="14" t="s">
        <v>144</v>
      </c>
      <c r="K1777" s="5">
        <v>6</v>
      </c>
      <c r="L1777" s="16">
        <v>52</v>
      </c>
      <c r="M1777" s="12"/>
      <c r="N1777" s="14">
        <f t="shared" si="72"/>
        <v>0</v>
      </c>
      <c r="O1777" s="23">
        <f>0.058*M1777</f>
        <v>0</v>
      </c>
      <c r="P1777" s="24">
        <f>0.00052*M1777</f>
        <v>0</v>
      </c>
      <c r="Q1777" s="25"/>
      <c r="R1777" s="26" t="s">
        <v>5392</v>
      </c>
      <c r="S1777" s="26" t="s">
        <v>29</v>
      </c>
      <c r="T1777" s="6" t="str">
        <f>HYPERLINK("https://kanzpp.ru/api/getInfo/image/2da52031-3b73-11ee-a241-00155d82e902")</f>
        <v>https://kanzpp.ru/api/getInfo/image/2da52031-3b73-11ee-a241-00155d82e902</v>
      </c>
      <c r="U1777" s="6"/>
      <c r="V1777" s="33" t="s">
        <v>35</v>
      </c>
    </row>
    <row r="1778" spans="2:22" ht="21" customHeight="1" outlineLevel="6" x14ac:dyDescent="0.2">
      <c r="B1778" s="69">
        <v>1269</v>
      </c>
      <c r="C1778" s="6" t="s">
        <v>5393</v>
      </c>
      <c r="D1778" s="6" t="s">
        <v>5394</v>
      </c>
      <c r="E1778" s="7" t="s">
        <v>5395</v>
      </c>
      <c r="F1778" s="13"/>
      <c r="G1778" s="14"/>
      <c r="H1778" s="15">
        <v>40</v>
      </c>
      <c r="I1778" s="14"/>
      <c r="J1778" s="14" t="s">
        <v>144</v>
      </c>
      <c r="K1778" s="5">
        <v>6</v>
      </c>
      <c r="L1778" s="16">
        <v>52</v>
      </c>
      <c r="M1778" s="12"/>
      <c r="N1778" s="14">
        <f t="shared" si="72"/>
        <v>0</v>
      </c>
      <c r="O1778" s="23">
        <f>0.044*M1778</f>
        <v>0</v>
      </c>
      <c r="P1778" s="24">
        <f>0.00048*M1778</f>
        <v>0</v>
      </c>
      <c r="Q1778" s="25"/>
      <c r="R1778" s="26" t="s">
        <v>5396</v>
      </c>
      <c r="S1778" s="26" t="s">
        <v>29</v>
      </c>
      <c r="T1778" s="6" t="str">
        <f>HYPERLINK("https://kanzpp.ru/api/getInfo/image/01dcee04-3b73-11ee-a241-00155d82e902")</f>
        <v>https://kanzpp.ru/api/getInfo/image/01dcee04-3b73-11ee-a241-00155d82e902</v>
      </c>
      <c r="U1778" s="6"/>
      <c r="V1778" s="33" t="s">
        <v>35</v>
      </c>
    </row>
    <row r="1779" spans="2:22" ht="21" customHeight="1" outlineLevel="6" x14ac:dyDescent="0.2">
      <c r="B1779" s="69">
        <v>1270</v>
      </c>
      <c r="C1779" s="6" t="s">
        <v>5397</v>
      </c>
      <c r="D1779" s="6" t="s">
        <v>5398</v>
      </c>
      <c r="E1779" s="7" t="s">
        <v>5399</v>
      </c>
      <c r="F1779" s="13"/>
      <c r="G1779" s="14"/>
      <c r="H1779" s="15">
        <v>40</v>
      </c>
      <c r="I1779" s="14"/>
      <c r="J1779" s="14" t="s">
        <v>144</v>
      </c>
      <c r="K1779" s="5">
        <v>6</v>
      </c>
      <c r="L1779" s="16">
        <v>52</v>
      </c>
      <c r="M1779" s="12"/>
      <c r="N1779" s="14">
        <f t="shared" si="72"/>
        <v>0</v>
      </c>
      <c r="O1779" s="28">
        <f>0.05*M1779</f>
        <v>0</v>
      </c>
      <c r="P1779" s="31">
        <f>0.0005*M1779</f>
        <v>0</v>
      </c>
      <c r="Q1779" s="25"/>
      <c r="R1779" s="26" t="s">
        <v>5400</v>
      </c>
      <c r="S1779" s="26" t="s">
        <v>29</v>
      </c>
      <c r="T1779" s="6" t="str">
        <f>HYPERLINK("https://kanzpp.ru/api/getInfo/image/0a806ae7-3b72-11ee-a241-00155d82e902")</f>
        <v>https://kanzpp.ru/api/getInfo/image/0a806ae7-3b72-11ee-a241-00155d82e902</v>
      </c>
      <c r="U1779" s="6"/>
      <c r="V1779" s="33" t="s">
        <v>35</v>
      </c>
    </row>
    <row r="1780" spans="2:22" ht="21" customHeight="1" outlineLevel="6" x14ac:dyDescent="0.2">
      <c r="B1780" s="69">
        <v>1271</v>
      </c>
      <c r="C1780" s="6" t="s">
        <v>5401</v>
      </c>
      <c r="D1780" s="6" t="s">
        <v>5402</v>
      </c>
      <c r="E1780" s="7" t="s">
        <v>5403</v>
      </c>
      <c r="F1780" s="13"/>
      <c r="G1780" s="14"/>
      <c r="H1780" s="15">
        <v>40</v>
      </c>
      <c r="I1780" s="14"/>
      <c r="J1780" s="14" t="s">
        <v>144</v>
      </c>
      <c r="K1780" s="5">
        <v>6</v>
      </c>
      <c r="L1780" s="16">
        <v>52</v>
      </c>
      <c r="M1780" s="12"/>
      <c r="N1780" s="14">
        <f t="shared" si="72"/>
        <v>0</v>
      </c>
      <c r="O1780" s="28">
        <f>0.05*M1780</f>
        <v>0</v>
      </c>
      <c r="P1780" s="31">
        <f>0.0005*M1780</f>
        <v>0</v>
      </c>
      <c r="Q1780" s="25"/>
      <c r="R1780" s="26" t="s">
        <v>5404</v>
      </c>
      <c r="S1780" s="26" t="s">
        <v>29</v>
      </c>
      <c r="T1780" s="6" t="str">
        <f>HYPERLINK("https://kanzpp.ru/api/getInfo/image/b979de5b-3b71-11ee-a241-00155d82e902")</f>
        <v>https://kanzpp.ru/api/getInfo/image/b979de5b-3b71-11ee-a241-00155d82e902</v>
      </c>
      <c r="U1780" s="6"/>
      <c r="V1780" s="33" t="s">
        <v>35</v>
      </c>
    </row>
    <row r="1781" spans="2:22" ht="21" customHeight="1" outlineLevel="6" x14ac:dyDescent="0.2">
      <c r="B1781" s="69">
        <v>1272</v>
      </c>
      <c r="C1781" s="6" t="s">
        <v>5405</v>
      </c>
      <c r="D1781" s="6" t="s">
        <v>5406</v>
      </c>
      <c r="E1781" s="7" t="s">
        <v>5407</v>
      </c>
      <c r="F1781" s="13"/>
      <c r="G1781" s="14"/>
      <c r="H1781" s="15">
        <v>40</v>
      </c>
      <c r="I1781" s="14"/>
      <c r="J1781" s="14" t="s">
        <v>144</v>
      </c>
      <c r="K1781" s="5">
        <v>6</v>
      </c>
      <c r="L1781" s="16">
        <v>52</v>
      </c>
      <c r="M1781" s="12"/>
      <c r="N1781" s="14">
        <f t="shared" si="72"/>
        <v>0</v>
      </c>
      <c r="O1781" s="23">
        <f>0.055*M1781</f>
        <v>0</v>
      </c>
      <c r="P1781" s="24">
        <f>0.00049*M1781</f>
        <v>0</v>
      </c>
      <c r="Q1781" s="25"/>
      <c r="R1781" s="26" t="s">
        <v>5408</v>
      </c>
      <c r="S1781" s="26" t="s">
        <v>29</v>
      </c>
      <c r="T1781" s="6" t="str">
        <f>HYPERLINK("https://kanzpp.ru/api/getInfo/image/33192674-3b72-11ee-a241-00155d82e902")</f>
        <v>https://kanzpp.ru/api/getInfo/image/33192674-3b72-11ee-a241-00155d82e902</v>
      </c>
      <c r="U1781" s="6"/>
      <c r="V1781" s="33" t="s">
        <v>35</v>
      </c>
    </row>
    <row r="1782" spans="2:22" ht="21" customHeight="1" outlineLevel="6" x14ac:dyDescent="0.2">
      <c r="B1782" s="69">
        <v>1273</v>
      </c>
      <c r="C1782" s="6" t="s">
        <v>5409</v>
      </c>
      <c r="D1782" s="6" t="s">
        <v>5410</v>
      </c>
      <c r="E1782" s="7" t="s">
        <v>5411</v>
      </c>
      <c r="F1782" s="13"/>
      <c r="G1782" s="14"/>
      <c r="H1782" s="15">
        <v>40</v>
      </c>
      <c r="I1782" s="14"/>
      <c r="J1782" s="15">
        <v>212</v>
      </c>
      <c r="K1782" s="5">
        <v>6</v>
      </c>
      <c r="L1782" s="16">
        <v>52</v>
      </c>
      <c r="M1782" s="12"/>
      <c r="N1782" s="14">
        <f t="shared" si="72"/>
        <v>0</v>
      </c>
      <c r="O1782" s="23">
        <f>0.055*M1782</f>
        <v>0</v>
      </c>
      <c r="P1782" s="24">
        <f>0.00049*M1782</f>
        <v>0</v>
      </c>
      <c r="Q1782" s="25"/>
      <c r="R1782" s="26" t="s">
        <v>5412</v>
      </c>
      <c r="S1782" s="26" t="s">
        <v>29</v>
      </c>
      <c r="T1782" s="6" t="str">
        <f>HYPERLINK("https://kanzpp.ru/api/getInfo/image/cd93f213-3b72-11ee-a241-00155d82e902")</f>
        <v>https://kanzpp.ru/api/getInfo/image/cd93f213-3b72-11ee-a241-00155d82e902</v>
      </c>
      <c r="U1782" s="6"/>
      <c r="V1782" s="33" t="s">
        <v>35</v>
      </c>
    </row>
    <row r="1783" spans="2:22" ht="21" customHeight="1" outlineLevel="6" x14ac:dyDescent="0.2">
      <c r="B1783" s="70">
        <v>1274</v>
      </c>
      <c r="C1783" s="3" t="s">
        <v>5413</v>
      </c>
      <c r="D1783" s="3" t="s">
        <v>5414</v>
      </c>
      <c r="E1783" s="4" t="s">
        <v>5415</v>
      </c>
      <c r="F1783" s="8"/>
      <c r="G1783" s="9"/>
      <c r="H1783" s="10">
        <v>40</v>
      </c>
      <c r="I1783" s="9"/>
      <c r="J1783" s="10">
        <v>12</v>
      </c>
      <c r="K1783" s="2">
        <v>4</v>
      </c>
      <c r="L1783" s="18">
        <v>30.680000000000003</v>
      </c>
      <c r="M1783" s="12"/>
      <c r="N1783" s="9">
        <f t="shared" si="72"/>
        <v>0</v>
      </c>
      <c r="O1783" s="11">
        <f>0.07*M1783</f>
        <v>0</v>
      </c>
      <c r="P1783" s="30">
        <f>0.00043*M1783</f>
        <v>0</v>
      </c>
      <c r="Q1783" s="21"/>
      <c r="R1783" s="22" t="s">
        <v>5416</v>
      </c>
      <c r="S1783" s="22" t="s">
        <v>29</v>
      </c>
      <c r="T1783" s="3" t="str">
        <f>HYPERLINK("https://kanzpp.ru/api/getInfo/image/9918e830-db33-11eb-a209-ac1f6b442185")</f>
        <v>https://kanzpp.ru/api/getInfo/image/9918e830-db33-11eb-a209-ac1f6b442185</v>
      </c>
      <c r="U1783" s="3"/>
      <c r="V1783" s="32" t="s">
        <v>30</v>
      </c>
    </row>
    <row r="1784" spans="2:22" ht="21" customHeight="1" outlineLevel="6" x14ac:dyDescent="0.2">
      <c r="B1784" s="69">
        <v>1275</v>
      </c>
      <c r="C1784" s="6" t="s">
        <v>5417</v>
      </c>
      <c r="D1784" s="6" t="s">
        <v>5418</v>
      </c>
      <c r="E1784" s="7" t="s">
        <v>5419</v>
      </c>
      <c r="F1784" s="13"/>
      <c r="G1784" s="14"/>
      <c r="H1784" s="15">
        <v>40</v>
      </c>
      <c r="I1784" s="14"/>
      <c r="J1784" s="14" t="s">
        <v>144</v>
      </c>
      <c r="K1784" s="5">
        <v>6</v>
      </c>
      <c r="L1784" s="16">
        <v>52</v>
      </c>
      <c r="M1784" s="12"/>
      <c r="N1784" s="14">
        <f t="shared" si="72"/>
        <v>0</v>
      </c>
      <c r="O1784" s="28">
        <f>0.05*M1784</f>
        <v>0</v>
      </c>
      <c r="P1784" s="31">
        <f>0.0005*M1784</f>
        <v>0</v>
      </c>
      <c r="Q1784" s="25"/>
      <c r="R1784" s="26" t="s">
        <v>5420</v>
      </c>
      <c r="S1784" s="26" t="s">
        <v>29</v>
      </c>
      <c r="T1784" s="6" t="str">
        <f>HYPERLINK("https://kanzpp.ru/api/getInfo/image/530c245e-3b73-11ee-a241-00155d82e902")</f>
        <v>https://kanzpp.ru/api/getInfo/image/530c245e-3b73-11ee-a241-00155d82e902</v>
      </c>
      <c r="U1784" s="6"/>
      <c r="V1784" s="33" t="s">
        <v>35</v>
      </c>
    </row>
    <row r="1785" spans="2:22" ht="22.95" customHeight="1" outlineLevel="5" x14ac:dyDescent="0.2">
      <c r="B1785" s="83" t="s">
        <v>5421</v>
      </c>
      <c r="C1785" s="83"/>
      <c r="D1785" s="83"/>
      <c r="L1785">
        <v>0</v>
      </c>
    </row>
    <row r="1786" spans="2:22" ht="21" customHeight="1" outlineLevel="6" x14ac:dyDescent="0.2">
      <c r="B1786" s="69">
        <v>1276</v>
      </c>
      <c r="C1786" s="6" t="s">
        <v>5422</v>
      </c>
      <c r="D1786" s="6" t="s">
        <v>5423</v>
      </c>
      <c r="E1786" s="7" t="s">
        <v>5424</v>
      </c>
      <c r="F1786" s="13"/>
      <c r="G1786" s="14"/>
      <c r="H1786" s="15">
        <v>40</v>
      </c>
      <c r="I1786" s="14"/>
      <c r="J1786" s="15">
        <v>38</v>
      </c>
      <c r="K1786" s="5">
        <v>5</v>
      </c>
      <c r="L1786" s="16">
        <v>56</v>
      </c>
      <c r="M1786" s="12"/>
      <c r="N1786" s="14">
        <f>L1786*M1786</f>
        <v>0</v>
      </c>
      <c r="O1786" s="23">
        <f>0.051*M1786</f>
        <v>0</v>
      </c>
      <c r="P1786" s="31">
        <f>0.0005*M1786</f>
        <v>0</v>
      </c>
      <c r="Q1786" s="25"/>
      <c r="R1786" s="26" t="s">
        <v>5425</v>
      </c>
      <c r="S1786" s="26" t="s">
        <v>29</v>
      </c>
      <c r="T1786" s="6" t="str">
        <f>HYPERLINK("https://kanzpp.ru/api/getInfo/image/75859185-c983-11ee-a25a-00155d82e908")</f>
        <v>https://kanzpp.ru/api/getInfo/image/75859185-c983-11ee-a25a-00155d82e908</v>
      </c>
      <c r="U1786" s="6"/>
      <c r="V1786" s="33" t="s">
        <v>35</v>
      </c>
    </row>
    <row r="1787" spans="2:22" ht="21" customHeight="1" outlineLevel="6" x14ac:dyDescent="0.2">
      <c r="B1787" s="69">
        <v>1277</v>
      </c>
      <c r="C1787" s="6" t="s">
        <v>5426</v>
      </c>
      <c r="D1787" s="6" t="s">
        <v>5427</v>
      </c>
      <c r="E1787" s="7" t="s">
        <v>5428</v>
      </c>
      <c r="F1787" s="13"/>
      <c r="G1787" s="14"/>
      <c r="H1787" s="15">
        <v>40</v>
      </c>
      <c r="I1787" s="14"/>
      <c r="J1787" s="15">
        <v>356</v>
      </c>
      <c r="K1787" s="5">
        <v>5</v>
      </c>
      <c r="L1787" s="16">
        <v>56</v>
      </c>
      <c r="M1787" s="12"/>
      <c r="N1787" s="14">
        <f>L1787*M1787</f>
        <v>0</v>
      </c>
      <c r="O1787" s="23">
        <f>0.051*M1787</f>
        <v>0</v>
      </c>
      <c r="P1787" s="31">
        <f>0.0005*M1787</f>
        <v>0</v>
      </c>
      <c r="Q1787" s="25"/>
      <c r="R1787" s="26" t="s">
        <v>5429</v>
      </c>
      <c r="S1787" s="26" t="s">
        <v>29</v>
      </c>
      <c r="T1787" s="6" t="str">
        <f>HYPERLINK("https://kanzpp.ru/api/getInfo/image/07063a16-c98a-11ee-a25a-00155d82e908")</f>
        <v>https://kanzpp.ru/api/getInfo/image/07063a16-c98a-11ee-a25a-00155d82e908</v>
      </c>
      <c r="U1787" s="6"/>
      <c r="V1787" s="33" t="s">
        <v>35</v>
      </c>
    </row>
    <row r="1788" spans="2:22" ht="21" customHeight="1" outlineLevel="6" x14ac:dyDescent="0.2">
      <c r="B1788" s="69">
        <v>1278</v>
      </c>
      <c r="C1788" s="6" t="s">
        <v>5430</v>
      </c>
      <c r="D1788" s="6" t="s">
        <v>5431</v>
      </c>
      <c r="E1788" s="7" t="s">
        <v>5432</v>
      </c>
      <c r="F1788" s="13"/>
      <c r="G1788" s="14"/>
      <c r="H1788" s="15">
        <v>40</v>
      </c>
      <c r="I1788" s="14"/>
      <c r="J1788" s="15">
        <v>744</v>
      </c>
      <c r="K1788" s="5">
        <v>5</v>
      </c>
      <c r="L1788" s="16">
        <v>56</v>
      </c>
      <c r="M1788" s="12"/>
      <c r="N1788" s="14">
        <f>L1788*M1788</f>
        <v>0</v>
      </c>
      <c r="O1788" s="23">
        <f>0.051*M1788</f>
        <v>0</v>
      </c>
      <c r="P1788" s="31">
        <f>0.0005*M1788</f>
        <v>0</v>
      </c>
      <c r="Q1788" s="25"/>
      <c r="R1788" s="26" t="s">
        <v>5433</v>
      </c>
      <c r="S1788" s="26" t="s">
        <v>29</v>
      </c>
      <c r="T1788" s="6" t="str">
        <f>HYPERLINK("https://kanzpp.ru/api/getInfo/image/4dce4582-c98a-11ee-a25a-00155d82e908")</f>
        <v>https://kanzpp.ru/api/getInfo/image/4dce4582-c98a-11ee-a25a-00155d82e908</v>
      </c>
      <c r="U1788" s="6"/>
      <c r="V1788" s="33" t="s">
        <v>35</v>
      </c>
    </row>
    <row r="1789" spans="2:22" ht="21" customHeight="1" outlineLevel="6" x14ac:dyDescent="0.2">
      <c r="B1789" s="69">
        <v>1279</v>
      </c>
      <c r="C1789" s="6" t="s">
        <v>5434</v>
      </c>
      <c r="D1789" s="6" t="s">
        <v>5435</v>
      </c>
      <c r="E1789" s="7" t="s">
        <v>5436</v>
      </c>
      <c r="F1789" s="13"/>
      <c r="G1789" s="14"/>
      <c r="H1789" s="15">
        <v>40</v>
      </c>
      <c r="I1789" s="14"/>
      <c r="J1789" s="15">
        <v>165</v>
      </c>
      <c r="K1789" s="5">
        <v>5</v>
      </c>
      <c r="L1789" s="16">
        <v>56</v>
      </c>
      <c r="M1789" s="12"/>
      <c r="N1789" s="14">
        <f>L1789*M1789</f>
        <v>0</v>
      </c>
      <c r="O1789" s="23">
        <f>0.051*M1789</f>
        <v>0</v>
      </c>
      <c r="P1789" s="31">
        <f>0.0005*M1789</f>
        <v>0</v>
      </c>
      <c r="Q1789" s="25"/>
      <c r="R1789" s="26" t="s">
        <v>5437</v>
      </c>
      <c r="S1789" s="26" t="s">
        <v>29</v>
      </c>
      <c r="T1789" s="6" t="str">
        <f>HYPERLINK("https://kanzpp.ru/api/getInfo/image/fe2505e7-c98a-11ee-a25a-00155d82e908")</f>
        <v>https://kanzpp.ru/api/getInfo/image/fe2505e7-c98a-11ee-a25a-00155d82e908</v>
      </c>
      <c r="U1789" s="6"/>
      <c r="V1789" s="33" t="s">
        <v>35</v>
      </c>
    </row>
    <row r="1790" spans="2:22" ht="22.95" customHeight="1" outlineLevel="4" x14ac:dyDescent="0.2">
      <c r="B1790" s="82" t="s">
        <v>5438</v>
      </c>
      <c r="C1790" s="82"/>
      <c r="D1790" s="82"/>
      <c r="L1790">
        <v>0</v>
      </c>
    </row>
    <row r="1791" spans="2:22" ht="22.95" customHeight="1" outlineLevel="5" x14ac:dyDescent="0.2">
      <c r="B1791" s="83" t="s">
        <v>5439</v>
      </c>
      <c r="C1791" s="83"/>
      <c r="D1791" s="83"/>
      <c r="L1791">
        <v>0</v>
      </c>
    </row>
    <row r="1792" spans="2:22" ht="21" customHeight="1" outlineLevel="6" x14ac:dyDescent="0.2">
      <c r="B1792" s="70">
        <v>1280</v>
      </c>
      <c r="C1792" s="3" t="s">
        <v>5440</v>
      </c>
      <c r="D1792" s="3" t="s">
        <v>5441</v>
      </c>
      <c r="E1792" s="4" t="s">
        <v>5442</v>
      </c>
      <c r="F1792" s="8"/>
      <c r="G1792" s="9"/>
      <c r="H1792" s="10">
        <v>40</v>
      </c>
      <c r="I1792" s="9"/>
      <c r="J1792" s="10">
        <v>30</v>
      </c>
      <c r="K1792" s="2">
        <v>4</v>
      </c>
      <c r="L1792" s="18">
        <v>34.026666666666664</v>
      </c>
      <c r="M1792" s="12"/>
      <c r="N1792" s="9">
        <f t="shared" ref="N1792:N1812" si="73">L1792*M1792</f>
        <v>0</v>
      </c>
      <c r="O1792" s="29">
        <f>0.094*M1792</f>
        <v>0</v>
      </c>
      <c r="P1792" s="30">
        <f>0.00055*M1792</f>
        <v>0</v>
      </c>
      <c r="Q1792" s="21"/>
      <c r="R1792" s="22" t="s">
        <v>5443</v>
      </c>
      <c r="S1792" s="22" t="s">
        <v>29</v>
      </c>
      <c r="T1792" s="3" t="str">
        <f>HYPERLINK("https://kanzpp.ru/api/getInfo/image/375d1c7f-d1e3-11ec-a212-ac1f6b442185")</f>
        <v>https://kanzpp.ru/api/getInfo/image/375d1c7f-d1e3-11ec-a212-ac1f6b442185</v>
      </c>
      <c r="U1792" s="3"/>
      <c r="V1792" s="32" t="s">
        <v>30</v>
      </c>
    </row>
    <row r="1793" spans="2:22" ht="21" customHeight="1" outlineLevel="6" x14ac:dyDescent="0.2">
      <c r="B1793" s="69">
        <v>1281</v>
      </c>
      <c r="C1793" s="6" t="s">
        <v>5444</v>
      </c>
      <c r="D1793" s="6" t="s">
        <v>5445</v>
      </c>
      <c r="E1793" s="7" t="s">
        <v>5446</v>
      </c>
      <c r="F1793" s="13"/>
      <c r="G1793" s="14"/>
      <c r="H1793" s="15">
        <v>40</v>
      </c>
      <c r="I1793" s="14"/>
      <c r="J1793" s="15">
        <v>680</v>
      </c>
      <c r="K1793" s="5">
        <v>6</v>
      </c>
      <c r="L1793" s="16">
        <v>60</v>
      </c>
      <c r="M1793" s="12"/>
      <c r="N1793" s="14">
        <f t="shared" si="73"/>
        <v>0</v>
      </c>
      <c r="O1793" s="23">
        <f>0.074*M1793</f>
        <v>0</v>
      </c>
      <c r="P1793" s="24">
        <f>0.00069*M1793</f>
        <v>0</v>
      </c>
      <c r="Q1793" s="25"/>
      <c r="R1793" s="26" t="s">
        <v>5447</v>
      </c>
      <c r="S1793" s="26" t="s">
        <v>29</v>
      </c>
      <c r="T1793" s="6" t="str">
        <f>HYPERLINK("https://kanzpp.ru/api/getInfo/image/3e4502f9-5ade-11ef-a262-00155d82e908")</f>
        <v>https://kanzpp.ru/api/getInfo/image/3e4502f9-5ade-11ef-a262-00155d82e908</v>
      </c>
      <c r="U1793" s="6"/>
      <c r="V1793" s="33" t="s">
        <v>35</v>
      </c>
    </row>
    <row r="1794" spans="2:22" ht="21" customHeight="1" outlineLevel="6" x14ac:dyDescent="0.2">
      <c r="B1794" s="69">
        <v>1282</v>
      </c>
      <c r="C1794" s="6" t="s">
        <v>5448</v>
      </c>
      <c r="D1794" s="6" t="s">
        <v>5449</v>
      </c>
      <c r="E1794" s="7" t="s">
        <v>5450</v>
      </c>
      <c r="F1794" s="13"/>
      <c r="G1794" s="14"/>
      <c r="H1794" s="15">
        <v>40</v>
      </c>
      <c r="I1794" s="14"/>
      <c r="J1794" s="15">
        <v>376</v>
      </c>
      <c r="K1794" s="5">
        <v>6</v>
      </c>
      <c r="L1794" s="16">
        <v>60</v>
      </c>
      <c r="M1794" s="12"/>
      <c r="N1794" s="14">
        <f t="shared" si="73"/>
        <v>0</v>
      </c>
      <c r="O1794" s="28">
        <f>0.06*M1794</f>
        <v>0</v>
      </c>
      <c r="P1794" s="24">
        <f>0.00067*M1794</f>
        <v>0</v>
      </c>
      <c r="Q1794" s="25"/>
      <c r="R1794" s="26" t="s">
        <v>5451</v>
      </c>
      <c r="S1794" s="26" t="s">
        <v>29</v>
      </c>
      <c r="T1794" s="6" t="str">
        <f>HYPERLINK("https://kanzpp.ru/api/getInfo/image/8bd8a14e-4b00-11ee-a244-00155d82e902")</f>
        <v>https://kanzpp.ru/api/getInfo/image/8bd8a14e-4b00-11ee-a244-00155d82e902</v>
      </c>
      <c r="U1794" s="6"/>
      <c r="V1794" s="33" t="s">
        <v>35</v>
      </c>
    </row>
    <row r="1795" spans="2:22" ht="21" customHeight="1" outlineLevel="6" x14ac:dyDescent="0.2">
      <c r="B1795" s="69">
        <v>1283</v>
      </c>
      <c r="C1795" s="6" t="s">
        <v>5452</v>
      </c>
      <c r="D1795" s="6" t="s">
        <v>5453</v>
      </c>
      <c r="E1795" s="7" t="s">
        <v>5454</v>
      </c>
      <c r="F1795" s="13"/>
      <c r="G1795" s="14"/>
      <c r="H1795" s="15">
        <v>40</v>
      </c>
      <c r="I1795" s="14"/>
      <c r="J1795" s="14" t="s">
        <v>144</v>
      </c>
      <c r="K1795" s="5">
        <v>6</v>
      </c>
      <c r="L1795" s="16">
        <v>60</v>
      </c>
      <c r="M1795" s="12"/>
      <c r="N1795" s="14">
        <f t="shared" si="73"/>
        <v>0</v>
      </c>
      <c r="O1795" s="23">
        <f>0.074*M1795</f>
        <v>0</v>
      </c>
      <c r="P1795" s="24">
        <f>0.00069*M1795</f>
        <v>0</v>
      </c>
      <c r="Q1795" s="25"/>
      <c r="R1795" s="26" t="s">
        <v>5455</v>
      </c>
      <c r="S1795" s="26" t="s">
        <v>29</v>
      </c>
      <c r="T1795" s="6" t="str">
        <f>HYPERLINK("https://kanzpp.ru/api/getInfo/image/a85825b7-5add-11ef-a262-00155d82e908")</f>
        <v>https://kanzpp.ru/api/getInfo/image/a85825b7-5add-11ef-a262-00155d82e908</v>
      </c>
      <c r="U1795" s="6"/>
      <c r="V1795" s="33" t="s">
        <v>35</v>
      </c>
    </row>
    <row r="1796" spans="2:22" ht="21" customHeight="1" outlineLevel="6" x14ac:dyDescent="0.2">
      <c r="B1796" s="70">
        <v>1284</v>
      </c>
      <c r="C1796" s="3" t="s">
        <v>5456</v>
      </c>
      <c r="D1796" s="3" t="s">
        <v>873</v>
      </c>
      <c r="E1796" s="4" t="s">
        <v>874</v>
      </c>
      <c r="F1796" s="8"/>
      <c r="G1796" s="9"/>
      <c r="H1796" s="10">
        <v>40</v>
      </c>
      <c r="I1796" s="9"/>
      <c r="J1796" s="10">
        <v>4</v>
      </c>
      <c r="K1796" s="2">
        <v>4</v>
      </c>
      <c r="L1796" s="18">
        <v>34.6</v>
      </c>
      <c r="M1796" s="12"/>
      <c r="N1796" s="9">
        <f t="shared" si="73"/>
        <v>0</v>
      </c>
      <c r="O1796" s="29">
        <f>0.058*M1796</f>
        <v>0</v>
      </c>
      <c r="P1796" s="30">
        <f>0.00071*M1796</f>
        <v>0</v>
      </c>
      <c r="Q1796" s="21"/>
      <c r="R1796" s="22" t="s">
        <v>875</v>
      </c>
      <c r="S1796" s="22" t="s">
        <v>29</v>
      </c>
      <c r="T1796" s="3" t="str">
        <f>HYPERLINK("https://kanzpp.ru/api/getInfo/image/98516b6e-4afe-11ee-a244-00155d82e902")</f>
        <v>https://kanzpp.ru/api/getInfo/image/98516b6e-4afe-11ee-a244-00155d82e902</v>
      </c>
      <c r="U1796" s="3" t="s">
        <v>875</v>
      </c>
      <c r="V1796" s="32" t="s">
        <v>30</v>
      </c>
    </row>
    <row r="1797" spans="2:22" ht="21" customHeight="1" outlineLevel="6" x14ac:dyDescent="0.2">
      <c r="B1797" s="69">
        <v>1285</v>
      </c>
      <c r="C1797" s="6" t="s">
        <v>5457</v>
      </c>
      <c r="D1797" s="6" t="s">
        <v>5458</v>
      </c>
      <c r="E1797" s="7" t="s">
        <v>5459</v>
      </c>
      <c r="F1797" s="13"/>
      <c r="G1797" s="14"/>
      <c r="H1797" s="15">
        <v>40</v>
      </c>
      <c r="I1797" s="14"/>
      <c r="J1797" s="14" t="s">
        <v>144</v>
      </c>
      <c r="K1797" s="5">
        <v>6</v>
      </c>
      <c r="L1797" s="16">
        <v>38.666666666666664</v>
      </c>
      <c r="M1797" s="12"/>
      <c r="N1797" s="14">
        <f t="shared" si="73"/>
        <v>0</v>
      </c>
      <c r="O1797" s="23">
        <f>0.061*M1797</f>
        <v>0</v>
      </c>
      <c r="P1797" s="31">
        <f>0.0007*M1797</f>
        <v>0</v>
      </c>
      <c r="Q1797" s="25"/>
      <c r="R1797" s="26" t="s">
        <v>5460</v>
      </c>
      <c r="S1797" s="26" t="s">
        <v>29</v>
      </c>
      <c r="T1797" s="6" t="str">
        <f>HYPERLINK("https://kanzpp.ru/api/getInfo/image/3fa03101-5adb-11ef-a262-00155d82e908")</f>
        <v>https://kanzpp.ru/api/getInfo/image/3fa03101-5adb-11ef-a262-00155d82e908</v>
      </c>
      <c r="U1797" s="6"/>
      <c r="V1797" s="33" t="s">
        <v>35</v>
      </c>
    </row>
    <row r="1798" spans="2:22" ht="21" customHeight="1" outlineLevel="6" x14ac:dyDescent="0.2">
      <c r="B1798" s="69">
        <v>1286</v>
      </c>
      <c r="C1798" s="6" t="s">
        <v>5461</v>
      </c>
      <c r="D1798" s="6" t="s">
        <v>5462</v>
      </c>
      <c r="E1798" s="7" t="s">
        <v>5463</v>
      </c>
      <c r="F1798" s="13"/>
      <c r="G1798" s="14"/>
      <c r="H1798" s="15">
        <v>40</v>
      </c>
      <c r="I1798" s="14"/>
      <c r="J1798" s="14" t="s">
        <v>144</v>
      </c>
      <c r="K1798" s="5">
        <v>6</v>
      </c>
      <c r="L1798" s="16">
        <v>38.666666666666664</v>
      </c>
      <c r="M1798" s="12"/>
      <c r="N1798" s="14">
        <f t="shared" si="73"/>
        <v>0</v>
      </c>
      <c r="O1798" s="23">
        <f>0.063*M1798</f>
        <v>0</v>
      </c>
      <c r="P1798" s="24">
        <f>0.00068*M1798</f>
        <v>0</v>
      </c>
      <c r="Q1798" s="25"/>
      <c r="R1798" s="26" t="s">
        <v>5464</v>
      </c>
      <c r="S1798" s="26" t="s">
        <v>29</v>
      </c>
      <c r="T1798" s="6" t="str">
        <f>HYPERLINK("https://kanzpp.ru/api/getInfo/image/818b9071-5adb-11ef-a262-00155d82e908")</f>
        <v>https://kanzpp.ru/api/getInfo/image/818b9071-5adb-11ef-a262-00155d82e908</v>
      </c>
      <c r="U1798" s="6"/>
      <c r="V1798" s="33" t="s">
        <v>35</v>
      </c>
    </row>
    <row r="1799" spans="2:22" ht="21" customHeight="1" outlineLevel="6" x14ac:dyDescent="0.2">
      <c r="B1799" s="69">
        <v>1287</v>
      </c>
      <c r="C1799" s="6" t="s">
        <v>5465</v>
      </c>
      <c r="D1799" s="6" t="s">
        <v>5466</v>
      </c>
      <c r="E1799" s="7" t="s">
        <v>5467</v>
      </c>
      <c r="F1799" s="13"/>
      <c r="G1799" s="14"/>
      <c r="H1799" s="15">
        <v>40</v>
      </c>
      <c r="I1799" s="14"/>
      <c r="J1799" s="14" t="s">
        <v>144</v>
      </c>
      <c r="K1799" s="5">
        <v>6</v>
      </c>
      <c r="L1799" s="16">
        <v>60</v>
      </c>
      <c r="M1799" s="12"/>
      <c r="N1799" s="14">
        <f t="shared" si="73"/>
        <v>0</v>
      </c>
      <c r="O1799" s="23">
        <f>0.074*M1799</f>
        <v>0</v>
      </c>
      <c r="P1799" s="24">
        <f>0.00069*M1799</f>
        <v>0</v>
      </c>
      <c r="Q1799" s="25"/>
      <c r="R1799" s="26" t="s">
        <v>5468</v>
      </c>
      <c r="S1799" s="26" t="s">
        <v>29</v>
      </c>
      <c r="T1799" s="6" t="str">
        <f>HYPERLINK("https://kanzpp.ru/api/getInfo/image/ec015dbf-5add-11ef-a262-00155d82e908")</f>
        <v>https://kanzpp.ru/api/getInfo/image/ec015dbf-5add-11ef-a262-00155d82e908</v>
      </c>
      <c r="U1799" s="6"/>
      <c r="V1799" s="33" t="s">
        <v>35</v>
      </c>
    </row>
    <row r="1800" spans="2:22" ht="21" customHeight="1" outlineLevel="6" x14ac:dyDescent="0.2">
      <c r="B1800" s="69">
        <v>1288</v>
      </c>
      <c r="C1800" s="6" t="s">
        <v>5469</v>
      </c>
      <c r="D1800" s="6" t="s">
        <v>5470</v>
      </c>
      <c r="E1800" s="7" t="s">
        <v>5471</v>
      </c>
      <c r="F1800" s="13"/>
      <c r="G1800" s="14"/>
      <c r="H1800" s="15">
        <v>40</v>
      </c>
      <c r="I1800" s="14"/>
      <c r="J1800" s="14" t="s">
        <v>144</v>
      </c>
      <c r="K1800" s="5">
        <v>6</v>
      </c>
      <c r="L1800" s="16">
        <v>60</v>
      </c>
      <c r="M1800" s="12"/>
      <c r="N1800" s="14">
        <f t="shared" si="73"/>
        <v>0</v>
      </c>
      <c r="O1800" s="23">
        <f>0.061*M1800</f>
        <v>0</v>
      </c>
      <c r="P1800" s="31">
        <f>0.0007*M1800</f>
        <v>0</v>
      </c>
      <c r="Q1800" s="25"/>
      <c r="R1800" s="26" t="s">
        <v>5472</v>
      </c>
      <c r="S1800" s="26" t="s">
        <v>29</v>
      </c>
      <c r="T1800" s="6" t="str">
        <f>HYPERLINK("https://kanzpp.ru/api/getInfo/image/cd621d40-5adb-11ef-a262-00155d82e908")</f>
        <v>https://kanzpp.ru/api/getInfo/image/cd621d40-5adb-11ef-a262-00155d82e908</v>
      </c>
      <c r="U1800" s="6"/>
      <c r="V1800" s="33" t="s">
        <v>35</v>
      </c>
    </row>
    <row r="1801" spans="2:22" ht="21" customHeight="1" outlineLevel="6" x14ac:dyDescent="0.2">
      <c r="B1801" s="70">
        <v>1289</v>
      </c>
      <c r="C1801" s="3" t="s">
        <v>5473</v>
      </c>
      <c r="D1801" s="3" t="s">
        <v>5474</v>
      </c>
      <c r="E1801" s="4" t="s">
        <v>5475</v>
      </c>
      <c r="F1801" s="8"/>
      <c r="G1801" s="9"/>
      <c r="H1801" s="10">
        <v>40</v>
      </c>
      <c r="I1801" s="9"/>
      <c r="J1801" s="10">
        <v>29</v>
      </c>
      <c r="K1801" s="2">
        <v>4</v>
      </c>
      <c r="L1801" s="18">
        <v>34.6</v>
      </c>
      <c r="M1801" s="12"/>
      <c r="N1801" s="9">
        <f t="shared" si="73"/>
        <v>0</v>
      </c>
      <c r="O1801" s="29">
        <f>0.066*M1801</f>
        <v>0</v>
      </c>
      <c r="P1801" s="30">
        <f>0.00065*M1801</f>
        <v>0</v>
      </c>
      <c r="Q1801" s="21"/>
      <c r="R1801" s="22" t="s">
        <v>5476</v>
      </c>
      <c r="S1801" s="22" t="s">
        <v>29</v>
      </c>
      <c r="T1801" s="3" t="str">
        <f>HYPERLINK("https://kanzpp.ru/api/getInfo/image/7d37f519-4aff-11ee-a244-00155d82e902")</f>
        <v>https://kanzpp.ru/api/getInfo/image/7d37f519-4aff-11ee-a244-00155d82e902</v>
      </c>
      <c r="U1801" s="3"/>
      <c r="V1801" s="32" t="s">
        <v>30</v>
      </c>
    </row>
    <row r="1802" spans="2:22" ht="21" customHeight="1" outlineLevel="6" x14ac:dyDescent="0.2">
      <c r="B1802" s="69">
        <v>1290</v>
      </c>
      <c r="C1802" s="6" t="s">
        <v>5477</v>
      </c>
      <c r="D1802" s="6" t="s">
        <v>5478</v>
      </c>
      <c r="E1802" s="7" t="s">
        <v>5479</v>
      </c>
      <c r="F1802" s="13"/>
      <c r="G1802" s="14"/>
      <c r="H1802" s="15">
        <v>40</v>
      </c>
      <c r="I1802" s="14"/>
      <c r="J1802" s="14" t="s">
        <v>144</v>
      </c>
      <c r="K1802" s="5">
        <v>6</v>
      </c>
      <c r="L1802" s="16">
        <v>60</v>
      </c>
      <c r="M1802" s="12"/>
      <c r="N1802" s="14">
        <f t="shared" si="73"/>
        <v>0</v>
      </c>
      <c r="O1802" s="23">
        <f>0.061*M1802</f>
        <v>0</v>
      </c>
      <c r="P1802" s="31">
        <f>0.0007*M1802</f>
        <v>0</v>
      </c>
      <c r="Q1802" s="25"/>
      <c r="R1802" s="26" t="s">
        <v>5480</v>
      </c>
      <c r="S1802" s="26" t="s">
        <v>29</v>
      </c>
      <c r="T1802" s="6" t="str">
        <f>HYPERLINK("https://kanzpp.ru/api/getInfo/image/193182b3-5adc-11ef-a262-00155d82e908")</f>
        <v>https://kanzpp.ru/api/getInfo/image/193182b3-5adc-11ef-a262-00155d82e908</v>
      </c>
      <c r="U1802" s="6"/>
      <c r="V1802" s="33" t="s">
        <v>35</v>
      </c>
    </row>
    <row r="1803" spans="2:22" ht="21" customHeight="1" outlineLevel="6" x14ac:dyDescent="0.2">
      <c r="B1803" s="69">
        <v>1291</v>
      </c>
      <c r="C1803" s="6" t="s">
        <v>5481</v>
      </c>
      <c r="D1803" s="6" t="s">
        <v>5482</v>
      </c>
      <c r="E1803" s="7" t="s">
        <v>5483</v>
      </c>
      <c r="F1803" s="13"/>
      <c r="G1803" s="14"/>
      <c r="H1803" s="15">
        <v>40</v>
      </c>
      <c r="I1803" s="14"/>
      <c r="J1803" s="14" t="s">
        <v>144</v>
      </c>
      <c r="K1803" s="5">
        <v>6</v>
      </c>
      <c r="L1803" s="16">
        <v>38.666666666666664</v>
      </c>
      <c r="M1803" s="12"/>
      <c r="N1803" s="14">
        <f t="shared" si="73"/>
        <v>0</v>
      </c>
      <c r="O1803" s="23">
        <f>0.073*M1803</f>
        <v>0</v>
      </c>
      <c r="P1803" s="24">
        <f>0.00096*M1803</f>
        <v>0</v>
      </c>
      <c r="Q1803" s="25"/>
      <c r="R1803" s="26" t="s">
        <v>5484</v>
      </c>
      <c r="S1803" s="26" t="s">
        <v>29</v>
      </c>
      <c r="T1803" s="6" t="str">
        <f>HYPERLINK("https://kanzpp.ru/api/getInfo/image/6ca3f39e-5adc-11ef-a262-00155d82e908")</f>
        <v>https://kanzpp.ru/api/getInfo/image/6ca3f39e-5adc-11ef-a262-00155d82e908</v>
      </c>
      <c r="U1803" s="6"/>
      <c r="V1803" s="33" t="s">
        <v>35</v>
      </c>
    </row>
    <row r="1804" spans="2:22" ht="21" customHeight="1" outlineLevel="6" x14ac:dyDescent="0.2">
      <c r="B1804" s="69">
        <v>1292</v>
      </c>
      <c r="C1804" s="6" t="s">
        <v>5485</v>
      </c>
      <c r="D1804" s="6" t="s">
        <v>5486</v>
      </c>
      <c r="E1804" s="7" t="s">
        <v>5487</v>
      </c>
      <c r="F1804" s="13"/>
      <c r="G1804" s="14"/>
      <c r="H1804" s="15">
        <v>40</v>
      </c>
      <c r="I1804" s="14"/>
      <c r="J1804" s="14" t="s">
        <v>144</v>
      </c>
      <c r="K1804" s="5">
        <v>6</v>
      </c>
      <c r="L1804" s="16">
        <v>60</v>
      </c>
      <c r="M1804" s="12"/>
      <c r="N1804" s="14">
        <f t="shared" si="73"/>
        <v>0</v>
      </c>
      <c r="O1804" s="23">
        <f>0.053*M1804</f>
        <v>0</v>
      </c>
      <c r="P1804" s="24">
        <f>0.00053*M1804</f>
        <v>0</v>
      </c>
      <c r="Q1804" s="25"/>
      <c r="R1804" s="26" t="s">
        <v>5488</v>
      </c>
      <c r="S1804" s="26" t="s">
        <v>29</v>
      </c>
      <c r="T1804" s="6" t="str">
        <f>HYPERLINK("https://kanzpp.ru/api/getInfo/image/4c69e90e-5faf-11ef-a262-00155d82e908")</f>
        <v>https://kanzpp.ru/api/getInfo/image/4c69e90e-5faf-11ef-a262-00155d82e908</v>
      </c>
      <c r="U1804" s="6"/>
      <c r="V1804" s="33" t="s">
        <v>35</v>
      </c>
    </row>
    <row r="1805" spans="2:22" ht="21" customHeight="1" outlineLevel="6" x14ac:dyDescent="0.2">
      <c r="B1805" s="69">
        <v>1293</v>
      </c>
      <c r="C1805" s="6" t="s">
        <v>5489</v>
      </c>
      <c r="D1805" s="6" t="s">
        <v>5490</v>
      </c>
      <c r="E1805" s="7" t="s">
        <v>5491</v>
      </c>
      <c r="F1805" s="13"/>
      <c r="G1805" s="14"/>
      <c r="H1805" s="15">
        <v>40</v>
      </c>
      <c r="I1805" s="14"/>
      <c r="J1805" s="15">
        <v>35</v>
      </c>
      <c r="K1805" s="5">
        <v>6</v>
      </c>
      <c r="L1805" s="16">
        <v>60</v>
      </c>
      <c r="M1805" s="12"/>
      <c r="N1805" s="14">
        <f t="shared" si="73"/>
        <v>0</v>
      </c>
      <c r="O1805" s="23">
        <f>0.074*M1805</f>
        <v>0</v>
      </c>
      <c r="P1805" s="24">
        <f>0.00069*M1805</f>
        <v>0</v>
      </c>
      <c r="Q1805" s="25"/>
      <c r="R1805" s="26" t="s">
        <v>5492</v>
      </c>
      <c r="S1805" s="26" t="s">
        <v>29</v>
      </c>
      <c r="T1805" s="6" t="str">
        <f>HYPERLINK("https://kanzpp.ru/api/getInfo/image/8336a3a1-5faf-11ef-a262-00155d82e908")</f>
        <v>https://kanzpp.ru/api/getInfo/image/8336a3a1-5faf-11ef-a262-00155d82e908</v>
      </c>
      <c r="U1805" s="6"/>
      <c r="V1805" s="33" t="s">
        <v>35</v>
      </c>
    </row>
    <row r="1806" spans="2:22" ht="21" customHeight="1" outlineLevel="6" x14ac:dyDescent="0.2">
      <c r="B1806" s="69">
        <v>1294</v>
      </c>
      <c r="C1806" s="6" t="s">
        <v>5493</v>
      </c>
      <c r="D1806" s="6" t="s">
        <v>5494</v>
      </c>
      <c r="E1806" s="7" t="s">
        <v>5495</v>
      </c>
      <c r="F1806" s="13"/>
      <c r="G1806" s="14"/>
      <c r="H1806" s="15">
        <v>40</v>
      </c>
      <c r="I1806" s="14"/>
      <c r="J1806" s="15">
        <v>53</v>
      </c>
      <c r="K1806" s="5">
        <v>6</v>
      </c>
      <c r="L1806" s="16">
        <v>60</v>
      </c>
      <c r="M1806" s="12"/>
      <c r="N1806" s="14">
        <f t="shared" si="73"/>
        <v>0</v>
      </c>
      <c r="O1806" s="23">
        <f>0.068*M1806</f>
        <v>0</v>
      </c>
      <c r="P1806" s="24">
        <f>0.00069*M1806</f>
        <v>0</v>
      </c>
      <c r="Q1806" s="25"/>
      <c r="R1806" s="26" t="s">
        <v>5496</v>
      </c>
      <c r="S1806" s="26" t="s">
        <v>29</v>
      </c>
      <c r="T1806" s="6" t="str">
        <f>HYPERLINK("https://kanzpp.ru/api/getInfo/image/53806f48-4afe-11ee-a244-00155d82e902")</f>
        <v>https://kanzpp.ru/api/getInfo/image/53806f48-4afe-11ee-a244-00155d82e902</v>
      </c>
      <c r="U1806" s="6"/>
      <c r="V1806" s="33" t="s">
        <v>35</v>
      </c>
    </row>
    <row r="1807" spans="2:22" ht="21" customHeight="1" outlineLevel="6" x14ac:dyDescent="0.2">
      <c r="B1807" s="69">
        <v>1295</v>
      </c>
      <c r="C1807" s="6" t="s">
        <v>5497</v>
      </c>
      <c r="D1807" s="6" t="s">
        <v>5498</v>
      </c>
      <c r="E1807" s="7" t="s">
        <v>5499</v>
      </c>
      <c r="F1807" s="13"/>
      <c r="G1807" s="14"/>
      <c r="H1807" s="15">
        <v>40</v>
      </c>
      <c r="I1807" s="14"/>
      <c r="J1807" s="15">
        <v>1</v>
      </c>
      <c r="K1807" s="5">
        <v>1</v>
      </c>
      <c r="L1807" s="16">
        <v>60</v>
      </c>
      <c r="M1807" s="12"/>
      <c r="N1807" s="14">
        <f t="shared" si="73"/>
        <v>0</v>
      </c>
      <c r="O1807" s="23">
        <f>0.062*M1807</f>
        <v>0</v>
      </c>
      <c r="P1807" s="24">
        <f>0.00066*M1807</f>
        <v>0</v>
      </c>
      <c r="Q1807" s="25"/>
      <c r="R1807" s="26" t="s">
        <v>5500</v>
      </c>
      <c r="S1807" s="26" t="s">
        <v>29</v>
      </c>
      <c r="T1807" s="6" t="str">
        <f>HYPERLINK("https://kanzpp.ru/api/getInfo/image/8f61d794-4afd-11ee-a244-00155d82e902")</f>
        <v>https://kanzpp.ru/api/getInfo/image/8f61d794-4afd-11ee-a244-00155d82e902</v>
      </c>
      <c r="U1807" s="6"/>
      <c r="V1807" s="33" t="s">
        <v>35</v>
      </c>
    </row>
    <row r="1808" spans="2:22" ht="21" customHeight="1" outlineLevel="6" x14ac:dyDescent="0.2">
      <c r="B1808" s="69">
        <v>1296</v>
      </c>
      <c r="C1808" s="6" t="s">
        <v>5501</v>
      </c>
      <c r="D1808" s="6" t="s">
        <v>5502</v>
      </c>
      <c r="E1808" s="7" t="s">
        <v>5503</v>
      </c>
      <c r="F1808" s="13"/>
      <c r="G1808" s="14"/>
      <c r="H1808" s="15">
        <v>40</v>
      </c>
      <c r="I1808" s="14"/>
      <c r="J1808" s="15">
        <v>759</v>
      </c>
      <c r="K1808" s="5">
        <v>6</v>
      </c>
      <c r="L1808" s="16">
        <v>60</v>
      </c>
      <c r="M1808" s="12"/>
      <c r="N1808" s="14">
        <f t="shared" si="73"/>
        <v>0</v>
      </c>
      <c r="O1808" s="23">
        <f>0.053*M1808</f>
        <v>0</v>
      </c>
      <c r="P1808" s="24">
        <f>0.00053*M1808</f>
        <v>0</v>
      </c>
      <c r="Q1808" s="25"/>
      <c r="R1808" s="26" t="s">
        <v>5504</v>
      </c>
      <c r="S1808" s="26" t="s">
        <v>29</v>
      </c>
      <c r="T1808" s="6" t="str">
        <f>HYPERLINK("https://kanzpp.ru/api/getInfo/image/b701e015-5adc-11ef-a262-00155d82e908")</f>
        <v>https://kanzpp.ru/api/getInfo/image/b701e015-5adc-11ef-a262-00155d82e908</v>
      </c>
      <c r="U1808" s="6"/>
      <c r="V1808" s="33" t="s">
        <v>35</v>
      </c>
    </row>
    <row r="1809" spans="2:22" ht="21" customHeight="1" outlineLevel="6" x14ac:dyDescent="0.2">
      <c r="B1809" s="69">
        <v>1297</v>
      </c>
      <c r="C1809" s="6" t="s">
        <v>5505</v>
      </c>
      <c r="D1809" s="6" t="s">
        <v>5506</v>
      </c>
      <c r="E1809" s="7" t="s">
        <v>5507</v>
      </c>
      <c r="F1809" s="13"/>
      <c r="G1809" s="14"/>
      <c r="H1809" s="15">
        <v>40</v>
      </c>
      <c r="I1809" s="14"/>
      <c r="J1809" s="15">
        <v>49</v>
      </c>
      <c r="K1809" s="5">
        <v>6</v>
      </c>
      <c r="L1809" s="16">
        <v>60</v>
      </c>
      <c r="M1809" s="12"/>
      <c r="N1809" s="14">
        <f t="shared" si="73"/>
        <v>0</v>
      </c>
      <c r="O1809" s="23">
        <f>0.066*M1809</f>
        <v>0</v>
      </c>
      <c r="P1809" s="24">
        <f>0.00065*M1809</f>
        <v>0</v>
      </c>
      <c r="Q1809" s="25"/>
      <c r="R1809" s="26" t="s">
        <v>5508</v>
      </c>
      <c r="S1809" s="26" t="s">
        <v>29</v>
      </c>
      <c r="T1809" s="6" t="str">
        <f>HYPERLINK("https://kanzpp.ru/api/getInfo/image/d6e16f01-4afd-11ee-a244-00155d82e902")</f>
        <v>https://kanzpp.ru/api/getInfo/image/d6e16f01-4afd-11ee-a244-00155d82e902</v>
      </c>
      <c r="U1809" s="6"/>
      <c r="V1809" s="33" t="s">
        <v>35</v>
      </c>
    </row>
    <row r="1810" spans="2:22" ht="21" customHeight="1" outlineLevel="6" x14ac:dyDescent="0.2">
      <c r="B1810" s="69">
        <v>1298</v>
      </c>
      <c r="C1810" s="6" t="s">
        <v>5509</v>
      </c>
      <c r="D1810" s="6" t="s">
        <v>5510</v>
      </c>
      <c r="E1810" s="7" t="s">
        <v>5511</v>
      </c>
      <c r="F1810" s="13"/>
      <c r="G1810" s="14"/>
      <c r="H1810" s="15">
        <v>40</v>
      </c>
      <c r="I1810" s="14"/>
      <c r="J1810" s="15">
        <v>6</v>
      </c>
      <c r="K1810" s="5">
        <v>6</v>
      </c>
      <c r="L1810" s="16">
        <v>60</v>
      </c>
      <c r="M1810" s="12"/>
      <c r="N1810" s="14">
        <f t="shared" si="73"/>
        <v>0</v>
      </c>
      <c r="O1810" s="23">
        <f>0.075*M1810</f>
        <v>0</v>
      </c>
      <c r="P1810" s="24">
        <f>0.00071*M1810</f>
        <v>0</v>
      </c>
      <c r="Q1810" s="25"/>
      <c r="R1810" s="26" t="s">
        <v>5512</v>
      </c>
      <c r="S1810" s="26" t="s">
        <v>29</v>
      </c>
      <c r="T1810" s="6" t="str">
        <f>HYPERLINK("https://kanzpp.ru/api/getInfo/image/51da1295-5add-11ef-a262-00155d82e908")</f>
        <v>https://kanzpp.ru/api/getInfo/image/51da1295-5add-11ef-a262-00155d82e908</v>
      </c>
      <c r="U1810" s="6"/>
      <c r="V1810" s="33" t="s">
        <v>35</v>
      </c>
    </row>
    <row r="1811" spans="2:22" ht="21" customHeight="1" outlineLevel="6" x14ac:dyDescent="0.2">
      <c r="B1811" s="69">
        <v>1299</v>
      </c>
      <c r="C1811" s="6" t="s">
        <v>5513</v>
      </c>
      <c r="D1811" s="6" t="s">
        <v>5514</v>
      </c>
      <c r="E1811" s="7" t="s">
        <v>5515</v>
      </c>
      <c r="F1811" s="13"/>
      <c r="G1811" s="14"/>
      <c r="H1811" s="15">
        <v>40</v>
      </c>
      <c r="I1811" s="14"/>
      <c r="J1811" s="14" t="s">
        <v>144</v>
      </c>
      <c r="K1811" s="5">
        <v>6</v>
      </c>
      <c r="L1811" s="16">
        <v>60</v>
      </c>
      <c r="M1811" s="12"/>
      <c r="N1811" s="14">
        <f t="shared" si="73"/>
        <v>0</v>
      </c>
      <c r="O1811" s="23">
        <f>0.075*M1811</f>
        <v>0</v>
      </c>
      <c r="P1811" s="24">
        <f>0.00073*M1811</f>
        <v>0</v>
      </c>
      <c r="Q1811" s="25"/>
      <c r="R1811" s="26" t="s">
        <v>5516</v>
      </c>
      <c r="S1811" s="26" t="s">
        <v>29</v>
      </c>
      <c r="T1811" s="6" t="str">
        <f>HYPERLINK("https://kanzpp.ru/api/getInfo/image/03168a10-5add-11ef-a262-00155d82e908")</f>
        <v>https://kanzpp.ru/api/getInfo/image/03168a10-5add-11ef-a262-00155d82e908</v>
      </c>
      <c r="U1811" s="6"/>
      <c r="V1811" s="33" t="s">
        <v>35</v>
      </c>
    </row>
    <row r="1812" spans="2:22" ht="21" customHeight="1" outlineLevel="6" x14ac:dyDescent="0.2">
      <c r="B1812" s="69">
        <v>1300</v>
      </c>
      <c r="C1812" s="6" t="s">
        <v>5517</v>
      </c>
      <c r="D1812" s="6" t="s">
        <v>5518</v>
      </c>
      <c r="E1812" s="7" t="s">
        <v>5519</v>
      </c>
      <c r="F1812" s="13"/>
      <c r="G1812" s="14"/>
      <c r="H1812" s="15">
        <v>40</v>
      </c>
      <c r="I1812" s="14"/>
      <c r="J1812" s="15">
        <v>425</v>
      </c>
      <c r="K1812" s="5">
        <v>6</v>
      </c>
      <c r="L1812" s="16">
        <v>60</v>
      </c>
      <c r="M1812" s="12"/>
      <c r="N1812" s="14">
        <f t="shared" si="73"/>
        <v>0</v>
      </c>
      <c r="O1812" s="28">
        <f>0.06*M1812</f>
        <v>0</v>
      </c>
      <c r="P1812" s="24">
        <f>0.00053*M1812</f>
        <v>0</v>
      </c>
      <c r="Q1812" s="25"/>
      <c r="R1812" s="26" t="s">
        <v>5520</v>
      </c>
      <c r="S1812" s="26" t="s">
        <v>29</v>
      </c>
      <c r="T1812" s="6" t="str">
        <f>HYPERLINK("https://kanzpp.ru/api/getInfo/image/149baf86-5faf-11ef-a262-00155d82e908")</f>
        <v>https://kanzpp.ru/api/getInfo/image/149baf86-5faf-11ef-a262-00155d82e908</v>
      </c>
      <c r="U1812" s="6"/>
      <c r="V1812" s="33" t="s">
        <v>35</v>
      </c>
    </row>
    <row r="1813" spans="2:22" ht="22.95" customHeight="1" outlineLevel="5" x14ac:dyDescent="0.2">
      <c r="B1813" s="83" t="s">
        <v>5521</v>
      </c>
      <c r="C1813" s="83"/>
      <c r="D1813" s="83"/>
      <c r="L1813">
        <v>0</v>
      </c>
    </row>
    <row r="1814" spans="2:22" ht="21" customHeight="1" outlineLevel="6" x14ac:dyDescent="0.2">
      <c r="B1814" s="69">
        <v>1301</v>
      </c>
      <c r="C1814" s="6" t="s">
        <v>5522</v>
      </c>
      <c r="D1814" s="6" t="s">
        <v>5523</v>
      </c>
      <c r="E1814" s="7" t="s">
        <v>5524</v>
      </c>
      <c r="F1814" s="13"/>
      <c r="G1814" s="14"/>
      <c r="H1814" s="15">
        <v>40</v>
      </c>
      <c r="I1814" s="14"/>
      <c r="J1814" s="15">
        <v>831</v>
      </c>
      <c r="K1814" s="5">
        <v>4</v>
      </c>
      <c r="L1814" s="16">
        <v>78.666666666666671</v>
      </c>
      <c r="M1814" s="12"/>
      <c r="N1814" s="14">
        <f>L1814*M1814</f>
        <v>0</v>
      </c>
      <c r="O1814" s="23">
        <f>0.085*M1814</f>
        <v>0</v>
      </c>
      <c r="P1814" s="24">
        <f>0.00073*M1814</f>
        <v>0</v>
      </c>
      <c r="Q1814" s="25"/>
      <c r="R1814" s="26" t="s">
        <v>5525</v>
      </c>
      <c r="S1814" s="26" t="s">
        <v>29</v>
      </c>
      <c r="T1814" s="6" t="str">
        <f>HYPERLINK("https://kanzpp.ru/api/getInfo/image/439af59a-433d-11ee-a243-00155d82e902")</f>
        <v>https://kanzpp.ru/api/getInfo/image/439af59a-433d-11ee-a243-00155d82e902</v>
      </c>
      <c r="U1814" s="6"/>
      <c r="V1814" s="33" t="s">
        <v>35</v>
      </c>
    </row>
    <row r="1815" spans="2:22" ht="21" customHeight="1" outlineLevel="6" x14ac:dyDescent="0.2">
      <c r="B1815" s="69">
        <v>1302</v>
      </c>
      <c r="C1815" s="6" t="s">
        <v>5526</v>
      </c>
      <c r="D1815" s="6" t="s">
        <v>5527</v>
      </c>
      <c r="E1815" s="7" t="s">
        <v>5528</v>
      </c>
      <c r="F1815" s="13"/>
      <c r="G1815" s="14"/>
      <c r="H1815" s="15">
        <v>40</v>
      </c>
      <c r="I1815" s="14"/>
      <c r="J1815" s="14" t="s">
        <v>144</v>
      </c>
      <c r="K1815" s="5">
        <v>4</v>
      </c>
      <c r="L1815" s="16">
        <v>78.666666666666671</v>
      </c>
      <c r="M1815" s="12"/>
      <c r="N1815" s="14">
        <f>L1815*M1815</f>
        <v>0</v>
      </c>
      <c r="O1815" s="23">
        <f>0.095*M1815</f>
        <v>0</v>
      </c>
      <c r="P1815" s="24">
        <f>0.00069*M1815</f>
        <v>0</v>
      </c>
      <c r="Q1815" s="25"/>
      <c r="R1815" s="26" t="s">
        <v>5529</v>
      </c>
      <c r="S1815" s="26" t="s">
        <v>29</v>
      </c>
      <c r="T1815" s="6" t="str">
        <f>HYPERLINK("https://kanzpp.ru/api/getInfo/image/805fde9e-433d-11ee-a243-00155d82e902")</f>
        <v>https://kanzpp.ru/api/getInfo/image/805fde9e-433d-11ee-a243-00155d82e902</v>
      </c>
      <c r="U1815" s="6"/>
      <c r="V1815" s="33" t="s">
        <v>35</v>
      </c>
    </row>
    <row r="1816" spans="2:22" ht="21" customHeight="1" outlineLevel="6" x14ac:dyDescent="0.2">
      <c r="B1816" s="69">
        <v>1303</v>
      </c>
      <c r="C1816" s="6" t="s">
        <v>5530</v>
      </c>
      <c r="D1816" s="6" t="s">
        <v>5531</v>
      </c>
      <c r="E1816" s="7" t="s">
        <v>5532</v>
      </c>
      <c r="F1816" s="13"/>
      <c r="G1816" s="14"/>
      <c r="H1816" s="15">
        <v>40</v>
      </c>
      <c r="I1816" s="14"/>
      <c r="J1816" s="15">
        <v>174</v>
      </c>
      <c r="K1816" s="5">
        <v>4</v>
      </c>
      <c r="L1816" s="16">
        <v>78.666666666666671</v>
      </c>
      <c r="M1816" s="12"/>
      <c r="N1816" s="14">
        <f>L1816*M1816</f>
        <v>0</v>
      </c>
      <c r="O1816" s="23">
        <f>0.055*M1816</f>
        <v>0</v>
      </c>
      <c r="P1816" s="24">
        <f>0.00049*M1816</f>
        <v>0</v>
      </c>
      <c r="Q1816" s="25"/>
      <c r="R1816" s="26" t="s">
        <v>5533</v>
      </c>
      <c r="S1816" s="26" t="s">
        <v>29</v>
      </c>
      <c r="T1816" s="6" t="str">
        <f>HYPERLINK("https://kanzpp.ru/api/getInfo/image/b0cf2dd4-433c-11ee-a243-00155d82e902")</f>
        <v>https://kanzpp.ru/api/getInfo/image/b0cf2dd4-433c-11ee-a243-00155d82e902</v>
      </c>
      <c r="U1816" s="6"/>
      <c r="V1816" s="33" t="s">
        <v>35</v>
      </c>
    </row>
    <row r="1817" spans="2:22" ht="21" customHeight="1" outlineLevel="6" x14ac:dyDescent="0.2">
      <c r="B1817" s="70">
        <v>1304</v>
      </c>
      <c r="C1817" s="3" t="s">
        <v>5534</v>
      </c>
      <c r="D1817" s="3" t="s">
        <v>5535</v>
      </c>
      <c r="E1817" s="4" t="s">
        <v>5536</v>
      </c>
      <c r="F1817" s="8"/>
      <c r="G1817" s="9"/>
      <c r="H1817" s="10">
        <v>40</v>
      </c>
      <c r="I1817" s="9"/>
      <c r="J1817" s="10">
        <v>66</v>
      </c>
      <c r="K1817" s="2">
        <v>4</v>
      </c>
      <c r="L1817" s="18">
        <v>44.080000000000005</v>
      </c>
      <c r="M1817" s="12"/>
      <c r="N1817" s="9">
        <f>L1817*M1817</f>
        <v>0</v>
      </c>
      <c r="O1817" s="11">
        <f>0.09*M1817</f>
        <v>0</v>
      </c>
      <c r="P1817" s="30">
        <f>0.00055*M1817</f>
        <v>0</v>
      </c>
      <c r="Q1817" s="21"/>
      <c r="R1817" s="22" t="s">
        <v>5537</v>
      </c>
      <c r="S1817" s="22" t="s">
        <v>29</v>
      </c>
      <c r="T1817" s="3" t="str">
        <f>HYPERLINK("https://kanzpp.ru/api/getInfo/image/01cadba9-d1ea-11ec-a212-ac1f6b442185")</f>
        <v>https://kanzpp.ru/api/getInfo/image/01cadba9-d1ea-11ec-a212-ac1f6b442185</v>
      </c>
      <c r="U1817" s="3"/>
      <c r="V1817" s="32" t="s">
        <v>30</v>
      </c>
    </row>
    <row r="1818" spans="2:22" ht="21" customHeight="1" outlineLevel="6" x14ac:dyDescent="0.2">
      <c r="B1818" s="69">
        <v>1305</v>
      </c>
      <c r="C1818" s="6" t="s">
        <v>5538</v>
      </c>
      <c r="D1818" s="6" t="s">
        <v>5539</v>
      </c>
      <c r="E1818" s="7" t="s">
        <v>5540</v>
      </c>
      <c r="F1818" s="13"/>
      <c r="G1818" s="14"/>
      <c r="H1818" s="15">
        <v>40</v>
      </c>
      <c r="I1818" s="14"/>
      <c r="J1818" s="14" t="s">
        <v>144</v>
      </c>
      <c r="K1818" s="5">
        <v>4</v>
      </c>
      <c r="L1818" s="16">
        <v>78.666666666666671</v>
      </c>
      <c r="M1818" s="12"/>
      <c r="N1818" s="14">
        <f>L1818*M1818</f>
        <v>0</v>
      </c>
      <c r="O1818" s="23">
        <f>0.095*M1818</f>
        <v>0</v>
      </c>
      <c r="P1818" s="24">
        <f>0.00069*M1818</f>
        <v>0</v>
      </c>
      <c r="Q1818" s="25"/>
      <c r="R1818" s="26" t="s">
        <v>5541</v>
      </c>
      <c r="S1818" s="26" t="s">
        <v>29</v>
      </c>
      <c r="T1818" s="6" t="str">
        <f>HYPERLINK("https://kanzpp.ru/api/getInfo/image/dc1ea267-433d-11ee-a243-00155d82e902")</f>
        <v>https://kanzpp.ru/api/getInfo/image/dc1ea267-433d-11ee-a243-00155d82e902</v>
      </c>
      <c r="U1818" s="6"/>
      <c r="V1818" s="33" t="s">
        <v>35</v>
      </c>
    </row>
    <row r="1819" spans="2:22" ht="22.95" customHeight="1" outlineLevel="5" x14ac:dyDescent="0.2">
      <c r="B1819" s="83" t="s">
        <v>5542</v>
      </c>
      <c r="C1819" s="83"/>
      <c r="D1819" s="83"/>
      <c r="L1819">
        <v>0</v>
      </c>
    </row>
    <row r="1820" spans="2:22" ht="21" customHeight="1" outlineLevel="6" x14ac:dyDescent="0.2">
      <c r="B1820" s="69">
        <v>1306</v>
      </c>
      <c r="C1820" s="6" t="s">
        <v>5543</v>
      </c>
      <c r="D1820" s="6" t="s">
        <v>5544</v>
      </c>
      <c r="E1820" s="7" t="s">
        <v>5545</v>
      </c>
      <c r="F1820" s="13"/>
      <c r="G1820" s="14"/>
      <c r="H1820" s="15">
        <v>40</v>
      </c>
      <c r="I1820" s="14"/>
      <c r="J1820" s="14" t="s">
        <v>144</v>
      </c>
      <c r="K1820" s="5">
        <v>4</v>
      </c>
      <c r="L1820" s="16">
        <v>78.666666666666671</v>
      </c>
      <c r="M1820" s="12"/>
      <c r="N1820" s="14">
        <f t="shared" ref="N1820:N1825" si="74">L1820*M1820</f>
        <v>0</v>
      </c>
      <c r="O1820" s="23">
        <f>0.082*M1820</f>
        <v>0</v>
      </c>
      <c r="P1820" s="24">
        <f>0.00068*M1820</f>
        <v>0</v>
      </c>
      <c r="Q1820" s="25"/>
      <c r="R1820" s="26" t="s">
        <v>5546</v>
      </c>
      <c r="S1820" s="26" t="s">
        <v>29</v>
      </c>
      <c r="T1820" s="6" t="str">
        <f>HYPERLINK("https://kanzpp.ru/api/getInfo/image/d98081c1-5ad9-11ef-a262-00155d82e908")</f>
        <v>https://kanzpp.ru/api/getInfo/image/d98081c1-5ad9-11ef-a262-00155d82e908</v>
      </c>
      <c r="U1820" s="6"/>
      <c r="V1820" s="33" t="s">
        <v>35</v>
      </c>
    </row>
    <row r="1821" spans="2:22" ht="21" customHeight="1" outlineLevel="6" x14ac:dyDescent="0.2">
      <c r="B1821" s="69">
        <v>1307</v>
      </c>
      <c r="C1821" s="6" t="s">
        <v>5547</v>
      </c>
      <c r="D1821" s="6" t="s">
        <v>5548</v>
      </c>
      <c r="E1821" s="7" t="s">
        <v>5549</v>
      </c>
      <c r="F1821" s="13"/>
      <c r="G1821" s="14"/>
      <c r="H1821" s="15">
        <v>40</v>
      </c>
      <c r="I1821" s="14"/>
      <c r="J1821" s="15">
        <v>756</v>
      </c>
      <c r="K1821" s="5">
        <v>4</v>
      </c>
      <c r="L1821" s="16">
        <v>78.666666666666671</v>
      </c>
      <c r="M1821" s="12"/>
      <c r="N1821" s="14">
        <f t="shared" si="74"/>
        <v>0</v>
      </c>
      <c r="O1821" s="23">
        <f>0.053*M1821</f>
        <v>0</v>
      </c>
      <c r="P1821" s="24">
        <f>0.00053*M1821</f>
        <v>0</v>
      </c>
      <c r="Q1821" s="25"/>
      <c r="R1821" s="26" t="s">
        <v>5550</v>
      </c>
      <c r="S1821" s="26" t="s">
        <v>29</v>
      </c>
      <c r="T1821" s="6" t="str">
        <f>HYPERLINK("https://kanzpp.ru/api/getInfo/image/8d3521ae-5ad9-11ef-a262-00155d82e908")</f>
        <v>https://kanzpp.ru/api/getInfo/image/8d3521ae-5ad9-11ef-a262-00155d82e908</v>
      </c>
      <c r="U1821" s="6"/>
      <c r="V1821" s="33" t="s">
        <v>35</v>
      </c>
    </row>
    <row r="1822" spans="2:22" ht="21" customHeight="1" outlineLevel="6" x14ac:dyDescent="0.2">
      <c r="B1822" s="69">
        <v>1308</v>
      </c>
      <c r="C1822" s="6" t="s">
        <v>5551</v>
      </c>
      <c r="D1822" s="6" t="s">
        <v>645</v>
      </c>
      <c r="E1822" s="7" t="s">
        <v>646</v>
      </c>
      <c r="F1822" s="13"/>
      <c r="G1822" s="14"/>
      <c r="H1822" s="15">
        <v>40</v>
      </c>
      <c r="I1822" s="14"/>
      <c r="J1822" s="14" t="s">
        <v>144</v>
      </c>
      <c r="K1822" s="5">
        <v>4</v>
      </c>
      <c r="L1822" s="16">
        <v>78.666666666666671</v>
      </c>
      <c r="M1822" s="12"/>
      <c r="N1822" s="14">
        <f t="shared" si="74"/>
        <v>0</v>
      </c>
      <c r="O1822" s="28">
        <f>0.09*M1822</f>
        <v>0</v>
      </c>
      <c r="P1822" s="24">
        <f>0.00055*M1822</f>
        <v>0</v>
      </c>
      <c r="Q1822" s="25"/>
      <c r="R1822" s="26" t="s">
        <v>647</v>
      </c>
      <c r="S1822" s="26" t="s">
        <v>29</v>
      </c>
      <c r="T1822" s="6" t="str">
        <f>HYPERLINK("https://kanzpp.ru/api/getInfo/image/3c6053f7-4b04-11ee-a244-00155d82e902")</f>
        <v>https://kanzpp.ru/api/getInfo/image/3c6053f7-4b04-11ee-a244-00155d82e902</v>
      </c>
      <c r="U1822" s="6"/>
      <c r="V1822" s="33" t="s">
        <v>35</v>
      </c>
    </row>
    <row r="1823" spans="2:22" ht="21" customHeight="1" outlineLevel="6" x14ac:dyDescent="0.2">
      <c r="B1823" s="69">
        <v>1309</v>
      </c>
      <c r="C1823" s="6" t="s">
        <v>5552</v>
      </c>
      <c r="D1823" s="6" t="s">
        <v>5553</v>
      </c>
      <c r="E1823" s="7" t="s">
        <v>5554</v>
      </c>
      <c r="F1823" s="13"/>
      <c r="G1823" s="14"/>
      <c r="H1823" s="15">
        <v>40</v>
      </c>
      <c r="I1823" s="14"/>
      <c r="J1823" s="15">
        <v>111</v>
      </c>
      <c r="K1823" s="5">
        <v>4</v>
      </c>
      <c r="L1823" s="16">
        <v>78.666666666666671</v>
      </c>
      <c r="M1823" s="12"/>
      <c r="N1823" s="14">
        <f t="shared" si="74"/>
        <v>0</v>
      </c>
      <c r="O1823" s="28">
        <f>0.09*M1823</f>
        <v>0</v>
      </c>
      <c r="P1823" s="24">
        <f>0.00055*M1823</f>
        <v>0</v>
      </c>
      <c r="Q1823" s="25"/>
      <c r="R1823" s="26" t="s">
        <v>5555</v>
      </c>
      <c r="S1823" s="26" t="s">
        <v>29</v>
      </c>
      <c r="T1823" s="6" t="str">
        <f>HYPERLINK("https://kanzpp.ru/api/getInfo/image/e372bca9-17b5-11ed-a215-ac1f6b442185")</f>
        <v>https://kanzpp.ru/api/getInfo/image/e372bca9-17b5-11ed-a215-ac1f6b442185</v>
      </c>
      <c r="U1823" s="6"/>
      <c r="V1823" s="33" t="s">
        <v>35</v>
      </c>
    </row>
    <row r="1824" spans="2:22" ht="21" customHeight="1" outlineLevel="6" x14ac:dyDescent="0.2">
      <c r="B1824" s="69">
        <v>1310</v>
      </c>
      <c r="C1824" s="6" t="s">
        <v>5556</v>
      </c>
      <c r="D1824" s="6" t="s">
        <v>5557</v>
      </c>
      <c r="E1824" s="7" t="s">
        <v>5558</v>
      </c>
      <c r="F1824" s="13"/>
      <c r="G1824" s="14"/>
      <c r="H1824" s="15">
        <v>40</v>
      </c>
      <c r="I1824" s="14"/>
      <c r="J1824" s="14" t="s">
        <v>144</v>
      </c>
      <c r="K1824" s="5">
        <v>4</v>
      </c>
      <c r="L1824" s="16">
        <v>78.666666666666671</v>
      </c>
      <c r="M1824" s="12"/>
      <c r="N1824" s="14">
        <f t="shared" si="74"/>
        <v>0</v>
      </c>
      <c r="O1824" s="23">
        <f>0.053*M1824</f>
        <v>0</v>
      </c>
      <c r="P1824" s="24">
        <f>0.00053*M1824</f>
        <v>0</v>
      </c>
      <c r="Q1824" s="25"/>
      <c r="R1824" s="26" t="s">
        <v>5559</v>
      </c>
      <c r="S1824" s="26" t="s">
        <v>29</v>
      </c>
      <c r="T1824" s="6" t="str">
        <f>HYPERLINK("https://kanzpp.ru/api/getInfo/image/b5c6b66c-5ad9-11ef-a262-00155d82e908")</f>
        <v>https://kanzpp.ru/api/getInfo/image/b5c6b66c-5ad9-11ef-a262-00155d82e908</v>
      </c>
      <c r="U1824" s="6"/>
      <c r="V1824" s="33" t="s">
        <v>35</v>
      </c>
    </row>
    <row r="1825" spans="2:22" ht="21" customHeight="1" outlineLevel="6" x14ac:dyDescent="0.2">
      <c r="B1825" s="69">
        <v>1311</v>
      </c>
      <c r="C1825" s="6" t="s">
        <v>5560</v>
      </c>
      <c r="D1825" s="6" t="s">
        <v>5561</v>
      </c>
      <c r="E1825" s="7" t="s">
        <v>5562</v>
      </c>
      <c r="F1825" s="13"/>
      <c r="G1825" s="14"/>
      <c r="H1825" s="15">
        <v>40</v>
      </c>
      <c r="I1825" s="14"/>
      <c r="J1825" s="14" t="s">
        <v>144</v>
      </c>
      <c r="K1825" s="5">
        <v>4</v>
      </c>
      <c r="L1825" s="16">
        <v>78.666666666666671</v>
      </c>
      <c r="M1825" s="12"/>
      <c r="N1825" s="14">
        <f t="shared" si="74"/>
        <v>0</v>
      </c>
      <c r="O1825" s="27">
        <f>0.1*M1825</f>
        <v>0</v>
      </c>
      <c r="P1825" s="24">
        <f>0.00066*M1825</f>
        <v>0</v>
      </c>
      <c r="Q1825" s="25"/>
      <c r="R1825" s="26" t="s">
        <v>5563</v>
      </c>
      <c r="S1825" s="26" t="s">
        <v>29</v>
      </c>
      <c r="T1825" s="6" t="str">
        <f>HYPERLINK("https://kanzpp.ru/api/getInfo/image/540ae7d3-5ad9-11ef-a262-00155d82e908")</f>
        <v>https://kanzpp.ru/api/getInfo/image/540ae7d3-5ad9-11ef-a262-00155d82e908</v>
      </c>
      <c r="U1825" s="6"/>
      <c r="V1825" s="33" t="s">
        <v>35</v>
      </c>
    </row>
    <row r="1826" spans="2:22" ht="22.95" customHeight="1" outlineLevel="5" x14ac:dyDescent="0.2">
      <c r="B1826" s="83" t="s">
        <v>5564</v>
      </c>
      <c r="C1826" s="83"/>
      <c r="D1826" s="83"/>
      <c r="L1826">
        <v>0</v>
      </c>
    </row>
    <row r="1827" spans="2:22" ht="21" customHeight="1" outlineLevel="6" x14ac:dyDescent="0.2">
      <c r="B1827" s="69">
        <v>1312</v>
      </c>
      <c r="C1827" s="6" t="s">
        <v>5565</v>
      </c>
      <c r="D1827" s="6" t="s">
        <v>5566</v>
      </c>
      <c r="E1827" s="7" t="s">
        <v>5567</v>
      </c>
      <c r="F1827" s="13"/>
      <c r="G1827" s="14"/>
      <c r="H1827" s="15">
        <v>40</v>
      </c>
      <c r="I1827" s="14"/>
      <c r="J1827" s="15">
        <v>91</v>
      </c>
      <c r="K1827" s="5">
        <v>3</v>
      </c>
      <c r="L1827" s="16">
        <v>78.666666666666671</v>
      </c>
      <c r="M1827" s="12"/>
      <c r="N1827" s="14">
        <f t="shared" ref="N1827:N1833" si="75">L1827*M1827</f>
        <v>0</v>
      </c>
      <c r="O1827" s="23">
        <f>0.092*M1827</f>
        <v>0</v>
      </c>
      <c r="P1827" s="24">
        <f>0.00079*M1827</f>
        <v>0</v>
      </c>
      <c r="Q1827" s="25"/>
      <c r="R1827" s="26" t="s">
        <v>5568</v>
      </c>
      <c r="S1827" s="26" t="s">
        <v>29</v>
      </c>
      <c r="T1827" s="6" t="str">
        <f>HYPERLINK("https://kanzpp.ru/api/getInfo/image/29876122-4b13-11ee-a244-00155d82e902")</f>
        <v>https://kanzpp.ru/api/getInfo/image/29876122-4b13-11ee-a244-00155d82e902</v>
      </c>
      <c r="U1827" s="6"/>
      <c r="V1827" s="33" t="s">
        <v>35</v>
      </c>
    </row>
    <row r="1828" spans="2:22" ht="21" customHeight="1" outlineLevel="6" x14ac:dyDescent="0.2">
      <c r="B1828" s="69">
        <v>1313</v>
      </c>
      <c r="C1828" s="6" t="s">
        <v>5569</v>
      </c>
      <c r="D1828" s="6" t="s">
        <v>5570</v>
      </c>
      <c r="E1828" s="7" t="s">
        <v>5571</v>
      </c>
      <c r="F1828" s="13"/>
      <c r="G1828" s="14"/>
      <c r="H1828" s="15">
        <v>40</v>
      </c>
      <c r="I1828" s="14"/>
      <c r="J1828" s="15">
        <v>585</v>
      </c>
      <c r="K1828" s="5">
        <v>3</v>
      </c>
      <c r="L1828" s="16">
        <v>78.666666666666671</v>
      </c>
      <c r="M1828" s="12"/>
      <c r="N1828" s="14">
        <f t="shared" si="75"/>
        <v>0</v>
      </c>
      <c r="O1828" s="23">
        <f t="shared" ref="O1828:O1833" si="76">0.095*M1828</f>
        <v>0</v>
      </c>
      <c r="P1828" s="24">
        <f t="shared" ref="P1828:P1833" si="77">0.00069*M1828</f>
        <v>0</v>
      </c>
      <c r="Q1828" s="25"/>
      <c r="R1828" s="26" t="s">
        <v>5572</v>
      </c>
      <c r="S1828" s="26" t="s">
        <v>29</v>
      </c>
      <c r="T1828" s="6" t="str">
        <f>HYPERLINK("https://kanzpp.ru/api/getInfo/image/0485cd15-4b12-11ee-a244-00155d82e902")</f>
        <v>https://kanzpp.ru/api/getInfo/image/0485cd15-4b12-11ee-a244-00155d82e902</v>
      </c>
      <c r="U1828" s="6"/>
      <c r="V1828" s="33" t="s">
        <v>35</v>
      </c>
    </row>
    <row r="1829" spans="2:22" ht="21" customHeight="1" outlineLevel="6" x14ac:dyDescent="0.2">
      <c r="B1829" s="69">
        <v>1314</v>
      </c>
      <c r="C1829" s="6" t="s">
        <v>5573</v>
      </c>
      <c r="D1829" s="6" t="s">
        <v>5574</v>
      </c>
      <c r="E1829" s="7" t="s">
        <v>5575</v>
      </c>
      <c r="F1829" s="13"/>
      <c r="G1829" s="14"/>
      <c r="H1829" s="15">
        <v>40</v>
      </c>
      <c r="I1829" s="14"/>
      <c r="J1829" s="15">
        <v>632</v>
      </c>
      <c r="K1829" s="5">
        <v>3</v>
      </c>
      <c r="L1829" s="16">
        <v>78.666666666666671</v>
      </c>
      <c r="M1829" s="12"/>
      <c r="N1829" s="14">
        <f t="shared" si="75"/>
        <v>0</v>
      </c>
      <c r="O1829" s="23">
        <f t="shared" si="76"/>
        <v>0</v>
      </c>
      <c r="P1829" s="24">
        <f t="shared" si="77"/>
        <v>0</v>
      </c>
      <c r="Q1829" s="25"/>
      <c r="R1829" s="26" t="s">
        <v>5576</v>
      </c>
      <c r="S1829" s="26" t="s">
        <v>29</v>
      </c>
      <c r="T1829" s="6" t="str">
        <f>HYPERLINK("https://kanzpp.ru/api/getInfo/image/d5b92ab8-4b13-11ee-a244-00155d82e902")</f>
        <v>https://kanzpp.ru/api/getInfo/image/d5b92ab8-4b13-11ee-a244-00155d82e902</v>
      </c>
      <c r="U1829" s="6"/>
      <c r="V1829" s="33" t="s">
        <v>35</v>
      </c>
    </row>
    <row r="1830" spans="2:22" ht="21" customHeight="1" outlineLevel="6" x14ac:dyDescent="0.2">
      <c r="B1830" s="69">
        <v>1315</v>
      </c>
      <c r="C1830" s="6" t="s">
        <v>5577</v>
      </c>
      <c r="D1830" s="6" t="s">
        <v>5578</v>
      </c>
      <c r="E1830" s="7" t="s">
        <v>5579</v>
      </c>
      <c r="F1830" s="13"/>
      <c r="G1830" s="14"/>
      <c r="H1830" s="15">
        <v>40</v>
      </c>
      <c r="I1830" s="14"/>
      <c r="J1830" s="15">
        <v>612</v>
      </c>
      <c r="K1830" s="5">
        <v>3</v>
      </c>
      <c r="L1830" s="16">
        <v>78.666666666666671</v>
      </c>
      <c r="M1830" s="12"/>
      <c r="N1830" s="14">
        <f t="shared" si="75"/>
        <v>0</v>
      </c>
      <c r="O1830" s="23">
        <f t="shared" si="76"/>
        <v>0</v>
      </c>
      <c r="P1830" s="24">
        <f t="shared" si="77"/>
        <v>0</v>
      </c>
      <c r="Q1830" s="25"/>
      <c r="R1830" s="26" t="s">
        <v>5580</v>
      </c>
      <c r="S1830" s="26" t="s">
        <v>29</v>
      </c>
      <c r="T1830" s="6" t="str">
        <f>HYPERLINK("https://kanzpp.ru/api/getInfo/image/693462f4-4b11-11ee-a244-00155d82e902")</f>
        <v>https://kanzpp.ru/api/getInfo/image/693462f4-4b11-11ee-a244-00155d82e902</v>
      </c>
      <c r="U1830" s="6"/>
      <c r="V1830" s="33" t="s">
        <v>35</v>
      </c>
    </row>
    <row r="1831" spans="2:22" ht="21" customHeight="1" outlineLevel="6" x14ac:dyDescent="0.2">
      <c r="B1831" s="69">
        <v>1316</v>
      </c>
      <c r="C1831" s="6" t="s">
        <v>5581</v>
      </c>
      <c r="D1831" s="6" t="s">
        <v>5582</v>
      </c>
      <c r="E1831" s="7" t="s">
        <v>5583</v>
      </c>
      <c r="F1831" s="13"/>
      <c r="G1831" s="14"/>
      <c r="H1831" s="15">
        <v>40</v>
      </c>
      <c r="I1831" s="14"/>
      <c r="J1831" s="15">
        <v>319</v>
      </c>
      <c r="K1831" s="5">
        <v>3</v>
      </c>
      <c r="L1831" s="16">
        <v>78.666666666666671</v>
      </c>
      <c r="M1831" s="12"/>
      <c r="N1831" s="14">
        <f t="shared" si="75"/>
        <v>0</v>
      </c>
      <c r="O1831" s="23">
        <f t="shared" si="76"/>
        <v>0</v>
      </c>
      <c r="P1831" s="24">
        <f t="shared" si="77"/>
        <v>0</v>
      </c>
      <c r="Q1831" s="25"/>
      <c r="R1831" s="26" t="s">
        <v>5584</v>
      </c>
      <c r="S1831" s="26" t="s">
        <v>29</v>
      </c>
      <c r="T1831" s="6" t="str">
        <f>HYPERLINK("https://kanzpp.ru/api/getInfo/image/8530ba17-4b13-11ee-a244-00155d82e902")</f>
        <v>https://kanzpp.ru/api/getInfo/image/8530ba17-4b13-11ee-a244-00155d82e902</v>
      </c>
      <c r="U1831" s="6"/>
      <c r="V1831" s="33" t="s">
        <v>35</v>
      </c>
    </row>
    <row r="1832" spans="2:22" ht="21" customHeight="1" outlineLevel="6" x14ac:dyDescent="0.2">
      <c r="B1832" s="69">
        <v>1317</v>
      </c>
      <c r="C1832" s="6" t="s">
        <v>5585</v>
      </c>
      <c r="D1832" s="6" t="s">
        <v>5586</v>
      </c>
      <c r="E1832" s="7" t="s">
        <v>5587</v>
      </c>
      <c r="F1832" s="13"/>
      <c r="G1832" s="14"/>
      <c r="H1832" s="15">
        <v>40</v>
      </c>
      <c r="I1832" s="14"/>
      <c r="J1832" s="15">
        <v>527</v>
      </c>
      <c r="K1832" s="5">
        <v>3</v>
      </c>
      <c r="L1832" s="16">
        <v>78.666666666666671</v>
      </c>
      <c r="M1832" s="12"/>
      <c r="N1832" s="14">
        <f t="shared" si="75"/>
        <v>0</v>
      </c>
      <c r="O1832" s="23">
        <f t="shared" si="76"/>
        <v>0</v>
      </c>
      <c r="P1832" s="24">
        <f t="shared" si="77"/>
        <v>0</v>
      </c>
      <c r="Q1832" s="25"/>
      <c r="R1832" s="26" t="s">
        <v>5588</v>
      </c>
      <c r="S1832" s="26" t="s">
        <v>29</v>
      </c>
      <c r="T1832" s="6" t="str">
        <f>HYPERLINK("https://kanzpp.ru/api/getInfo/image/411275f4-4b14-11ee-a244-00155d82e902")</f>
        <v>https://kanzpp.ru/api/getInfo/image/411275f4-4b14-11ee-a244-00155d82e902</v>
      </c>
      <c r="U1832" s="6"/>
      <c r="V1832" s="33" t="s">
        <v>35</v>
      </c>
    </row>
    <row r="1833" spans="2:22" ht="21" customHeight="1" outlineLevel="6" x14ac:dyDescent="0.2">
      <c r="B1833" s="69">
        <v>1318</v>
      </c>
      <c r="C1833" s="6" t="s">
        <v>5589</v>
      </c>
      <c r="D1833" s="6" t="s">
        <v>5590</v>
      </c>
      <c r="E1833" s="7" t="s">
        <v>5591</v>
      </c>
      <c r="F1833" s="13"/>
      <c r="G1833" s="14"/>
      <c r="H1833" s="15">
        <v>40</v>
      </c>
      <c r="I1833" s="14"/>
      <c r="J1833" s="15">
        <v>390</v>
      </c>
      <c r="K1833" s="5">
        <v>3</v>
      </c>
      <c r="L1833" s="16">
        <v>78.666666666666671</v>
      </c>
      <c r="M1833" s="12"/>
      <c r="N1833" s="14">
        <f t="shared" si="75"/>
        <v>0</v>
      </c>
      <c r="O1833" s="23">
        <f t="shared" si="76"/>
        <v>0</v>
      </c>
      <c r="P1833" s="24">
        <f t="shared" si="77"/>
        <v>0</v>
      </c>
      <c r="Q1833" s="25"/>
      <c r="R1833" s="26" t="s">
        <v>5592</v>
      </c>
      <c r="S1833" s="26" t="s">
        <v>29</v>
      </c>
      <c r="T1833" s="6" t="str">
        <f>HYPERLINK("https://kanzpp.ru/api/getInfo/image/6614253b-4b12-11ee-a244-00155d82e902")</f>
        <v>https://kanzpp.ru/api/getInfo/image/6614253b-4b12-11ee-a244-00155d82e902</v>
      </c>
      <c r="U1833" s="6"/>
      <c r="V1833" s="33" t="s">
        <v>35</v>
      </c>
    </row>
    <row r="1834" spans="2:22" ht="22.95" customHeight="1" outlineLevel="5" x14ac:dyDescent="0.2">
      <c r="B1834" s="83" t="s">
        <v>5593</v>
      </c>
      <c r="C1834" s="83"/>
      <c r="D1834" s="83"/>
      <c r="L1834">
        <v>0</v>
      </c>
    </row>
    <row r="1835" spans="2:22" ht="21" customHeight="1" outlineLevel="6" x14ac:dyDescent="0.2">
      <c r="B1835" s="69">
        <v>1319</v>
      </c>
      <c r="C1835" s="6" t="s">
        <v>5594</v>
      </c>
      <c r="D1835" s="6" t="s">
        <v>5595</v>
      </c>
      <c r="E1835" s="7" t="s">
        <v>5596</v>
      </c>
      <c r="F1835" s="13"/>
      <c r="G1835" s="14"/>
      <c r="H1835" s="15">
        <v>40</v>
      </c>
      <c r="I1835" s="14"/>
      <c r="J1835" s="14" t="s">
        <v>144</v>
      </c>
      <c r="K1835" s="5">
        <v>6</v>
      </c>
      <c r="L1835" s="16">
        <v>78.666666666666671</v>
      </c>
      <c r="M1835" s="12"/>
      <c r="N1835" s="14">
        <f t="shared" ref="N1835:N1846" si="78">L1835*M1835</f>
        <v>0</v>
      </c>
      <c r="O1835" s="23">
        <f>0.095*M1835</f>
        <v>0</v>
      </c>
      <c r="P1835" s="24">
        <f>0.00069*M1835</f>
        <v>0</v>
      </c>
      <c r="Q1835" s="25"/>
      <c r="R1835" s="26" t="s">
        <v>5597</v>
      </c>
      <c r="S1835" s="26" t="s">
        <v>29</v>
      </c>
      <c r="T1835" s="6" t="str">
        <f>HYPERLINK("https://kanzpp.ru/api/getInfo/image/74c7592f-c98c-11ee-a25a-00155d82e908")</f>
        <v>https://kanzpp.ru/api/getInfo/image/74c7592f-c98c-11ee-a25a-00155d82e908</v>
      </c>
      <c r="U1835" s="6"/>
      <c r="V1835" s="33" t="s">
        <v>35</v>
      </c>
    </row>
    <row r="1836" spans="2:22" ht="21" customHeight="1" outlineLevel="6" x14ac:dyDescent="0.2">
      <c r="B1836" s="69">
        <v>1320</v>
      </c>
      <c r="C1836" s="6" t="s">
        <v>5598</v>
      </c>
      <c r="D1836" s="6" t="s">
        <v>5599</v>
      </c>
      <c r="E1836" s="7" t="s">
        <v>5600</v>
      </c>
      <c r="F1836" s="13"/>
      <c r="G1836" s="14"/>
      <c r="H1836" s="15">
        <v>40</v>
      </c>
      <c r="I1836" s="14"/>
      <c r="J1836" s="14" t="s">
        <v>144</v>
      </c>
      <c r="K1836" s="5">
        <v>6</v>
      </c>
      <c r="L1836" s="16">
        <v>78.666666666666671</v>
      </c>
      <c r="M1836" s="12"/>
      <c r="N1836" s="14">
        <f t="shared" si="78"/>
        <v>0</v>
      </c>
      <c r="O1836" s="23">
        <f>0.095*M1836</f>
        <v>0</v>
      </c>
      <c r="P1836" s="24">
        <f>0.00069*M1836</f>
        <v>0</v>
      </c>
      <c r="Q1836" s="25"/>
      <c r="R1836" s="26" t="s">
        <v>5601</v>
      </c>
      <c r="S1836" s="26" t="s">
        <v>29</v>
      </c>
      <c r="T1836" s="6" t="str">
        <f>HYPERLINK("https://kanzpp.ru/api/getInfo/image/9b2bcd83-c98c-11ee-a25a-00155d82e908")</f>
        <v>https://kanzpp.ru/api/getInfo/image/9b2bcd83-c98c-11ee-a25a-00155d82e908</v>
      </c>
      <c r="U1836" s="6"/>
      <c r="V1836" s="33" t="s">
        <v>35</v>
      </c>
    </row>
    <row r="1837" spans="2:22" ht="21" customHeight="1" outlineLevel="6" x14ac:dyDescent="0.2">
      <c r="B1837" s="69">
        <v>1321</v>
      </c>
      <c r="C1837" s="6" t="s">
        <v>5602</v>
      </c>
      <c r="D1837" s="6" t="s">
        <v>5603</v>
      </c>
      <c r="E1837" s="7" t="s">
        <v>5604</v>
      </c>
      <c r="F1837" s="13"/>
      <c r="G1837" s="14"/>
      <c r="H1837" s="15">
        <v>40</v>
      </c>
      <c r="I1837" s="14"/>
      <c r="J1837" s="15">
        <v>809</v>
      </c>
      <c r="K1837" s="5">
        <v>7</v>
      </c>
      <c r="L1837" s="16">
        <v>44.026666666666671</v>
      </c>
      <c r="M1837" s="12"/>
      <c r="N1837" s="14">
        <f t="shared" si="78"/>
        <v>0</v>
      </c>
      <c r="O1837" s="23">
        <f>0.094*M1837</f>
        <v>0</v>
      </c>
      <c r="P1837" s="24">
        <f>0.00055*M1837</f>
        <v>0</v>
      </c>
      <c r="Q1837" s="25"/>
      <c r="R1837" s="26" t="s">
        <v>5605</v>
      </c>
      <c r="S1837" s="26" t="s">
        <v>29</v>
      </c>
      <c r="T1837" s="6" t="str">
        <f>HYPERLINK("https://kanzpp.ru/api/getInfo/image/3f295441-d1d2-11ec-a212-ac1f6b442185")</f>
        <v>https://kanzpp.ru/api/getInfo/image/3f295441-d1d2-11ec-a212-ac1f6b442185</v>
      </c>
      <c r="U1837" s="6"/>
      <c r="V1837" s="33" t="s">
        <v>35</v>
      </c>
    </row>
    <row r="1838" spans="2:22" ht="21" customHeight="1" outlineLevel="6" x14ac:dyDescent="0.2">
      <c r="B1838" s="69">
        <v>1322</v>
      </c>
      <c r="C1838" s="6" t="s">
        <v>5606</v>
      </c>
      <c r="D1838" s="6" t="s">
        <v>5607</v>
      </c>
      <c r="E1838" s="7" t="s">
        <v>5608</v>
      </c>
      <c r="F1838" s="13"/>
      <c r="G1838" s="14"/>
      <c r="H1838" s="15">
        <v>40</v>
      </c>
      <c r="I1838" s="14"/>
      <c r="J1838" s="15">
        <v>898</v>
      </c>
      <c r="K1838" s="5">
        <v>6</v>
      </c>
      <c r="L1838" s="16">
        <v>78.666666666666671</v>
      </c>
      <c r="M1838" s="12"/>
      <c r="N1838" s="14">
        <f t="shared" si="78"/>
        <v>0</v>
      </c>
      <c r="O1838" s="23">
        <f>0.075*M1838</f>
        <v>0</v>
      </c>
      <c r="P1838" s="24">
        <f>0.00081*M1838</f>
        <v>0</v>
      </c>
      <c r="Q1838" s="25"/>
      <c r="R1838" s="26" t="s">
        <v>5609</v>
      </c>
      <c r="S1838" s="26" t="s">
        <v>29</v>
      </c>
      <c r="T1838" s="6" t="str">
        <f>HYPERLINK("https://kanzpp.ru/api/getInfo/image/fa8f4616-c98c-11ee-a25a-00155d82e908")</f>
        <v>https://kanzpp.ru/api/getInfo/image/fa8f4616-c98c-11ee-a25a-00155d82e908</v>
      </c>
      <c r="U1838" s="6"/>
      <c r="V1838" s="33" t="s">
        <v>35</v>
      </c>
    </row>
    <row r="1839" spans="2:22" ht="21" customHeight="1" outlineLevel="6" x14ac:dyDescent="0.2">
      <c r="B1839" s="69">
        <v>1323</v>
      </c>
      <c r="C1839" s="6" t="s">
        <v>5610</v>
      </c>
      <c r="D1839" s="6" t="s">
        <v>5611</v>
      </c>
      <c r="E1839" s="7" t="s">
        <v>5612</v>
      </c>
      <c r="F1839" s="13"/>
      <c r="G1839" s="14"/>
      <c r="H1839" s="15">
        <v>40</v>
      </c>
      <c r="I1839" s="14"/>
      <c r="J1839" s="14" t="s">
        <v>144</v>
      </c>
      <c r="K1839" s="5">
        <v>6</v>
      </c>
      <c r="L1839" s="16">
        <v>78.666666666666671</v>
      </c>
      <c r="M1839" s="12"/>
      <c r="N1839" s="14">
        <f t="shared" si="78"/>
        <v>0</v>
      </c>
      <c r="O1839" s="23">
        <f>0.095*M1839</f>
        <v>0</v>
      </c>
      <c r="P1839" s="24">
        <f>0.00069*M1839</f>
        <v>0</v>
      </c>
      <c r="Q1839" s="25"/>
      <c r="R1839" s="26" t="s">
        <v>5613</v>
      </c>
      <c r="S1839" s="26" t="s">
        <v>29</v>
      </c>
      <c r="T1839" s="6" t="str">
        <f>HYPERLINK("https://kanzpp.ru/api/getInfo/image/3ba8e0f6-c98d-11ee-a25a-00155d82e908")</f>
        <v>https://kanzpp.ru/api/getInfo/image/3ba8e0f6-c98d-11ee-a25a-00155d82e908</v>
      </c>
      <c r="U1839" s="6"/>
      <c r="V1839" s="33" t="s">
        <v>35</v>
      </c>
    </row>
    <row r="1840" spans="2:22" ht="21" customHeight="1" outlineLevel="6" x14ac:dyDescent="0.2">
      <c r="B1840" s="69">
        <v>1324</v>
      </c>
      <c r="C1840" s="6" t="s">
        <v>5614</v>
      </c>
      <c r="D1840" s="6" t="s">
        <v>5615</v>
      </c>
      <c r="E1840" s="7" t="s">
        <v>5616</v>
      </c>
      <c r="F1840" s="13"/>
      <c r="G1840" s="14"/>
      <c r="H1840" s="15">
        <v>40</v>
      </c>
      <c r="I1840" s="14"/>
      <c r="J1840" s="14" t="s">
        <v>144</v>
      </c>
      <c r="K1840" s="5">
        <v>6</v>
      </c>
      <c r="L1840" s="16">
        <v>78.666666666666671</v>
      </c>
      <c r="M1840" s="12"/>
      <c r="N1840" s="14">
        <f t="shared" si="78"/>
        <v>0</v>
      </c>
      <c r="O1840" s="23">
        <f>0.095*M1840</f>
        <v>0</v>
      </c>
      <c r="P1840" s="24">
        <f>0.00069*M1840</f>
        <v>0</v>
      </c>
      <c r="Q1840" s="25"/>
      <c r="R1840" s="26" t="s">
        <v>5617</v>
      </c>
      <c r="S1840" s="26" t="s">
        <v>29</v>
      </c>
      <c r="T1840" s="6" t="str">
        <f>HYPERLINK("https://kanzpp.ru/api/getInfo/image/ba8bce44-c98c-11ee-a25a-00155d82e908")</f>
        <v>https://kanzpp.ru/api/getInfo/image/ba8bce44-c98c-11ee-a25a-00155d82e908</v>
      </c>
      <c r="U1840" s="6"/>
      <c r="V1840" s="33" t="s">
        <v>35</v>
      </c>
    </row>
    <row r="1841" spans="2:22" ht="21" customHeight="1" outlineLevel="6" x14ac:dyDescent="0.2">
      <c r="B1841" s="69">
        <v>1325</v>
      </c>
      <c r="C1841" s="6" t="s">
        <v>5618</v>
      </c>
      <c r="D1841" s="6" t="s">
        <v>5619</v>
      </c>
      <c r="E1841" s="7" t="s">
        <v>5620</v>
      </c>
      <c r="F1841" s="13"/>
      <c r="G1841" s="14"/>
      <c r="H1841" s="15">
        <v>40</v>
      </c>
      <c r="I1841" s="14"/>
      <c r="J1841" s="14" t="s">
        <v>144</v>
      </c>
      <c r="K1841" s="5">
        <v>6</v>
      </c>
      <c r="L1841" s="16">
        <v>78.666666666666671</v>
      </c>
      <c r="M1841" s="12"/>
      <c r="N1841" s="14">
        <f t="shared" si="78"/>
        <v>0</v>
      </c>
      <c r="O1841" s="23">
        <f>0.095*M1841</f>
        <v>0</v>
      </c>
      <c r="P1841" s="24">
        <f>0.00069*M1841</f>
        <v>0</v>
      </c>
      <c r="Q1841" s="25"/>
      <c r="R1841" s="26" t="s">
        <v>5621</v>
      </c>
      <c r="S1841" s="26" t="s">
        <v>29</v>
      </c>
      <c r="T1841" s="6" t="str">
        <f>HYPERLINK("https://kanzpp.ru/api/getInfo/image/2c6d87db-c98c-11ee-a25a-00155d82e908")</f>
        <v>https://kanzpp.ru/api/getInfo/image/2c6d87db-c98c-11ee-a25a-00155d82e908</v>
      </c>
      <c r="U1841" s="6"/>
      <c r="V1841" s="33" t="s">
        <v>35</v>
      </c>
    </row>
    <row r="1842" spans="2:22" ht="21" customHeight="1" outlineLevel="6" x14ac:dyDescent="0.2">
      <c r="B1842" s="69">
        <v>1326</v>
      </c>
      <c r="C1842" s="6" t="s">
        <v>5622</v>
      </c>
      <c r="D1842" s="6" t="s">
        <v>5623</v>
      </c>
      <c r="E1842" s="7" t="s">
        <v>5624</v>
      </c>
      <c r="F1842" s="13"/>
      <c r="G1842" s="14"/>
      <c r="H1842" s="15">
        <v>40</v>
      </c>
      <c r="I1842" s="14"/>
      <c r="J1842" s="15">
        <v>410</v>
      </c>
      <c r="K1842" s="5">
        <v>7</v>
      </c>
      <c r="L1842" s="16">
        <v>44.026666666666671</v>
      </c>
      <c r="M1842" s="12"/>
      <c r="N1842" s="14">
        <f t="shared" si="78"/>
        <v>0</v>
      </c>
      <c r="O1842" s="23">
        <f>0.094*M1842</f>
        <v>0</v>
      </c>
      <c r="P1842" s="24">
        <f>0.00055*M1842</f>
        <v>0</v>
      </c>
      <c r="Q1842" s="25"/>
      <c r="R1842" s="26" t="s">
        <v>5625</v>
      </c>
      <c r="S1842" s="26" t="s">
        <v>29</v>
      </c>
      <c r="T1842" s="6" t="str">
        <f>HYPERLINK("https://kanzpp.ru/api/getInfo/image/aca8452f-d1d3-11ec-a212-ac1f6b442185")</f>
        <v>https://kanzpp.ru/api/getInfo/image/aca8452f-d1d3-11ec-a212-ac1f6b442185</v>
      </c>
      <c r="U1842" s="6"/>
      <c r="V1842" s="33" t="s">
        <v>35</v>
      </c>
    </row>
    <row r="1843" spans="2:22" ht="21" customHeight="1" outlineLevel="6" x14ac:dyDescent="0.2">
      <c r="B1843" s="69">
        <v>1327</v>
      </c>
      <c r="C1843" s="6" t="s">
        <v>5626</v>
      </c>
      <c r="D1843" s="6" t="s">
        <v>5627</v>
      </c>
      <c r="E1843" s="7" t="s">
        <v>5628</v>
      </c>
      <c r="F1843" s="13"/>
      <c r="G1843" s="14"/>
      <c r="H1843" s="15">
        <v>40</v>
      </c>
      <c r="I1843" s="14"/>
      <c r="J1843" s="14" t="s">
        <v>144</v>
      </c>
      <c r="K1843" s="5">
        <v>6</v>
      </c>
      <c r="L1843" s="16">
        <v>78.666666666666671</v>
      </c>
      <c r="M1843" s="12"/>
      <c r="N1843" s="14">
        <f t="shared" si="78"/>
        <v>0</v>
      </c>
      <c r="O1843" s="23">
        <f>0.096*M1843</f>
        <v>0</v>
      </c>
      <c r="P1843" s="24">
        <f>0.00057*M1843</f>
        <v>0</v>
      </c>
      <c r="Q1843" s="25"/>
      <c r="R1843" s="26" t="s">
        <v>5629</v>
      </c>
      <c r="S1843" s="26" t="s">
        <v>29</v>
      </c>
      <c r="T1843" s="6" t="str">
        <f>HYPERLINK("https://kanzpp.ru/api/getInfo/image/5e0e30ba-c98d-11ee-a25a-00155d82e908")</f>
        <v>https://kanzpp.ru/api/getInfo/image/5e0e30ba-c98d-11ee-a25a-00155d82e908</v>
      </c>
      <c r="U1843" s="6"/>
      <c r="V1843" s="33" t="s">
        <v>35</v>
      </c>
    </row>
    <row r="1844" spans="2:22" ht="21" customHeight="1" outlineLevel="6" x14ac:dyDescent="0.2">
      <c r="B1844" s="69">
        <v>1328</v>
      </c>
      <c r="C1844" s="6" t="s">
        <v>5630</v>
      </c>
      <c r="D1844" s="6" t="s">
        <v>5631</v>
      </c>
      <c r="E1844" s="7" t="s">
        <v>5632</v>
      </c>
      <c r="F1844" s="13"/>
      <c r="G1844" s="14"/>
      <c r="H1844" s="15">
        <v>40</v>
      </c>
      <c r="I1844" s="14"/>
      <c r="J1844" s="14" t="s">
        <v>144</v>
      </c>
      <c r="K1844" s="5">
        <v>6</v>
      </c>
      <c r="L1844" s="16">
        <v>78.666666666666671</v>
      </c>
      <c r="M1844" s="12"/>
      <c r="N1844" s="14">
        <f t="shared" si="78"/>
        <v>0</v>
      </c>
      <c r="O1844" s="23">
        <f>0.096*M1844</f>
        <v>0</v>
      </c>
      <c r="P1844" s="24">
        <f>0.00057*M1844</f>
        <v>0</v>
      </c>
      <c r="Q1844" s="25"/>
      <c r="R1844" s="26" t="s">
        <v>5633</v>
      </c>
      <c r="S1844" s="26" t="s">
        <v>29</v>
      </c>
      <c r="T1844" s="6" t="str">
        <f>HYPERLINK("https://kanzpp.ru/api/getInfo/image/1bb8a678-c98d-11ee-a25a-00155d82e908")</f>
        <v>https://kanzpp.ru/api/getInfo/image/1bb8a678-c98d-11ee-a25a-00155d82e908</v>
      </c>
      <c r="U1844" s="6"/>
      <c r="V1844" s="33" t="s">
        <v>35</v>
      </c>
    </row>
    <row r="1845" spans="2:22" ht="21" customHeight="1" outlineLevel="6" x14ac:dyDescent="0.2">
      <c r="B1845" s="69">
        <v>1329</v>
      </c>
      <c r="C1845" s="6" t="s">
        <v>5634</v>
      </c>
      <c r="D1845" s="6" t="s">
        <v>5635</v>
      </c>
      <c r="E1845" s="7" t="s">
        <v>5636</v>
      </c>
      <c r="F1845" s="13"/>
      <c r="G1845" s="14"/>
      <c r="H1845" s="15">
        <v>40</v>
      </c>
      <c r="I1845" s="14"/>
      <c r="J1845" s="15">
        <v>641</v>
      </c>
      <c r="K1845" s="5">
        <v>6</v>
      </c>
      <c r="L1845" s="16">
        <v>78.666666666666671</v>
      </c>
      <c r="M1845" s="12"/>
      <c r="N1845" s="14">
        <f t="shared" si="78"/>
        <v>0</v>
      </c>
      <c r="O1845" s="23">
        <f>0.095*M1845</f>
        <v>0</v>
      </c>
      <c r="P1845" s="24">
        <f>0.00069*M1845</f>
        <v>0</v>
      </c>
      <c r="Q1845" s="25"/>
      <c r="R1845" s="26" t="s">
        <v>5637</v>
      </c>
      <c r="S1845" s="26" t="s">
        <v>29</v>
      </c>
      <c r="T1845" s="6" t="str">
        <f>HYPERLINK("https://kanzpp.ru/api/getInfo/image/58086e97-c98c-11ee-a25a-00155d82e908")</f>
        <v>https://kanzpp.ru/api/getInfo/image/58086e97-c98c-11ee-a25a-00155d82e908</v>
      </c>
      <c r="U1845" s="6"/>
      <c r="V1845" s="33" t="s">
        <v>35</v>
      </c>
    </row>
    <row r="1846" spans="2:22" ht="21" customHeight="1" outlineLevel="6" x14ac:dyDescent="0.2">
      <c r="B1846" s="69">
        <v>1330</v>
      </c>
      <c r="C1846" s="6" t="s">
        <v>5638</v>
      </c>
      <c r="D1846" s="6" t="s">
        <v>5639</v>
      </c>
      <c r="E1846" s="7" t="s">
        <v>5640</v>
      </c>
      <c r="F1846" s="13"/>
      <c r="G1846" s="14"/>
      <c r="H1846" s="15">
        <v>40</v>
      </c>
      <c r="I1846" s="14"/>
      <c r="J1846" s="14" t="s">
        <v>144</v>
      </c>
      <c r="K1846" s="5">
        <v>6</v>
      </c>
      <c r="L1846" s="16">
        <v>78.666666666666671</v>
      </c>
      <c r="M1846" s="12"/>
      <c r="N1846" s="14">
        <f t="shared" si="78"/>
        <v>0</v>
      </c>
      <c r="O1846" s="23">
        <f>0.076*M1846</f>
        <v>0</v>
      </c>
      <c r="P1846" s="24">
        <f>0.00095*M1846</f>
        <v>0</v>
      </c>
      <c r="Q1846" s="25"/>
      <c r="R1846" s="26" t="s">
        <v>5641</v>
      </c>
      <c r="S1846" s="26" t="s">
        <v>29</v>
      </c>
      <c r="T1846" s="6" t="str">
        <f>HYPERLINK("https://kanzpp.ru/api/getInfo/image/d7214c5a-c98c-11ee-a25a-00155d82e908")</f>
        <v>https://kanzpp.ru/api/getInfo/image/d7214c5a-c98c-11ee-a25a-00155d82e908</v>
      </c>
      <c r="U1846" s="6"/>
      <c r="V1846" s="33" t="s">
        <v>35</v>
      </c>
    </row>
    <row r="1847" spans="2:22" ht="22.95" customHeight="1" outlineLevel="5" x14ac:dyDescent="0.2">
      <c r="B1847" s="83" t="s">
        <v>5642</v>
      </c>
      <c r="C1847" s="83"/>
      <c r="D1847" s="83"/>
      <c r="L1847">
        <v>0</v>
      </c>
    </row>
    <row r="1848" spans="2:22" ht="21" customHeight="1" outlineLevel="6" x14ac:dyDescent="0.2">
      <c r="B1848" s="69">
        <v>1331</v>
      </c>
      <c r="C1848" s="6" t="s">
        <v>5643</v>
      </c>
      <c r="D1848" s="6" t="s">
        <v>5644</v>
      </c>
      <c r="E1848" s="7" t="s">
        <v>5645</v>
      </c>
      <c r="F1848" s="13"/>
      <c r="G1848" s="14"/>
      <c r="H1848" s="15">
        <v>40</v>
      </c>
      <c r="I1848" s="14"/>
      <c r="J1848" s="15">
        <v>468</v>
      </c>
      <c r="K1848" s="5">
        <v>5</v>
      </c>
      <c r="L1848" s="16">
        <v>52</v>
      </c>
      <c r="M1848" s="12"/>
      <c r="N1848" s="14">
        <f t="shared" ref="N1848:N1858" si="79">L1848*M1848</f>
        <v>0</v>
      </c>
      <c r="O1848" s="28">
        <f>0.07*M1848</f>
        <v>0</v>
      </c>
      <c r="P1848" s="24">
        <f>0.00059*M1848</f>
        <v>0</v>
      </c>
      <c r="Q1848" s="25"/>
      <c r="R1848" s="26" t="s">
        <v>5646</v>
      </c>
      <c r="S1848" s="26" t="s">
        <v>29</v>
      </c>
      <c r="T1848" s="6" t="str">
        <f>HYPERLINK("https://kanzpp.ru/api/getInfo/image/d5ce5ff1-ab92-11ed-a230-00155d82e902")</f>
        <v>https://kanzpp.ru/api/getInfo/image/d5ce5ff1-ab92-11ed-a230-00155d82e902</v>
      </c>
      <c r="U1848" s="6"/>
      <c r="V1848" s="33" t="s">
        <v>35</v>
      </c>
    </row>
    <row r="1849" spans="2:22" ht="21" customHeight="1" outlineLevel="6" x14ac:dyDescent="0.2">
      <c r="B1849" s="69">
        <v>1332</v>
      </c>
      <c r="C1849" s="6" t="s">
        <v>5647</v>
      </c>
      <c r="D1849" s="6" t="s">
        <v>5648</v>
      </c>
      <c r="E1849" s="7" t="s">
        <v>5649</v>
      </c>
      <c r="F1849" s="13"/>
      <c r="G1849" s="14"/>
      <c r="H1849" s="15">
        <v>40</v>
      </c>
      <c r="I1849" s="14"/>
      <c r="J1849" s="14" t="s">
        <v>144</v>
      </c>
      <c r="K1849" s="5">
        <v>5</v>
      </c>
      <c r="L1849" s="16">
        <v>52</v>
      </c>
      <c r="M1849" s="12"/>
      <c r="N1849" s="14">
        <f t="shared" si="79"/>
        <v>0</v>
      </c>
      <c r="O1849" s="23">
        <f>0.073*M1849</f>
        <v>0</v>
      </c>
      <c r="P1849" s="31">
        <f>0.0007*M1849</f>
        <v>0</v>
      </c>
      <c r="Q1849" s="25"/>
      <c r="R1849" s="26" t="s">
        <v>5650</v>
      </c>
      <c r="S1849" s="26" t="s">
        <v>29</v>
      </c>
      <c r="T1849" s="6" t="str">
        <f>HYPERLINK("https://kanzpp.ru/api/getInfo/image/7a049b4e-ab93-11ed-a230-00155d82e902")</f>
        <v>https://kanzpp.ru/api/getInfo/image/7a049b4e-ab93-11ed-a230-00155d82e902</v>
      </c>
      <c r="U1849" s="6"/>
      <c r="V1849" s="33" t="s">
        <v>35</v>
      </c>
    </row>
    <row r="1850" spans="2:22" ht="21" customHeight="1" outlineLevel="6" x14ac:dyDescent="0.2">
      <c r="B1850" s="69">
        <v>1333</v>
      </c>
      <c r="C1850" s="6" t="s">
        <v>5651</v>
      </c>
      <c r="D1850" s="6" t="s">
        <v>629</v>
      </c>
      <c r="E1850" s="7" t="s">
        <v>630</v>
      </c>
      <c r="F1850" s="13"/>
      <c r="G1850" s="14"/>
      <c r="H1850" s="15">
        <v>40</v>
      </c>
      <c r="I1850" s="14"/>
      <c r="J1850" s="14" t="s">
        <v>144</v>
      </c>
      <c r="K1850" s="5">
        <v>5</v>
      </c>
      <c r="L1850" s="16">
        <v>52</v>
      </c>
      <c r="M1850" s="12"/>
      <c r="N1850" s="14">
        <f t="shared" si="79"/>
        <v>0</v>
      </c>
      <c r="O1850" s="23">
        <f>0.072*M1850</f>
        <v>0</v>
      </c>
      <c r="P1850" s="24">
        <f>0.00068*M1850</f>
        <v>0</v>
      </c>
      <c r="Q1850" s="25"/>
      <c r="R1850" s="26" t="s">
        <v>631</v>
      </c>
      <c r="S1850" s="26" t="s">
        <v>29</v>
      </c>
      <c r="T1850" s="6" t="str">
        <f>HYPERLINK("https://kanzpp.ru/api/getInfo/image/0f25e5f3-ab93-11ed-a230-00155d82e902")</f>
        <v>https://kanzpp.ru/api/getInfo/image/0f25e5f3-ab93-11ed-a230-00155d82e902</v>
      </c>
      <c r="U1850" s="6"/>
      <c r="V1850" s="33" t="s">
        <v>35</v>
      </c>
    </row>
    <row r="1851" spans="2:22" ht="21" customHeight="1" outlineLevel="6" x14ac:dyDescent="0.2">
      <c r="B1851" s="69">
        <v>1334</v>
      </c>
      <c r="C1851" s="6" t="s">
        <v>5652</v>
      </c>
      <c r="D1851" s="6" t="s">
        <v>5653</v>
      </c>
      <c r="E1851" s="7" t="s">
        <v>5654</v>
      </c>
      <c r="F1851" s="13"/>
      <c r="G1851" s="14"/>
      <c r="H1851" s="15">
        <v>40</v>
      </c>
      <c r="I1851" s="14"/>
      <c r="J1851" s="14" t="s">
        <v>144</v>
      </c>
      <c r="K1851" s="5">
        <v>5</v>
      </c>
      <c r="L1851" s="16">
        <v>52</v>
      </c>
      <c r="M1851" s="12"/>
      <c r="N1851" s="14">
        <f t="shared" si="79"/>
        <v>0</v>
      </c>
      <c r="O1851" s="23">
        <f>0.075*M1851</f>
        <v>0</v>
      </c>
      <c r="P1851" s="24">
        <f>0.00067*M1851</f>
        <v>0</v>
      </c>
      <c r="Q1851" s="25"/>
      <c r="R1851" s="26" t="s">
        <v>5655</v>
      </c>
      <c r="S1851" s="26" t="s">
        <v>29</v>
      </c>
      <c r="T1851" s="6" t="str">
        <f>HYPERLINK("https://kanzpp.ru/api/getInfo/image/35040fb2-ab93-11ed-a230-00155d82e902")</f>
        <v>https://kanzpp.ru/api/getInfo/image/35040fb2-ab93-11ed-a230-00155d82e902</v>
      </c>
      <c r="U1851" s="6"/>
      <c r="V1851" s="33" t="s">
        <v>35</v>
      </c>
    </row>
    <row r="1852" spans="2:22" ht="21" customHeight="1" outlineLevel="6" x14ac:dyDescent="0.2">
      <c r="B1852" s="69">
        <v>1335</v>
      </c>
      <c r="C1852" s="6" t="s">
        <v>5656</v>
      </c>
      <c r="D1852" s="6" t="s">
        <v>637</v>
      </c>
      <c r="E1852" s="7" t="s">
        <v>638</v>
      </c>
      <c r="F1852" s="13"/>
      <c r="G1852" s="14"/>
      <c r="H1852" s="15">
        <v>40</v>
      </c>
      <c r="I1852" s="14"/>
      <c r="J1852" s="14" t="s">
        <v>144</v>
      </c>
      <c r="K1852" s="5">
        <v>5</v>
      </c>
      <c r="L1852" s="16">
        <v>52</v>
      </c>
      <c r="M1852" s="12"/>
      <c r="N1852" s="14">
        <f t="shared" si="79"/>
        <v>0</v>
      </c>
      <c r="O1852" s="23">
        <f>0.071*M1852</f>
        <v>0</v>
      </c>
      <c r="P1852" s="24">
        <f>0.00056*M1852</f>
        <v>0</v>
      </c>
      <c r="Q1852" s="25"/>
      <c r="R1852" s="26" t="s">
        <v>639</v>
      </c>
      <c r="S1852" s="26" t="s">
        <v>29</v>
      </c>
      <c r="T1852" s="6" t="str">
        <f>HYPERLINK("https://kanzpp.ru/api/getInfo/image/57d433cf-ab93-11ed-a230-00155d82e902")</f>
        <v>https://kanzpp.ru/api/getInfo/image/57d433cf-ab93-11ed-a230-00155d82e902</v>
      </c>
      <c r="U1852" s="6"/>
      <c r="V1852" s="33" t="s">
        <v>35</v>
      </c>
    </row>
    <row r="1853" spans="2:22" ht="21" customHeight="1" outlineLevel="6" x14ac:dyDescent="0.2">
      <c r="B1853" s="69">
        <v>1336</v>
      </c>
      <c r="C1853" s="6" t="s">
        <v>5657</v>
      </c>
      <c r="D1853" s="6" t="s">
        <v>5658</v>
      </c>
      <c r="E1853" s="7" t="s">
        <v>5659</v>
      </c>
      <c r="F1853" s="13"/>
      <c r="G1853" s="14"/>
      <c r="H1853" s="15">
        <v>40</v>
      </c>
      <c r="I1853" s="14"/>
      <c r="J1853" s="14" t="s">
        <v>144</v>
      </c>
      <c r="K1853" s="5">
        <v>5</v>
      </c>
      <c r="L1853" s="16">
        <v>52</v>
      </c>
      <c r="M1853" s="12"/>
      <c r="N1853" s="14">
        <f t="shared" si="79"/>
        <v>0</v>
      </c>
      <c r="O1853" s="23">
        <f>0.079*M1853</f>
        <v>0</v>
      </c>
      <c r="P1853" s="24">
        <f>0.00077*M1853</f>
        <v>0</v>
      </c>
      <c r="Q1853" s="25"/>
      <c r="R1853" s="26" t="s">
        <v>5660</v>
      </c>
      <c r="S1853" s="26" t="s">
        <v>29</v>
      </c>
      <c r="T1853" s="6" t="str">
        <f>HYPERLINK("https://kanzpp.ru/api/getInfo/image/e78ad2b6-ab93-11ed-a230-00155d82e902")</f>
        <v>https://kanzpp.ru/api/getInfo/image/e78ad2b6-ab93-11ed-a230-00155d82e902</v>
      </c>
      <c r="U1853" s="6"/>
      <c r="V1853" s="33" t="s">
        <v>35</v>
      </c>
    </row>
    <row r="1854" spans="2:22" ht="21" customHeight="1" outlineLevel="6" x14ac:dyDescent="0.2">
      <c r="B1854" s="69">
        <v>1337</v>
      </c>
      <c r="C1854" s="6" t="s">
        <v>5661</v>
      </c>
      <c r="D1854" s="6" t="s">
        <v>5662</v>
      </c>
      <c r="E1854" s="7" t="s">
        <v>5663</v>
      </c>
      <c r="F1854" s="13"/>
      <c r="G1854" s="14"/>
      <c r="H1854" s="15">
        <v>40</v>
      </c>
      <c r="I1854" s="14"/>
      <c r="J1854" s="15">
        <v>697</v>
      </c>
      <c r="K1854" s="5">
        <v>5</v>
      </c>
      <c r="L1854" s="16">
        <v>52</v>
      </c>
      <c r="M1854" s="12"/>
      <c r="N1854" s="14">
        <f t="shared" si="79"/>
        <v>0</v>
      </c>
      <c r="O1854" s="23">
        <f>0.069*M1854</f>
        <v>0</v>
      </c>
      <c r="P1854" s="24">
        <f>0.00066*M1854</f>
        <v>0</v>
      </c>
      <c r="Q1854" s="25"/>
      <c r="R1854" s="26" t="s">
        <v>5664</v>
      </c>
      <c r="S1854" s="26" t="s">
        <v>29</v>
      </c>
      <c r="T1854" s="6" t="str">
        <f>HYPERLINK("https://kanzpp.ru/api/getInfo/image/9d25d0be-ab93-11ed-a230-00155d82e902")</f>
        <v>https://kanzpp.ru/api/getInfo/image/9d25d0be-ab93-11ed-a230-00155d82e902</v>
      </c>
      <c r="U1854" s="6"/>
      <c r="V1854" s="33" t="s">
        <v>35</v>
      </c>
    </row>
    <row r="1855" spans="2:22" ht="21" customHeight="1" outlineLevel="6" x14ac:dyDescent="0.2">
      <c r="B1855" s="69">
        <v>1338</v>
      </c>
      <c r="C1855" s="6" t="s">
        <v>5665</v>
      </c>
      <c r="D1855" s="6" t="s">
        <v>5666</v>
      </c>
      <c r="E1855" s="7" t="s">
        <v>5667</v>
      </c>
      <c r="F1855" s="13"/>
      <c r="G1855" s="14"/>
      <c r="H1855" s="15">
        <v>40</v>
      </c>
      <c r="I1855" s="14"/>
      <c r="J1855" s="14" t="s">
        <v>144</v>
      </c>
      <c r="K1855" s="5">
        <v>5</v>
      </c>
      <c r="L1855" s="16">
        <v>52</v>
      </c>
      <c r="M1855" s="12"/>
      <c r="N1855" s="14">
        <f t="shared" si="79"/>
        <v>0</v>
      </c>
      <c r="O1855" s="23">
        <f>0.071*M1855</f>
        <v>0</v>
      </c>
      <c r="P1855" s="24">
        <f>0.00065*M1855</f>
        <v>0</v>
      </c>
      <c r="Q1855" s="25"/>
      <c r="R1855" s="26" t="s">
        <v>5668</v>
      </c>
      <c r="S1855" s="26" t="s">
        <v>29</v>
      </c>
      <c r="T1855" s="6" t="str">
        <f>HYPERLINK("https://kanzpp.ru/api/getInfo/image/3978c5b1-ab94-11ed-a230-00155d82e902")</f>
        <v>https://kanzpp.ru/api/getInfo/image/3978c5b1-ab94-11ed-a230-00155d82e902</v>
      </c>
      <c r="U1855" s="6"/>
      <c r="V1855" s="33" t="s">
        <v>35</v>
      </c>
    </row>
    <row r="1856" spans="2:22" ht="21" customHeight="1" outlineLevel="6" x14ac:dyDescent="0.2">
      <c r="B1856" s="69">
        <v>1339</v>
      </c>
      <c r="C1856" s="6" t="s">
        <v>5669</v>
      </c>
      <c r="D1856" s="6" t="s">
        <v>641</v>
      </c>
      <c r="E1856" s="7" t="s">
        <v>642</v>
      </c>
      <c r="F1856" s="13"/>
      <c r="G1856" s="14"/>
      <c r="H1856" s="15">
        <v>40</v>
      </c>
      <c r="I1856" s="14"/>
      <c r="J1856" s="15">
        <v>161</v>
      </c>
      <c r="K1856" s="5">
        <v>5</v>
      </c>
      <c r="L1856" s="16">
        <v>52</v>
      </c>
      <c r="M1856" s="12"/>
      <c r="N1856" s="14">
        <f t="shared" si="79"/>
        <v>0</v>
      </c>
      <c r="O1856" s="23">
        <f>0.072*M1856</f>
        <v>0</v>
      </c>
      <c r="P1856" s="24">
        <f>0.00059*M1856</f>
        <v>0</v>
      </c>
      <c r="Q1856" s="25"/>
      <c r="R1856" s="26" t="s">
        <v>643</v>
      </c>
      <c r="S1856" s="26" t="s">
        <v>29</v>
      </c>
      <c r="T1856" s="6" t="str">
        <f>HYPERLINK("https://kanzpp.ru/api/getInfo/image/c41fb0d0-ab93-11ed-a230-00155d82e902")</f>
        <v>https://kanzpp.ru/api/getInfo/image/c41fb0d0-ab93-11ed-a230-00155d82e902</v>
      </c>
      <c r="U1856" s="6"/>
      <c r="V1856" s="33" t="s">
        <v>35</v>
      </c>
    </row>
    <row r="1857" spans="2:22" ht="21" customHeight="1" outlineLevel="6" x14ac:dyDescent="0.2">
      <c r="B1857" s="69">
        <v>1340</v>
      </c>
      <c r="C1857" s="6" t="s">
        <v>5670</v>
      </c>
      <c r="D1857" s="6" t="s">
        <v>5671</v>
      </c>
      <c r="E1857" s="7" t="s">
        <v>5672</v>
      </c>
      <c r="F1857" s="13"/>
      <c r="G1857" s="14"/>
      <c r="H1857" s="15">
        <v>40</v>
      </c>
      <c r="I1857" s="14"/>
      <c r="J1857" s="15">
        <v>566</v>
      </c>
      <c r="K1857" s="5">
        <v>5</v>
      </c>
      <c r="L1857" s="16">
        <v>52</v>
      </c>
      <c r="M1857" s="12"/>
      <c r="N1857" s="14">
        <f t="shared" si="79"/>
        <v>0</v>
      </c>
      <c r="O1857" s="23">
        <f>0.072*M1857</f>
        <v>0</v>
      </c>
      <c r="P1857" s="24">
        <f>0.00065*M1857</f>
        <v>0</v>
      </c>
      <c r="Q1857" s="25"/>
      <c r="R1857" s="26" t="s">
        <v>5673</v>
      </c>
      <c r="S1857" s="26" t="s">
        <v>29</v>
      </c>
      <c r="T1857" s="6" t="str">
        <f>HYPERLINK("https://kanzpp.ru/api/getInfo/image/11ce646e-ab94-11ed-a230-00155d82e902")</f>
        <v>https://kanzpp.ru/api/getInfo/image/11ce646e-ab94-11ed-a230-00155d82e902</v>
      </c>
      <c r="U1857" s="6"/>
      <c r="V1857" s="33" t="s">
        <v>35</v>
      </c>
    </row>
    <row r="1858" spans="2:22" ht="21" customHeight="1" outlineLevel="6" x14ac:dyDescent="0.2">
      <c r="B1858" s="69">
        <v>1341</v>
      </c>
      <c r="C1858" s="6" t="s">
        <v>5674</v>
      </c>
      <c r="D1858" s="6" t="s">
        <v>5671</v>
      </c>
      <c r="E1858" s="7" t="s">
        <v>5672</v>
      </c>
      <c r="F1858" s="13"/>
      <c r="G1858" s="14"/>
      <c r="H1858" s="15">
        <v>40</v>
      </c>
      <c r="I1858" s="14"/>
      <c r="J1858" s="15">
        <v>160</v>
      </c>
      <c r="K1858" s="5">
        <v>3</v>
      </c>
      <c r="L1858" s="16">
        <v>52</v>
      </c>
      <c r="M1858" s="12"/>
      <c r="N1858" s="14">
        <f t="shared" si="79"/>
        <v>0</v>
      </c>
      <c r="O1858" s="28">
        <f>0.74*M1858</f>
        <v>0</v>
      </c>
      <c r="P1858" s="24">
        <f>0.00072*M1858</f>
        <v>0</v>
      </c>
      <c r="Q1858" s="25"/>
      <c r="R1858" s="26"/>
      <c r="S1858" s="26" t="s">
        <v>29</v>
      </c>
      <c r="T1858" s="6"/>
      <c r="U1858" s="6" t="s">
        <v>5673</v>
      </c>
      <c r="V1858" s="33" t="s">
        <v>35</v>
      </c>
    </row>
    <row r="1859" spans="2:22" ht="22.95" customHeight="1" outlineLevel="5" x14ac:dyDescent="0.2">
      <c r="B1859" s="83" t="s">
        <v>5675</v>
      </c>
      <c r="C1859" s="83"/>
      <c r="D1859" s="83"/>
      <c r="L1859">
        <v>0</v>
      </c>
    </row>
    <row r="1860" spans="2:22" ht="21" customHeight="1" outlineLevel="6" x14ac:dyDescent="0.2">
      <c r="B1860" s="69">
        <v>1342</v>
      </c>
      <c r="C1860" s="6" t="s">
        <v>5676</v>
      </c>
      <c r="D1860" s="6" t="s">
        <v>5677</v>
      </c>
      <c r="E1860" s="7" t="s">
        <v>5678</v>
      </c>
      <c r="F1860" s="13"/>
      <c r="G1860" s="14"/>
      <c r="H1860" s="15">
        <v>40</v>
      </c>
      <c r="I1860" s="14"/>
      <c r="J1860" s="15">
        <v>290</v>
      </c>
      <c r="K1860" s="5">
        <v>4</v>
      </c>
      <c r="L1860" s="16">
        <v>78.666666666666671</v>
      </c>
      <c r="M1860" s="12"/>
      <c r="N1860" s="14">
        <f t="shared" ref="N1860:N1871" si="80">L1860*M1860</f>
        <v>0</v>
      </c>
      <c r="O1860" s="28">
        <f>0.05*M1860</f>
        <v>0</v>
      </c>
      <c r="P1860" s="24">
        <f>0.00047*M1860</f>
        <v>0</v>
      </c>
      <c r="Q1860" s="25"/>
      <c r="R1860" s="26" t="s">
        <v>5679</v>
      </c>
      <c r="S1860" s="26" t="s">
        <v>29</v>
      </c>
      <c r="T1860" s="6" t="str">
        <f>HYPERLINK("https://kanzpp.ru/api/getInfo/image/456e771e-5adc-11ef-a262-00155d82e908")</f>
        <v>https://kanzpp.ru/api/getInfo/image/456e771e-5adc-11ef-a262-00155d82e908</v>
      </c>
      <c r="U1860" s="6"/>
      <c r="V1860" s="33" t="s">
        <v>35</v>
      </c>
    </row>
    <row r="1861" spans="2:22" ht="21" customHeight="1" outlineLevel="6" x14ac:dyDescent="0.2">
      <c r="B1861" s="69">
        <v>1343</v>
      </c>
      <c r="C1861" s="6" t="s">
        <v>5680</v>
      </c>
      <c r="D1861" s="6" t="s">
        <v>5681</v>
      </c>
      <c r="E1861" s="7" t="s">
        <v>5682</v>
      </c>
      <c r="F1861" s="13"/>
      <c r="G1861" s="14"/>
      <c r="H1861" s="15">
        <v>40</v>
      </c>
      <c r="I1861" s="14"/>
      <c r="J1861" s="15">
        <v>346</v>
      </c>
      <c r="K1861" s="5">
        <v>4</v>
      </c>
      <c r="L1861" s="16">
        <v>78.666666666666671</v>
      </c>
      <c r="M1861" s="12"/>
      <c r="N1861" s="14">
        <f t="shared" si="80"/>
        <v>0</v>
      </c>
      <c r="O1861" s="23">
        <f>0.074*M1861</f>
        <v>0</v>
      </c>
      <c r="P1861" s="24">
        <f>0.00021*M1861</f>
        <v>0</v>
      </c>
      <c r="Q1861" s="25"/>
      <c r="R1861" s="26" t="s">
        <v>5683</v>
      </c>
      <c r="S1861" s="26" t="s">
        <v>29</v>
      </c>
      <c r="T1861" s="6" t="str">
        <f>HYPERLINK("https://kanzpp.ru/api/getInfo/image/4d76a8b9-c99b-11ee-a25a-00155d82e908")</f>
        <v>https://kanzpp.ru/api/getInfo/image/4d76a8b9-c99b-11ee-a25a-00155d82e908</v>
      </c>
      <c r="U1861" s="6"/>
      <c r="V1861" s="33" t="s">
        <v>35</v>
      </c>
    </row>
    <row r="1862" spans="2:22" ht="21" customHeight="1" outlineLevel="6" x14ac:dyDescent="0.2">
      <c r="B1862" s="69">
        <v>1344</v>
      </c>
      <c r="C1862" s="6" t="s">
        <v>5684</v>
      </c>
      <c r="D1862" s="6" t="s">
        <v>5685</v>
      </c>
      <c r="E1862" s="7" t="s">
        <v>5686</v>
      </c>
      <c r="F1862" s="13"/>
      <c r="G1862" s="14"/>
      <c r="H1862" s="15">
        <v>40</v>
      </c>
      <c r="I1862" s="14"/>
      <c r="J1862" s="15">
        <v>435</v>
      </c>
      <c r="K1862" s="5">
        <v>4</v>
      </c>
      <c r="L1862" s="16">
        <v>78.666666666666671</v>
      </c>
      <c r="M1862" s="12"/>
      <c r="N1862" s="14">
        <f t="shared" si="80"/>
        <v>0</v>
      </c>
      <c r="O1862" s="23">
        <f>0.072*M1862</f>
        <v>0</v>
      </c>
      <c r="P1862" s="24">
        <f>0.00077*M1862</f>
        <v>0</v>
      </c>
      <c r="Q1862" s="25"/>
      <c r="R1862" s="26" t="s">
        <v>5687</v>
      </c>
      <c r="S1862" s="26" t="s">
        <v>29</v>
      </c>
      <c r="T1862" s="6" t="str">
        <f>HYPERLINK("https://kanzpp.ru/api/getInfo/image/a2ac6c4e-c99c-11ee-a25a-00155d82e908")</f>
        <v>https://kanzpp.ru/api/getInfo/image/a2ac6c4e-c99c-11ee-a25a-00155d82e908</v>
      </c>
      <c r="U1862" s="6"/>
      <c r="V1862" s="33" t="s">
        <v>35</v>
      </c>
    </row>
    <row r="1863" spans="2:22" ht="21" customHeight="1" outlineLevel="6" x14ac:dyDescent="0.2">
      <c r="B1863" s="69">
        <v>1345</v>
      </c>
      <c r="C1863" s="6" t="s">
        <v>5688</v>
      </c>
      <c r="D1863" s="6" t="s">
        <v>5689</v>
      </c>
      <c r="E1863" s="7" t="s">
        <v>5690</v>
      </c>
      <c r="F1863" s="13"/>
      <c r="G1863" s="14"/>
      <c r="H1863" s="15">
        <v>40</v>
      </c>
      <c r="I1863" s="14"/>
      <c r="J1863" s="15">
        <v>4</v>
      </c>
      <c r="K1863" s="5">
        <v>4</v>
      </c>
      <c r="L1863" s="16">
        <v>78.666666666666671</v>
      </c>
      <c r="M1863" s="12"/>
      <c r="N1863" s="14">
        <f t="shared" si="80"/>
        <v>0</v>
      </c>
      <c r="O1863" s="23">
        <f>0.073*M1863</f>
        <v>0</v>
      </c>
      <c r="P1863" s="31">
        <f>0.0004*M1863</f>
        <v>0</v>
      </c>
      <c r="Q1863" s="25"/>
      <c r="R1863" s="26" t="s">
        <v>5691</v>
      </c>
      <c r="S1863" s="26" t="s">
        <v>29</v>
      </c>
      <c r="T1863" s="6" t="str">
        <f>HYPERLINK("https://kanzpp.ru/api/getInfo/image/a667fb6b-c99b-11ee-a25a-00155d82e908")</f>
        <v>https://kanzpp.ru/api/getInfo/image/a667fb6b-c99b-11ee-a25a-00155d82e908</v>
      </c>
      <c r="U1863" s="6"/>
      <c r="V1863" s="33" t="s">
        <v>35</v>
      </c>
    </row>
    <row r="1864" spans="2:22" ht="21" customHeight="1" outlineLevel="6" x14ac:dyDescent="0.2">
      <c r="B1864" s="69">
        <v>1346</v>
      </c>
      <c r="C1864" s="6" t="s">
        <v>5692</v>
      </c>
      <c r="D1864" s="6" t="s">
        <v>5693</v>
      </c>
      <c r="E1864" s="7" t="s">
        <v>5694</v>
      </c>
      <c r="F1864" s="13"/>
      <c r="G1864" s="14"/>
      <c r="H1864" s="15">
        <v>40</v>
      </c>
      <c r="I1864" s="14"/>
      <c r="J1864" s="15">
        <v>453</v>
      </c>
      <c r="K1864" s="5">
        <v>4</v>
      </c>
      <c r="L1864" s="16">
        <v>78.666666666666671</v>
      </c>
      <c r="M1864" s="12"/>
      <c r="N1864" s="14">
        <f t="shared" si="80"/>
        <v>0</v>
      </c>
      <c r="O1864" s="28">
        <f>0.08*M1864</f>
        <v>0</v>
      </c>
      <c r="P1864" s="24">
        <f>0.00056*M1864</f>
        <v>0</v>
      </c>
      <c r="Q1864" s="25"/>
      <c r="R1864" s="26" t="s">
        <v>5695</v>
      </c>
      <c r="S1864" s="26" t="s">
        <v>29</v>
      </c>
      <c r="T1864" s="6" t="str">
        <f>HYPERLINK("https://kanzpp.ru/api/getInfo/image/21d153b6-c99d-11ee-a25a-00155d82e908")</f>
        <v>https://kanzpp.ru/api/getInfo/image/21d153b6-c99d-11ee-a25a-00155d82e908</v>
      </c>
      <c r="U1864" s="6"/>
      <c r="V1864" s="33" t="s">
        <v>35</v>
      </c>
    </row>
    <row r="1865" spans="2:22" ht="21" customHeight="1" outlineLevel="6" x14ac:dyDescent="0.2">
      <c r="B1865" s="69">
        <v>1347</v>
      </c>
      <c r="C1865" s="6" t="s">
        <v>5696</v>
      </c>
      <c r="D1865" s="6" t="s">
        <v>5697</v>
      </c>
      <c r="E1865" s="7" t="s">
        <v>5698</v>
      </c>
      <c r="F1865" s="13"/>
      <c r="G1865" s="14"/>
      <c r="H1865" s="15">
        <v>40</v>
      </c>
      <c r="I1865" s="14"/>
      <c r="J1865" s="15">
        <v>420</v>
      </c>
      <c r="K1865" s="5">
        <v>4</v>
      </c>
      <c r="L1865" s="16">
        <v>78.666666666666671</v>
      </c>
      <c r="M1865" s="12"/>
      <c r="N1865" s="14">
        <f t="shared" si="80"/>
        <v>0</v>
      </c>
      <c r="O1865" s="28">
        <f>0.05*M1865</f>
        <v>0</v>
      </c>
      <c r="P1865" s="24">
        <f>0.00047*M1865</f>
        <v>0</v>
      </c>
      <c r="Q1865" s="25"/>
      <c r="R1865" s="26" t="s">
        <v>5699</v>
      </c>
      <c r="S1865" s="26" t="s">
        <v>29</v>
      </c>
      <c r="T1865" s="6" t="str">
        <f>HYPERLINK("https://kanzpp.ru/api/getInfo/image/0c6c5a80-c99c-11ee-a25a-00155d82e908")</f>
        <v>https://kanzpp.ru/api/getInfo/image/0c6c5a80-c99c-11ee-a25a-00155d82e908</v>
      </c>
      <c r="U1865" s="6"/>
      <c r="V1865" s="33" t="s">
        <v>35</v>
      </c>
    </row>
    <row r="1866" spans="2:22" ht="21" customHeight="1" outlineLevel="6" x14ac:dyDescent="0.2">
      <c r="B1866" s="69">
        <v>1348</v>
      </c>
      <c r="C1866" s="6" t="s">
        <v>5700</v>
      </c>
      <c r="D1866" s="6" t="s">
        <v>5701</v>
      </c>
      <c r="E1866" s="7" t="s">
        <v>5702</v>
      </c>
      <c r="F1866" s="13"/>
      <c r="G1866" s="14"/>
      <c r="H1866" s="15">
        <v>40</v>
      </c>
      <c r="I1866" s="14"/>
      <c r="J1866" s="15">
        <v>429</v>
      </c>
      <c r="K1866" s="5">
        <v>4</v>
      </c>
      <c r="L1866" s="16">
        <v>78.666666666666671</v>
      </c>
      <c r="M1866" s="12"/>
      <c r="N1866" s="14">
        <f t="shared" si="80"/>
        <v>0</v>
      </c>
      <c r="O1866" s="23">
        <f>0.073*M1866</f>
        <v>0</v>
      </c>
      <c r="P1866" s="31">
        <f>0.0004*M1866</f>
        <v>0</v>
      </c>
      <c r="Q1866" s="25"/>
      <c r="R1866" s="26" t="s">
        <v>5703</v>
      </c>
      <c r="S1866" s="26" t="s">
        <v>29</v>
      </c>
      <c r="T1866" s="6" t="str">
        <f>HYPERLINK("https://kanzpp.ru/api/getInfo/image/78c06d10-c99b-11ee-a25a-00155d82e908")</f>
        <v>https://kanzpp.ru/api/getInfo/image/78c06d10-c99b-11ee-a25a-00155d82e908</v>
      </c>
      <c r="U1866" s="6"/>
      <c r="V1866" s="33" t="s">
        <v>35</v>
      </c>
    </row>
    <row r="1867" spans="2:22" ht="21" customHeight="1" outlineLevel="6" x14ac:dyDescent="0.2">
      <c r="B1867" s="69">
        <v>1349</v>
      </c>
      <c r="C1867" s="6" t="s">
        <v>5704</v>
      </c>
      <c r="D1867" s="6" t="s">
        <v>5705</v>
      </c>
      <c r="E1867" s="7" t="s">
        <v>5706</v>
      </c>
      <c r="F1867" s="13"/>
      <c r="G1867" s="14"/>
      <c r="H1867" s="15">
        <v>40</v>
      </c>
      <c r="I1867" s="14"/>
      <c r="J1867" s="15">
        <v>250</v>
      </c>
      <c r="K1867" s="5">
        <v>4</v>
      </c>
      <c r="L1867" s="16">
        <v>78.666666666666671</v>
      </c>
      <c r="M1867" s="12"/>
      <c r="N1867" s="14">
        <f t="shared" si="80"/>
        <v>0</v>
      </c>
      <c r="O1867" s="23">
        <f>0.073*M1867</f>
        <v>0</v>
      </c>
      <c r="P1867" s="24">
        <f>0.00055*M1867</f>
        <v>0</v>
      </c>
      <c r="Q1867" s="25"/>
      <c r="R1867" s="26" t="s">
        <v>5707</v>
      </c>
      <c r="S1867" s="26" t="s">
        <v>29</v>
      </c>
      <c r="T1867" s="6" t="str">
        <f>HYPERLINK("https://kanzpp.ru/api/getInfo/image/2250a856-c999-11ee-a25a-00155d82e908")</f>
        <v>https://kanzpp.ru/api/getInfo/image/2250a856-c999-11ee-a25a-00155d82e908</v>
      </c>
      <c r="U1867" s="6"/>
      <c r="V1867" s="33" t="s">
        <v>35</v>
      </c>
    </row>
    <row r="1868" spans="2:22" ht="21" customHeight="1" outlineLevel="6" x14ac:dyDescent="0.2">
      <c r="B1868" s="69">
        <v>1350</v>
      </c>
      <c r="C1868" s="6" t="s">
        <v>5708</v>
      </c>
      <c r="D1868" s="6" t="s">
        <v>5709</v>
      </c>
      <c r="E1868" s="7" t="s">
        <v>5710</v>
      </c>
      <c r="F1868" s="13"/>
      <c r="G1868" s="14"/>
      <c r="H1868" s="15">
        <v>40</v>
      </c>
      <c r="I1868" s="14"/>
      <c r="J1868" s="15">
        <v>322</v>
      </c>
      <c r="K1868" s="5">
        <v>4</v>
      </c>
      <c r="L1868" s="16">
        <v>78.666666666666671</v>
      </c>
      <c r="M1868" s="12"/>
      <c r="N1868" s="14">
        <f t="shared" si="80"/>
        <v>0</v>
      </c>
      <c r="O1868" s="28">
        <f>0.05*M1868</f>
        <v>0</v>
      </c>
      <c r="P1868" s="24">
        <f>0.00047*M1868</f>
        <v>0</v>
      </c>
      <c r="Q1868" s="25"/>
      <c r="R1868" s="26" t="s">
        <v>5711</v>
      </c>
      <c r="S1868" s="26" t="s">
        <v>29</v>
      </c>
      <c r="T1868" s="6" t="str">
        <f>HYPERLINK("https://kanzpp.ru/api/getInfo/image/6f841772-c99c-11ee-a25a-00155d82e908")</f>
        <v>https://kanzpp.ru/api/getInfo/image/6f841772-c99c-11ee-a25a-00155d82e908</v>
      </c>
      <c r="U1868" s="6"/>
      <c r="V1868" s="33" t="s">
        <v>35</v>
      </c>
    </row>
    <row r="1869" spans="2:22" ht="21" customHeight="1" outlineLevel="6" x14ac:dyDescent="0.2">
      <c r="B1869" s="69">
        <v>1351</v>
      </c>
      <c r="C1869" s="6" t="s">
        <v>5712</v>
      </c>
      <c r="D1869" s="6" t="s">
        <v>5713</v>
      </c>
      <c r="E1869" s="7" t="s">
        <v>5714</v>
      </c>
      <c r="F1869" s="13"/>
      <c r="G1869" s="14"/>
      <c r="H1869" s="15">
        <v>40</v>
      </c>
      <c r="I1869" s="14"/>
      <c r="J1869" s="15">
        <v>190</v>
      </c>
      <c r="K1869" s="5">
        <v>4</v>
      </c>
      <c r="L1869" s="16">
        <v>78.666666666666671</v>
      </c>
      <c r="M1869" s="12"/>
      <c r="N1869" s="14">
        <f t="shared" si="80"/>
        <v>0</v>
      </c>
      <c r="O1869" s="28">
        <f>0.05*M1869</f>
        <v>0</v>
      </c>
      <c r="P1869" s="24">
        <f>0.00047*M1869</f>
        <v>0</v>
      </c>
      <c r="Q1869" s="25"/>
      <c r="R1869" s="26" t="s">
        <v>5715</v>
      </c>
      <c r="S1869" s="26" t="s">
        <v>29</v>
      </c>
      <c r="T1869" s="6" t="str">
        <f>HYPERLINK("https://kanzpp.ru/api/getInfo/image/96515a71-c99e-11ee-a25a-00155d82e908")</f>
        <v>https://kanzpp.ru/api/getInfo/image/96515a71-c99e-11ee-a25a-00155d82e908</v>
      </c>
      <c r="U1869" s="6"/>
      <c r="V1869" s="33" t="s">
        <v>35</v>
      </c>
    </row>
    <row r="1870" spans="2:22" ht="21" customHeight="1" outlineLevel="6" x14ac:dyDescent="0.2">
      <c r="B1870" s="69">
        <v>1352</v>
      </c>
      <c r="C1870" s="6" t="s">
        <v>5716</v>
      </c>
      <c r="D1870" s="6" t="s">
        <v>5717</v>
      </c>
      <c r="E1870" s="7" t="s">
        <v>5718</v>
      </c>
      <c r="F1870" s="13"/>
      <c r="G1870" s="14"/>
      <c r="H1870" s="15">
        <v>40</v>
      </c>
      <c r="I1870" s="14"/>
      <c r="J1870" s="15">
        <v>419</v>
      </c>
      <c r="K1870" s="5">
        <v>4</v>
      </c>
      <c r="L1870" s="16">
        <v>78.666666666666671</v>
      </c>
      <c r="M1870" s="12"/>
      <c r="N1870" s="14">
        <f t="shared" si="80"/>
        <v>0</v>
      </c>
      <c r="O1870" s="23">
        <f>0.066*M1870</f>
        <v>0</v>
      </c>
      <c r="P1870" s="31">
        <f>0.0005*M1870</f>
        <v>0</v>
      </c>
      <c r="Q1870" s="25"/>
      <c r="R1870" s="26" t="s">
        <v>5719</v>
      </c>
      <c r="S1870" s="26" t="s">
        <v>29</v>
      </c>
      <c r="T1870" s="6" t="str">
        <f>HYPERLINK("https://kanzpp.ru/api/getInfo/image/554b580a-c99d-11ee-a25a-00155d82e908")</f>
        <v>https://kanzpp.ru/api/getInfo/image/554b580a-c99d-11ee-a25a-00155d82e908</v>
      </c>
      <c r="U1870" s="6"/>
      <c r="V1870" s="33" t="s">
        <v>35</v>
      </c>
    </row>
    <row r="1871" spans="2:22" ht="21" customHeight="1" outlineLevel="6" x14ac:dyDescent="0.2">
      <c r="B1871" s="69">
        <v>1353</v>
      </c>
      <c r="C1871" s="6" t="s">
        <v>5720</v>
      </c>
      <c r="D1871" s="6" t="s">
        <v>5721</v>
      </c>
      <c r="E1871" s="7" t="s">
        <v>5722</v>
      </c>
      <c r="F1871" s="13"/>
      <c r="G1871" s="14"/>
      <c r="H1871" s="15">
        <v>40</v>
      </c>
      <c r="I1871" s="14"/>
      <c r="J1871" s="15">
        <v>439</v>
      </c>
      <c r="K1871" s="5">
        <v>4</v>
      </c>
      <c r="L1871" s="16">
        <v>78.666666666666671</v>
      </c>
      <c r="M1871" s="12"/>
      <c r="N1871" s="14">
        <f t="shared" si="80"/>
        <v>0</v>
      </c>
      <c r="O1871" s="23">
        <f>0.075*M1871</f>
        <v>0</v>
      </c>
      <c r="P1871" s="24">
        <f>0.00028*M1871</f>
        <v>0</v>
      </c>
      <c r="Q1871" s="25"/>
      <c r="R1871" s="26" t="s">
        <v>5723</v>
      </c>
      <c r="S1871" s="26" t="s">
        <v>29</v>
      </c>
      <c r="T1871" s="6" t="str">
        <f>HYPERLINK("https://kanzpp.ru/api/getInfo/image/95fa18b6-c99d-11ee-a25a-00155d82e908")</f>
        <v>https://kanzpp.ru/api/getInfo/image/95fa18b6-c99d-11ee-a25a-00155d82e908</v>
      </c>
      <c r="U1871" s="6"/>
      <c r="V1871" s="33" t="s">
        <v>35</v>
      </c>
    </row>
    <row r="1872" spans="2:22" ht="22.95" customHeight="1" outlineLevel="4" x14ac:dyDescent="0.2">
      <c r="B1872" s="82" t="s">
        <v>5724</v>
      </c>
      <c r="C1872" s="82"/>
      <c r="D1872" s="82"/>
      <c r="L1872">
        <v>0</v>
      </c>
    </row>
    <row r="1873" spans="2:22" ht="22.95" customHeight="1" outlineLevel="5" x14ac:dyDescent="0.2">
      <c r="B1873" s="83" t="s">
        <v>5725</v>
      </c>
      <c r="C1873" s="83"/>
      <c r="D1873" s="83"/>
      <c r="L1873">
        <v>0</v>
      </c>
    </row>
    <row r="1874" spans="2:22" ht="21" customHeight="1" outlineLevel="6" x14ac:dyDescent="0.2">
      <c r="B1874" s="69">
        <v>1354</v>
      </c>
      <c r="C1874" s="6" t="s">
        <v>5726</v>
      </c>
      <c r="D1874" s="6" t="s">
        <v>5727</v>
      </c>
      <c r="E1874" s="7" t="s">
        <v>5728</v>
      </c>
      <c r="F1874" s="13"/>
      <c r="G1874" s="14"/>
      <c r="H1874" s="15">
        <v>32</v>
      </c>
      <c r="I1874" s="14"/>
      <c r="J1874" s="15">
        <v>86</v>
      </c>
      <c r="K1874" s="5">
        <v>3</v>
      </c>
      <c r="L1874" s="16">
        <v>92</v>
      </c>
      <c r="M1874" s="12"/>
      <c r="N1874" s="14">
        <f t="shared" ref="N1874:N1882" si="81">L1874*M1874</f>
        <v>0</v>
      </c>
      <c r="O1874" s="27">
        <f>0.1*M1874</f>
        <v>0</v>
      </c>
      <c r="P1874" s="24">
        <f>0.00091*M1874</f>
        <v>0</v>
      </c>
      <c r="Q1874" s="25"/>
      <c r="R1874" s="26" t="s">
        <v>5729</v>
      </c>
      <c r="S1874" s="26" t="s">
        <v>29</v>
      </c>
      <c r="T1874" s="6" t="str">
        <f>HYPERLINK("https://kanzpp.ru/api/getInfo/image/9ec8baaa-40d1-11ee-a243-00155d82e902")</f>
        <v>https://kanzpp.ru/api/getInfo/image/9ec8baaa-40d1-11ee-a243-00155d82e902</v>
      </c>
      <c r="U1874" s="6"/>
      <c r="V1874" s="33" t="s">
        <v>35</v>
      </c>
    </row>
    <row r="1875" spans="2:22" ht="21" customHeight="1" outlineLevel="6" x14ac:dyDescent="0.2">
      <c r="B1875" s="69">
        <v>1355</v>
      </c>
      <c r="C1875" s="6" t="s">
        <v>5730</v>
      </c>
      <c r="D1875" s="6" t="s">
        <v>5731</v>
      </c>
      <c r="E1875" s="7" t="s">
        <v>5732</v>
      </c>
      <c r="F1875" s="13"/>
      <c r="G1875" s="14"/>
      <c r="H1875" s="15">
        <v>32</v>
      </c>
      <c r="I1875" s="14"/>
      <c r="J1875" s="15">
        <v>539</v>
      </c>
      <c r="K1875" s="5">
        <v>3</v>
      </c>
      <c r="L1875" s="16">
        <v>92</v>
      </c>
      <c r="M1875" s="12"/>
      <c r="N1875" s="14">
        <f t="shared" si="81"/>
        <v>0</v>
      </c>
      <c r="O1875" s="27">
        <f>0.1*M1875</f>
        <v>0</v>
      </c>
      <c r="P1875" s="24">
        <f>0.00091*M1875</f>
        <v>0</v>
      </c>
      <c r="Q1875" s="25"/>
      <c r="R1875" s="26" t="s">
        <v>5733</v>
      </c>
      <c r="S1875" s="26" t="s">
        <v>29</v>
      </c>
      <c r="T1875" s="6" t="str">
        <f>HYPERLINK("https://kanzpp.ru/api/getInfo/image/1117188f-40d1-11ee-a243-00155d82e902")</f>
        <v>https://kanzpp.ru/api/getInfo/image/1117188f-40d1-11ee-a243-00155d82e902</v>
      </c>
      <c r="U1875" s="6"/>
      <c r="V1875" s="33" t="s">
        <v>35</v>
      </c>
    </row>
    <row r="1876" spans="2:22" ht="21" customHeight="1" outlineLevel="6" x14ac:dyDescent="0.2">
      <c r="B1876" s="69">
        <v>1356</v>
      </c>
      <c r="C1876" s="6" t="s">
        <v>5734</v>
      </c>
      <c r="D1876" s="6" t="s">
        <v>5735</v>
      </c>
      <c r="E1876" s="7" t="s">
        <v>5736</v>
      </c>
      <c r="F1876" s="13"/>
      <c r="G1876" s="14"/>
      <c r="H1876" s="15">
        <v>32</v>
      </c>
      <c r="I1876" s="14"/>
      <c r="J1876" s="14" t="s">
        <v>144</v>
      </c>
      <c r="K1876" s="5">
        <v>3</v>
      </c>
      <c r="L1876" s="16">
        <v>92</v>
      </c>
      <c r="M1876" s="12"/>
      <c r="N1876" s="14">
        <f t="shared" si="81"/>
        <v>0</v>
      </c>
      <c r="O1876" s="23">
        <f>0.105*M1876</f>
        <v>0</v>
      </c>
      <c r="P1876" s="24">
        <f>0.00101*M1876</f>
        <v>0</v>
      </c>
      <c r="Q1876" s="25"/>
      <c r="R1876" s="26" t="s">
        <v>5737</v>
      </c>
      <c r="S1876" s="26" t="s">
        <v>29</v>
      </c>
      <c r="T1876" s="6" t="str">
        <f>HYPERLINK("https://kanzpp.ru/api/getInfo/image/3c651ecd-40d8-11ee-a243-00155d82e902")</f>
        <v>https://kanzpp.ru/api/getInfo/image/3c651ecd-40d8-11ee-a243-00155d82e902</v>
      </c>
      <c r="U1876" s="6"/>
      <c r="V1876" s="33" t="s">
        <v>35</v>
      </c>
    </row>
    <row r="1877" spans="2:22" ht="21" customHeight="1" outlineLevel="6" x14ac:dyDescent="0.2">
      <c r="B1877" s="69">
        <v>1357</v>
      </c>
      <c r="C1877" s="6" t="s">
        <v>5738</v>
      </c>
      <c r="D1877" s="6" t="s">
        <v>5739</v>
      </c>
      <c r="E1877" s="7" t="s">
        <v>5740</v>
      </c>
      <c r="F1877" s="13"/>
      <c r="G1877" s="14"/>
      <c r="H1877" s="15">
        <v>32</v>
      </c>
      <c r="I1877" s="14"/>
      <c r="J1877" s="14" t="s">
        <v>144</v>
      </c>
      <c r="K1877" s="5">
        <v>3</v>
      </c>
      <c r="L1877" s="16">
        <v>92</v>
      </c>
      <c r="M1877" s="12"/>
      <c r="N1877" s="14">
        <f t="shared" si="81"/>
        <v>0</v>
      </c>
      <c r="O1877" s="27">
        <f>0.1*M1877</f>
        <v>0</v>
      </c>
      <c r="P1877" s="24">
        <f>0.00091*M1877</f>
        <v>0</v>
      </c>
      <c r="Q1877" s="25"/>
      <c r="R1877" s="26" t="s">
        <v>5741</v>
      </c>
      <c r="S1877" s="26" t="s">
        <v>29</v>
      </c>
      <c r="T1877" s="6" t="str">
        <f>HYPERLINK("https://kanzpp.ru/api/getInfo/image/a1f673f4-40d2-11ee-a243-00155d82e902")</f>
        <v>https://kanzpp.ru/api/getInfo/image/a1f673f4-40d2-11ee-a243-00155d82e902</v>
      </c>
      <c r="U1877" s="6"/>
      <c r="V1877" s="33" t="s">
        <v>35</v>
      </c>
    </row>
    <row r="1878" spans="2:22" ht="21" customHeight="1" outlineLevel="6" x14ac:dyDescent="0.2">
      <c r="B1878" s="69">
        <v>1358</v>
      </c>
      <c r="C1878" s="6" t="s">
        <v>5742</v>
      </c>
      <c r="D1878" s="6" t="s">
        <v>5743</v>
      </c>
      <c r="E1878" s="7" t="s">
        <v>5744</v>
      </c>
      <c r="F1878" s="13"/>
      <c r="G1878" s="14"/>
      <c r="H1878" s="15">
        <v>32</v>
      </c>
      <c r="I1878" s="14"/>
      <c r="J1878" s="14" t="s">
        <v>144</v>
      </c>
      <c r="K1878" s="5">
        <v>3</v>
      </c>
      <c r="L1878" s="16">
        <v>92</v>
      </c>
      <c r="M1878" s="12"/>
      <c r="N1878" s="14">
        <f t="shared" si="81"/>
        <v>0</v>
      </c>
      <c r="O1878" s="27">
        <f>0.1*M1878</f>
        <v>0</v>
      </c>
      <c r="P1878" s="24">
        <f>0.00091*M1878</f>
        <v>0</v>
      </c>
      <c r="Q1878" s="25"/>
      <c r="R1878" s="26" t="s">
        <v>5745</v>
      </c>
      <c r="S1878" s="26" t="s">
        <v>29</v>
      </c>
      <c r="T1878" s="6" t="str">
        <f>HYPERLINK("https://kanzpp.ru/api/getInfo/image/d8ec73fd-40d6-11ee-a243-00155d82e902")</f>
        <v>https://kanzpp.ru/api/getInfo/image/d8ec73fd-40d6-11ee-a243-00155d82e902</v>
      </c>
      <c r="U1878" s="6"/>
      <c r="V1878" s="33" t="s">
        <v>35</v>
      </c>
    </row>
    <row r="1879" spans="2:22" ht="21" customHeight="1" outlineLevel="6" x14ac:dyDescent="0.2">
      <c r="B1879" s="69">
        <v>1359</v>
      </c>
      <c r="C1879" s="6" t="s">
        <v>5746</v>
      </c>
      <c r="D1879" s="6" t="s">
        <v>5747</v>
      </c>
      <c r="E1879" s="7" t="s">
        <v>5748</v>
      </c>
      <c r="F1879" s="13"/>
      <c r="G1879" s="14"/>
      <c r="H1879" s="15">
        <v>32</v>
      </c>
      <c r="I1879" s="14"/>
      <c r="J1879" s="14" t="s">
        <v>144</v>
      </c>
      <c r="K1879" s="5">
        <v>3</v>
      </c>
      <c r="L1879" s="16">
        <v>92</v>
      </c>
      <c r="M1879" s="12"/>
      <c r="N1879" s="14">
        <f t="shared" si="81"/>
        <v>0</v>
      </c>
      <c r="O1879" s="23">
        <f>0.099*M1879</f>
        <v>0</v>
      </c>
      <c r="P1879" s="24">
        <f>0.00056*M1879</f>
        <v>0</v>
      </c>
      <c r="Q1879" s="25"/>
      <c r="R1879" s="26" t="s">
        <v>5749</v>
      </c>
      <c r="S1879" s="26" t="s">
        <v>29</v>
      </c>
      <c r="T1879" s="6" t="str">
        <f>HYPERLINK("https://kanzpp.ru/api/getInfo/image/16162987-40d7-11ee-a243-00155d82e902")</f>
        <v>https://kanzpp.ru/api/getInfo/image/16162987-40d7-11ee-a243-00155d82e902</v>
      </c>
      <c r="U1879" s="6"/>
      <c r="V1879" s="33" t="s">
        <v>35</v>
      </c>
    </row>
    <row r="1880" spans="2:22" ht="21" customHeight="1" outlineLevel="6" x14ac:dyDescent="0.2">
      <c r="B1880" s="69">
        <v>1360</v>
      </c>
      <c r="C1880" s="6" t="s">
        <v>5750</v>
      </c>
      <c r="D1880" s="6" t="s">
        <v>5751</v>
      </c>
      <c r="E1880" s="7" t="s">
        <v>5752</v>
      </c>
      <c r="F1880" s="13"/>
      <c r="G1880" s="14"/>
      <c r="H1880" s="15">
        <v>32</v>
      </c>
      <c r="I1880" s="14"/>
      <c r="J1880" s="15">
        <v>630</v>
      </c>
      <c r="K1880" s="5">
        <v>3</v>
      </c>
      <c r="L1880" s="16">
        <v>92</v>
      </c>
      <c r="M1880" s="12"/>
      <c r="N1880" s="14">
        <f t="shared" si="81"/>
        <v>0</v>
      </c>
      <c r="O1880" s="27">
        <f>0.1*M1880</f>
        <v>0</v>
      </c>
      <c r="P1880" s="24">
        <f>0.00091*M1880</f>
        <v>0</v>
      </c>
      <c r="Q1880" s="25"/>
      <c r="R1880" s="26" t="s">
        <v>5753</v>
      </c>
      <c r="S1880" s="26" t="s">
        <v>29</v>
      </c>
      <c r="T1880" s="6" t="str">
        <f>HYPERLINK("https://kanzpp.ru/api/getInfo/image/449ead18-40cd-11ee-a243-00155d82e902")</f>
        <v>https://kanzpp.ru/api/getInfo/image/449ead18-40cd-11ee-a243-00155d82e902</v>
      </c>
      <c r="U1880" s="6"/>
      <c r="V1880" s="33" t="s">
        <v>35</v>
      </c>
    </row>
    <row r="1881" spans="2:22" ht="21" customHeight="1" outlineLevel="6" x14ac:dyDescent="0.2">
      <c r="B1881" s="69">
        <v>1361</v>
      </c>
      <c r="C1881" s="6" t="s">
        <v>5754</v>
      </c>
      <c r="D1881" s="6" t="s">
        <v>5755</v>
      </c>
      <c r="E1881" s="7" t="s">
        <v>5756</v>
      </c>
      <c r="F1881" s="13"/>
      <c r="G1881" s="14"/>
      <c r="H1881" s="15">
        <v>32</v>
      </c>
      <c r="I1881" s="14"/>
      <c r="J1881" s="14" t="s">
        <v>144</v>
      </c>
      <c r="K1881" s="5">
        <v>3</v>
      </c>
      <c r="L1881" s="16">
        <v>92</v>
      </c>
      <c r="M1881" s="12"/>
      <c r="N1881" s="14">
        <f t="shared" si="81"/>
        <v>0</v>
      </c>
      <c r="O1881" s="27">
        <f>0.1*M1881</f>
        <v>0</v>
      </c>
      <c r="P1881" s="24">
        <f>0.00089*M1881</f>
        <v>0</v>
      </c>
      <c r="Q1881" s="25"/>
      <c r="R1881" s="26" t="s">
        <v>5757</v>
      </c>
      <c r="S1881" s="26" t="s">
        <v>29</v>
      </c>
      <c r="T1881" s="6" t="str">
        <f>HYPERLINK("https://kanzpp.ru/api/getInfo/image/7f48a508-40cd-11ee-a243-00155d82e902")</f>
        <v>https://kanzpp.ru/api/getInfo/image/7f48a508-40cd-11ee-a243-00155d82e902</v>
      </c>
      <c r="U1881" s="6"/>
      <c r="V1881" s="33" t="s">
        <v>35</v>
      </c>
    </row>
    <row r="1882" spans="2:22" ht="21" customHeight="1" outlineLevel="6" x14ac:dyDescent="0.2">
      <c r="B1882" s="69">
        <v>1362</v>
      </c>
      <c r="C1882" s="6" t="s">
        <v>5758</v>
      </c>
      <c r="D1882" s="6" t="s">
        <v>5759</v>
      </c>
      <c r="E1882" s="7" t="s">
        <v>5760</v>
      </c>
      <c r="F1882" s="13"/>
      <c r="G1882" s="14"/>
      <c r="H1882" s="15">
        <v>32</v>
      </c>
      <c r="I1882" s="14"/>
      <c r="J1882" s="14" t="s">
        <v>144</v>
      </c>
      <c r="K1882" s="5">
        <v>3</v>
      </c>
      <c r="L1882" s="16">
        <v>92</v>
      </c>
      <c r="M1882" s="12"/>
      <c r="N1882" s="14">
        <f t="shared" si="81"/>
        <v>0</v>
      </c>
      <c r="O1882" s="27">
        <f>0.1*M1882</f>
        <v>0</v>
      </c>
      <c r="P1882" s="24">
        <f>0.00091*M1882</f>
        <v>0</v>
      </c>
      <c r="Q1882" s="25"/>
      <c r="R1882" s="26" t="s">
        <v>5761</v>
      </c>
      <c r="S1882" s="26" t="s">
        <v>29</v>
      </c>
      <c r="T1882" s="6" t="str">
        <f>HYPERLINK("https://kanzpp.ru/api/getInfo/image/64544b42-40d7-11ee-a243-00155d82e902")</f>
        <v>https://kanzpp.ru/api/getInfo/image/64544b42-40d7-11ee-a243-00155d82e902</v>
      </c>
      <c r="U1882" s="6"/>
      <c r="V1882" s="33" t="s">
        <v>35</v>
      </c>
    </row>
    <row r="1883" spans="2:22" ht="22.95" customHeight="1" outlineLevel="4" x14ac:dyDescent="0.2">
      <c r="B1883" s="82" t="s">
        <v>5762</v>
      </c>
      <c r="C1883" s="82"/>
      <c r="D1883" s="82"/>
      <c r="L1883">
        <v>0</v>
      </c>
    </row>
    <row r="1884" spans="2:22" ht="22.95" customHeight="1" outlineLevel="5" x14ac:dyDescent="0.2">
      <c r="B1884" s="83" t="s">
        <v>5763</v>
      </c>
      <c r="C1884" s="83"/>
      <c r="D1884" s="83"/>
      <c r="L1884">
        <v>0</v>
      </c>
    </row>
    <row r="1885" spans="2:22" ht="21" customHeight="1" outlineLevel="6" x14ac:dyDescent="0.2">
      <c r="B1885" s="69">
        <v>1363</v>
      </c>
      <c r="C1885" s="6" t="s">
        <v>5764</v>
      </c>
      <c r="D1885" s="6" t="s">
        <v>5765</v>
      </c>
      <c r="E1885" s="7" t="s">
        <v>5766</v>
      </c>
      <c r="F1885" s="13"/>
      <c r="G1885" s="14"/>
      <c r="H1885" s="15">
        <v>32</v>
      </c>
      <c r="I1885" s="14"/>
      <c r="J1885" s="15">
        <v>348</v>
      </c>
      <c r="K1885" s="5">
        <v>3</v>
      </c>
      <c r="L1885" s="16">
        <v>132</v>
      </c>
      <c r="M1885" s="12"/>
      <c r="N1885" s="14">
        <f t="shared" ref="N1885:N1898" si="82">L1885*M1885</f>
        <v>0</v>
      </c>
      <c r="O1885" s="23">
        <f>0.134*M1885</f>
        <v>0</v>
      </c>
      <c r="P1885" s="24">
        <f>0.00104*M1885</f>
        <v>0</v>
      </c>
      <c r="Q1885" s="25"/>
      <c r="R1885" s="26" t="s">
        <v>5767</v>
      </c>
      <c r="S1885" s="26" t="s">
        <v>29</v>
      </c>
      <c r="T1885" s="6" t="str">
        <f>HYPERLINK("https://kanzpp.ru/api/getInfo/image/5669bbba-611c-11ef-a264-00155d82e908")</f>
        <v>https://kanzpp.ru/api/getInfo/image/5669bbba-611c-11ef-a264-00155d82e908</v>
      </c>
      <c r="U1885" s="6"/>
      <c r="V1885" s="33" t="s">
        <v>35</v>
      </c>
    </row>
    <row r="1886" spans="2:22" ht="21" customHeight="1" outlineLevel="6" x14ac:dyDescent="0.2">
      <c r="B1886" s="69">
        <v>1364</v>
      </c>
      <c r="C1886" s="6" t="s">
        <v>5768</v>
      </c>
      <c r="D1886" s="6" t="s">
        <v>5769</v>
      </c>
      <c r="E1886" s="7" t="s">
        <v>5770</v>
      </c>
      <c r="F1886" s="13"/>
      <c r="G1886" s="14"/>
      <c r="H1886" s="15">
        <v>32</v>
      </c>
      <c r="I1886" s="14"/>
      <c r="J1886" s="15">
        <v>803</v>
      </c>
      <c r="K1886" s="5">
        <v>2</v>
      </c>
      <c r="L1886" s="16">
        <v>132</v>
      </c>
      <c r="M1886" s="12"/>
      <c r="N1886" s="14">
        <f t="shared" si="82"/>
        <v>0</v>
      </c>
      <c r="O1886" s="23">
        <f>0.141*M1886</f>
        <v>0</v>
      </c>
      <c r="P1886" s="24">
        <f>0.00131*M1886</f>
        <v>0</v>
      </c>
      <c r="Q1886" s="25"/>
      <c r="R1886" s="26" t="s">
        <v>5771</v>
      </c>
      <c r="S1886" s="26" t="s">
        <v>29</v>
      </c>
      <c r="T1886" s="6" t="str">
        <f>HYPERLINK("https://kanzpp.ru/api/getInfo/image/1184feba-bc01-11ed-a230-00155d82e902")</f>
        <v>https://kanzpp.ru/api/getInfo/image/1184feba-bc01-11ed-a230-00155d82e902</v>
      </c>
      <c r="U1886" s="6"/>
      <c r="V1886" s="33" t="s">
        <v>35</v>
      </c>
    </row>
    <row r="1887" spans="2:22" ht="21" customHeight="1" outlineLevel="6" x14ac:dyDescent="0.2">
      <c r="B1887" s="69">
        <v>1365</v>
      </c>
      <c r="C1887" s="6" t="s">
        <v>5772</v>
      </c>
      <c r="D1887" s="6" t="s">
        <v>5773</v>
      </c>
      <c r="E1887" s="7" t="s">
        <v>5774</v>
      </c>
      <c r="F1887" s="13"/>
      <c r="G1887" s="14"/>
      <c r="H1887" s="15">
        <v>32</v>
      </c>
      <c r="I1887" s="14"/>
      <c r="J1887" s="14" t="s">
        <v>144</v>
      </c>
      <c r="K1887" s="5">
        <v>3</v>
      </c>
      <c r="L1887" s="16">
        <v>132</v>
      </c>
      <c r="M1887" s="12"/>
      <c r="N1887" s="14">
        <f t="shared" si="82"/>
        <v>0</v>
      </c>
      <c r="O1887" s="23">
        <f>0.137*M1887</f>
        <v>0</v>
      </c>
      <c r="P1887" s="31">
        <f>0.0011*M1887</f>
        <v>0</v>
      </c>
      <c r="Q1887" s="25"/>
      <c r="R1887" s="26" t="s">
        <v>5775</v>
      </c>
      <c r="S1887" s="26" t="s">
        <v>29</v>
      </c>
      <c r="T1887" s="6" t="str">
        <f>HYPERLINK("https://kanzpp.ru/api/getInfo/image/f72a7999-c03b-11ee-a25a-00155d82e908")</f>
        <v>https://kanzpp.ru/api/getInfo/image/f72a7999-c03b-11ee-a25a-00155d82e908</v>
      </c>
      <c r="U1887" s="6"/>
      <c r="V1887" s="33" t="s">
        <v>35</v>
      </c>
    </row>
    <row r="1888" spans="2:22" ht="21" customHeight="1" outlineLevel="6" x14ac:dyDescent="0.2">
      <c r="B1888" s="69">
        <v>1366</v>
      </c>
      <c r="C1888" s="6" t="s">
        <v>5776</v>
      </c>
      <c r="D1888" s="6" t="s">
        <v>5777</v>
      </c>
      <c r="E1888" s="7" t="s">
        <v>5778</v>
      </c>
      <c r="F1888" s="13"/>
      <c r="G1888" s="14"/>
      <c r="H1888" s="15">
        <v>32</v>
      </c>
      <c r="I1888" s="14"/>
      <c r="J1888" s="14" t="s">
        <v>144</v>
      </c>
      <c r="K1888" s="5">
        <v>2</v>
      </c>
      <c r="L1888" s="16">
        <v>132</v>
      </c>
      <c r="M1888" s="12"/>
      <c r="N1888" s="14">
        <f t="shared" si="82"/>
        <v>0</v>
      </c>
      <c r="O1888" s="23">
        <f>0.139*M1888</f>
        <v>0</v>
      </c>
      <c r="P1888" s="24">
        <f>0.00071*M1888</f>
        <v>0</v>
      </c>
      <c r="Q1888" s="25"/>
      <c r="R1888" s="26" t="s">
        <v>5779</v>
      </c>
      <c r="S1888" s="26" t="s">
        <v>29</v>
      </c>
      <c r="T1888" s="6" t="str">
        <f>HYPERLINK("https://kanzpp.ru/api/getInfo/image/568a516f-bc01-11ed-a230-00155d82e902")</f>
        <v>https://kanzpp.ru/api/getInfo/image/568a516f-bc01-11ed-a230-00155d82e902</v>
      </c>
      <c r="U1888" s="6"/>
      <c r="V1888" s="33" t="s">
        <v>35</v>
      </c>
    </row>
    <row r="1889" spans="2:22" ht="21" customHeight="1" outlineLevel="6" x14ac:dyDescent="0.2">
      <c r="B1889" s="69">
        <v>1367</v>
      </c>
      <c r="C1889" s="6" t="s">
        <v>5780</v>
      </c>
      <c r="D1889" s="6" t="s">
        <v>5781</v>
      </c>
      <c r="E1889" s="7" t="s">
        <v>5782</v>
      </c>
      <c r="F1889" s="13"/>
      <c r="G1889" s="14"/>
      <c r="H1889" s="15">
        <v>32</v>
      </c>
      <c r="I1889" s="14"/>
      <c r="J1889" s="15">
        <v>117</v>
      </c>
      <c r="K1889" s="5">
        <v>3</v>
      </c>
      <c r="L1889" s="16">
        <v>132</v>
      </c>
      <c r="M1889" s="12"/>
      <c r="N1889" s="14">
        <f t="shared" si="82"/>
        <v>0</v>
      </c>
      <c r="O1889" s="23">
        <f>0.135*M1889</f>
        <v>0</v>
      </c>
      <c r="P1889" s="24">
        <f>0.00049*M1889</f>
        <v>0</v>
      </c>
      <c r="Q1889" s="25"/>
      <c r="R1889" s="26" t="s">
        <v>5783</v>
      </c>
      <c r="S1889" s="26" t="s">
        <v>29</v>
      </c>
      <c r="T1889" s="6" t="str">
        <f>HYPERLINK("https://kanzpp.ru/api/getInfo/image/a0cbc67e-bb4b-11ee-a25a-00155d82e908")</f>
        <v>https://kanzpp.ru/api/getInfo/image/a0cbc67e-bb4b-11ee-a25a-00155d82e908</v>
      </c>
      <c r="U1889" s="6"/>
      <c r="V1889" s="33" t="s">
        <v>35</v>
      </c>
    </row>
    <row r="1890" spans="2:22" ht="21" customHeight="1" outlineLevel="6" x14ac:dyDescent="0.2">
      <c r="B1890" s="69">
        <v>1368</v>
      </c>
      <c r="C1890" s="6" t="s">
        <v>5784</v>
      </c>
      <c r="D1890" s="6" t="s">
        <v>5785</v>
      </c>
      <c r="E1890" s="7" t="s">
        <v>5786</v>
      </c>
      <c r="F1890" s="13"/>
      <c r="G1890" s="14"/>
      <c r="H1890" s="15">
        <v>32</v>
      </c>
      <c r="I1890" s="14"/>
      <c r="J1890" s="14" t="s">
        <v>144</v>
      </c>
      <c r="K1890" s="5">
        <v>3</v>
      </c>
      <c r="L1890" s="16">
        <v>132</v>
      </c>
      <c r="M1890" s="12"/>
      <c r="N1890" s="14">
        <f t="shared" si="82"/>
        <v>0</v>
      </c>
      <c r="O1890" s="23">
        <f>0.142*M1890</f>
        <v>0</v>
      </c>
      <c r="P1890" s="24">
        <f>0.00104*M1890</f>
        <v>0</v>
      </c>
      <c r="Q1890" s="25"/>
      <c r="R1890" s="26" t="s">
        <v>5787</v>
      </c>
      <c r="S1890" s="26" t="s">
        <v>29</v>
      </c>
      <c r="T1890" s="6" t="str">
        <f>HYPERLINK("https://kanzpp.ru/api/getInfo/image/dc09684c-5f88-11ef-a262-00155d82e908")</f>
        <v>https://kanzpp.ru/api/getInfo/image/dc09684c-5f88-11ef-a262-00155d82e908</v>
      </c>
      <c r="U1890" s="6"/>
      <c r="V1890" s="33" t="s">
        <v>35</v>
      </c>
    </row>
    <row r="1891" spans="2:22" ht="21" customHeight="1" outlineLevel="6" x14ac:dyDescent="0.2">
      <c r="B1891" s="69">
        <v>1369</v>
      </c>
      <c r="C1891" s="6" t="s">
        <v>5788</v>
      </c>
      <c r="D1891" s="6" t="s">
        <v>5789</v>
      </c>
      <c r="E1891" s="7" t="s">
        <v>5790</v>
      </c>
      <c r="F1891" s="13"/>
      <c r="G1891" s="14"/>
      <c r="H1891" s="15">
        <v>32</v>
      </c>
      <c r="I1891" s="14"/>
      <c r="J1891" s="15">
        <v>41</v>
      </c>
      <c r="K1891" s="5">
        <v>3</v>
      </c>
      <c r="L1891" s="16">
        <v>132</v>
      </c>
      <c r="M1891" s="12"/>
      <c r="N1891" s="14">
        <f t="shared" si="82"/>
        <v>0</v>
      </c>
      <c r="O1891" s="23">
        <f>0.137*M1891</f>
        <v>0</v>
      </c>
      <c r="P1891" s="23">
        <f>0.001*M1891</f>
        <v>0</v>
      </c>
      <c r="Q1891" s="25"/>
      <c r="R1891" s="26" t="s">
        <v>5791</v>
      </c>
      <c r="S1891" s="26" t="s">
        <v>29</v>
      </c>
      <c r="T1891" s="6" t="str">
        <f>HYPERLINK("https://kanzpp.ru/api/getInfo/image/10b8d676-5f89-11ef-a262-00155d82e908")</f>
        <v>https://kanzpp.ru/api/getInfo/image/10b8d676-5f89-11ef-a262-00155d82e908</v>
      </c>
      <c r="U1891" s="6"/>
      <c r="V1891" s="33" t="s">
        <v>35</v>
      </c>
    </row>
    <row r="1892" spans="2:22" ht="21" customHeight="1" outlineLevel="6" x14ac:dyDescent="0.2">
      <c r="B1892" s="69">
        <v>1370</v>
      </c>
      <c r="C1892" s="6" t="s">
        <v>5792</v>
      </c>
      <c r="D1892" s="6" t="s">
        <v>5793</v>
      </c>
      <c r="E1892" s="7" t="s">
        <v>5794</v>
      </c>
      <c r="F1892" s="13"/>
      <c r="G1892" s="14"/>
      <c r="H1892" s="15">
        <v>32</v>
      </c>
      <c r="I1892" s="14"/>
      <c r="J1892" s="14" t="s">
        <v>144</v>
      </c>
      <c r="K1892" s="5">
        <v>3</v>
      </c>
      <c r="L1892" s="16">
        <v>132</v>
      </c>
      <c r="M1892" s="12"/>
      <c r="N1892" s="14">
        <f t="shared" si="82"/>
        <v>0</v>
      </c>
      <c r="O1892" s="23">
        <f>0.139*M1892</f>
        <v>0</v>
      </c>
      <c r="P1892" s="24">
        <f>0.00076*M1892</f>
        <v>0</v>
      </c>
      <c r="Q1892" s="25"/>
      <c r="R1892" s="26" t="s">
        <v>5795</v>
      </c>
      <c r="S1892" s="26" t="s">
        <v>29</v>
      </c>
      <c r="T1892" s="6" t="str">
        <f>HYPERLINK("https://kanzpp.ru/api/getInfo/image/5dd25953-c03b-11ee-a25a-00155d82e908")</f>
        <v>https://kanzpp.ru/api/getInfo/image/5dd25953-c03b-11ee-a25a-00155d82e908</v>
      </c>
      <c r="U1892" s="6"/>
      <c r="V1892" s="33" t="s">
        <v>35</v>
      </c>
    </row>
    <row r="1893" spans="2:22" ht="21" customHeight="1" outlineLevel="6" x14ac:dyDescent="0.2">
      <c r="B1893" s="69">
        <v>1371</v>
      </c>
      <c r="C1893" s="6" t="s">
        <v>5796</v>
      </c>
      <c r="D1893" s="6" t="s">
        <v>5797</v>
      </c>
      <c r="E1893" s="7" t="s">
        <v>5798</v>
      </c>
      <c r="F1893" s="13"/>
      <c r="G1893" s="14"/>
      <c r="H1893" s="15">
        <v>32</v>
      </c>
      <c r="I1893" s="14"/>
      <c r="J1893" s="14" t="s">
        <v>144</v>
      </c>
      <c r="K1893" s="5">
        <v>3</v>
      </c>
      <c r="L1893" s="16">
        <v>132</v>
      </c>
      <c r="M1893" s="12"/>
      <c r="N1893" s="14">
        <f t="shared" si="82"/>
        <v>0</v>
      </c>
      <c r="O1893" s="23">
        <f>0.136*M1893</f>
        <v>0</v>
      </c>
      <c r="P1893" s="24">
        <f>0.00102*M1893</f>
        <v>0</v>
      </c>
      <c r="Q1893" s="25"/>
      <c r="R1893" s="26" t="s">
        <v>5799</v>
      </c>
      <c r="S1893" s="26" t="s">
        <v>29</v>
      </c>
      <c r="T1893" s="6" t="str">
        <f>HYPERLINK("https://kanzpp.ru/api/getInfo/image/408ef09b-c03d-11ee-a25a-00155d82e908")</f>
        <v>https://kanzpp.ru/api/getInfo/image/408ef09b-c03d-11ee-a25a-00155d82e908</v>
      </c>
      <c r="U1893" s="6"/>
      <c r="V1893" s="33" t="s">
        <v>35</v>
      </c>
    </row>
    <row r="1894" spans="2:22" ht="21" customHeight="1" outlineLevel="6" x14ac:dyDescent="0.2">
      <c r="B1894" s="69">
        <v>1372</v>
      </c>
      <c r="C1894" s="6" t="s">
        <v>5800</v>
      </c>
      <c r="D1894" s="6" t="s">
        <v>5801</v>
      </c>
      <c r="E1894" s="7" t="s">
        <v>5802</v>
      </c>
      <c r="F1894" s="13"/>
      <c r="G1894" s="14"/>
      <c r="H1894" s="15">
        <v>32</v>
      </c>
      <c r="I1894" s="14"/>
      <c r="J1894" s="14" t="s">
        <v>144</v>
      </c>
      <c r="K1894" s="5">
        <v>3</v>
      </c>
      <c r="L1894" s="16">
        <v>132</v>
      </c>
      <c r="M1894" s="12"/>
      <c r="N1894" s="14">
        <f t="shared" si="82"/>
        <v>0</v>
      </c>
      <c r="O1894" s="23">
        <f>0.132*M1894</f>
        <v>0</v>
      </c>
      <c r="P1894" s="24">
        <f>0.00071*M1894</f>
        <v>0</v>
      </c>
      <c r="Q1894" s="25"/>
      <c r="R1894" s="26" t="s">
        <v>5803</v>
      </c>
      <c r="S1894" s="26" t="s">
        <v>29</v>
      </c>
      <c r="T1894" s="6" t="str">
        <f>HYPERLINK("https://kanzpp.ru/api/getInfo/image/7edfef32-c03b-11ee-a25a-00155d82e908")</f>
        <v>https://kanzpp.ru/api/getInfo/image/7edfef32-c03b-11ee-a25a-00155d82e908</v>
      </c>
      <c r="U1894" s="6"/>
      <c r="V1894" s="33" t="s">
        <v>35</v>
      </c>
    </row>
    <row r="1895" spans="2:22" ht="21" customHeight="1" outlineLevel="6" x14ac:dyDescent="0.2">
      <c r="B1895" s="69">
        <v>1373</v>
      </c>
      <c r="C1895" s="6" t="s">
        <v>5804</v>
      </c>
      <c r="D1895" s="6" t="s">
        <v>5805</v>
      </c>
      <c r="E1895" s="7" t="s">
        <v>5806</v>
      </c>
      <c r="F1895" s="13"/>
      <c r="G1895" s="14"/>
      <c r="H1895" s="15">
        <v>32</v>
      </c>
      <c r="I1895" s="14"/>
      <c r="J1895" s="14" t="s">
        <v>144</v>
      </c>
      <c r="K1895" s="5">
        <v>2</v>
      </c>
      <c r="L1895" s="16">
        <v>132</v>
      </c>
      <c r="M1895" s="12"/>
      <c r="N1895" s="14">
        <f t="shared" si="82"/>
        <v>0</v>
      </c>
      <c r="O1895" s="23">
        <f>0.146*M1895</f>
        <v>0</v>
      </c>
      <c r="P1895" s="24">
        <f>0.00158*M1895</f>
        <v>0</v>
      </c>
      <c r="Q1895" s="25"/>
      <c r="R1895" s="26" t="s">
        <v>5807</v>
      </c>
      <c r="S1895" s="26" t="s">
        <v>29</v>
      </c>
      <c r="T1895" s="6" t="str">
        <f>HYPERLINK("https://kanzpp.ru/api/getInfo/image/4bcc2e26-bc02-11ed-a230-00155d82e902")</f>
        <v>https://kanzpp.ru/api/getInfo/image/4bcc2e26-bc02-11ed-a230-00155d82e902</v>
      </c>
      <c r="U1895" s="6"/>
      <c r="V1895" s="33" t="s">
        <v>35</v>
      </c>
    </row>
    <row r="1896" spans="2:22" ht="21" customHeight="1" outlineLevel="6" x14ac:dyDescent="0.2">
      <c r="B1896" s="69">
        <v>1374</v>
      </c>
      <c r="C1896" s="6" t="s">
        <v>5808</v>
      </c>
      <c r="D1896" s="6" t="s">
        <v>5809</v>
      </c>
      <c r="E1896" s="7" t="s">
        <v>5806</v>
      </c>
      <c r="F1896" s="13"/>
      <c r="G1896" s="14"/>
      <c r="H1896" s="15">
        <v>32</v>
      </c>
      <c r="I1896" s="14"/>
      <c r="J1896" s="15">
        <v>276</v>
      </c>
      <c r="K1896" s="5">
        <v>2</v>
      </c>
      <c r="L1896" s="16">
        <v>132</v>
      </c>
      <c r="M1896" s="12"/>
      <c r="N1896" s="14">
        <f t="shared" si="82"/>
        <v>0</v>
      </c>
      <c r="O1896" s="28">
        <f>0.15*M1896</f>
        <v>0</v>
      </c>
      <c r="P1896" s="24">
        <f>0.00096*M1896</f>
        <v>0</v>
      </c>
      <c r="Q1896" s="25"/>
      <c r="R1896" s="26"/>
      <c r="S1896" s="26" t="s">
        <v>29</v>
      </c>
      <c r="T1896" s="6" t="str">
        <f>HYPERLINK("https://kanzpp.ru/api/getInfo/image/b9b4def6-11f1-11ef-a25d-00155d82e908")</f>
        <v>https://kanzpp.ru/api/getInfo/image/b9b4def6-11f1-11ef-a25d-00155d82e908</v>
      </c>
      <c r="U1896" s="6" t="s">
        <v>5807</v>
      </c>
      <c r="V1896" s="33" t="s">
        <v>35</v>
      </c>
    </row>
    <row r="1897" spans="2:22" ht="21" customHeight="1" outlineLevel="6" x14ac:dyDescent="0.2">
      <c r="B1897" s="69">
        <v>1375</v>
      </c>
      <c r="C1897" s="6" t="s">
        <v>5810</v>
      </c>
      <c r="D1897" s="6" t="s">
        <v>5811</v>
      </c>
      <c r="E1897" s="7" t="s">
        <v>5812</v>
      </c>
      <c r="F1897" s="13"/>
      <c r="G1897" s="14"/>
      <c r="H1897" s="15">
        <v>32</v>
      </c>
      <c r="I1897" s="14"/>
      <c r="J1897" s="14" t="s">
        <v>144</v>
      </c>
      <c r="K1897" s="5">
        <v>3</v>
      </c>
      <c r="L1897" s="16">
        <v>132</v>
      </c>
      <c r="M1897" s="12"/>
      <c r="N1897" s="14">
        <f t="shared" si="82"/>
        <v>0</v>
      </c>
      <c r="O1897" s="23">
        <f>0.137*M1897</f>
        <v>0</v>
      </c>
      <c r="P1897" s="23">
        <f>0.001*M1897</f>
        <v>0</v>
      </c>
      <c r="Q1897" s="25"/>
      <c r="R1897" s="26" t="s">
        <v>5813</v>
      </c>
      <c r="S1897" s="26" t="s">
        <v>29</v>
      </c>
      <c r="T1897" s="6" t="str">
        <f>HYPERLINK("https://kanzpp.ru/api/getInfo/image/cdc43fa8-c03d-11ee-a25a-00155d82e908")</f>
        <v>https://kanzpp.ru/api/getInfo/image/cdc43fa8-c03d-11ee-a25a-00155d82e908</v>
      </c>
      <c r="U1897" s="6"/>
      <c r="V1897" s="33" t="s">
        <v>35</v>
      </c>
    </row>
    <row r="1898" spans="2:22" ht="21" customHeight="1" outlineLevel="6" x14ac:dyDescent="0.2">
      <c r="B1898" s="69">
        <v>1376</v>
      </c>
      <c r="C1898" s="6" t="s">
        <v>5814</v>
      </c>
      <c r="D1898" s="6" t="s">
        <v>5815</v>
      </c>
      <c r="E1898" s="7" t="s">
        <v>5816</v>
      </c>
      <c r="F1898" s="13"/>
      <c r="G1898" s="14"/>
      <c r="H1898" s="15">
        <v>32</v>
      </c>
      <c r="I1898" s="14"/>
      <c r="J1898" s="15">
        <v>4</v>
      </c>
      <c r="K1898" s="5">
        <v>3</v>
      </c>
      <c r="L1898" s="16">
        <v>132</v>
      </c>
      <c r="M1898" s="12"/>
      <c r="N1898" s="14">
        <f t="shared" si="82"/>
        <v>0</v>
      </c>
      <c r="O1898" s="23">
        <f>0.137*M1898</f>
        <v>0</v>
      </c>
      <c r="P1898" s="23">
        <f>0.001*M1898</f>
        <v>0</v>
      </c>
      <c r="Q1898" s="25"/>
      <c r="R1898" s="26" t="s">
        <v>5817</v>
      </c>
      <c r="S1898" s="26" t="s">
        <v>29</v>
      </c>
      <c r="T1898" s="6" t="str">
        <f>HYPERLINK("https://kanzpp.ru/api/getInfo/image/ae0bfe67-c03b-11ee-a25a-00155d82e908")</f>
        <v>https://kanzpp.ru/api/getInfo/image/ae0bfe67-c03b-11ee-a25a-00155d82e908</v>
      </c>
      <c r="U1898" s="6"/>
      <c r="V1898" s="33" t="s">
        <v>35</v>
      </c>
    </row>
    <row r="1899" spans="2:22" ht="22.95" customHeight="1" outlineLevel="5" x14ac:dyDescent="0.2">
      <c r="B1899" s="83" t="s">
        <v>5818</v>
      </c>
      <c r="C1899" s="83"/>
      <c r="D1899" s="83"/>
      <c r="L1899">
        <v>0</v>
      </c>
    </row>
    <row r="1900" spans="2:22" ht="21" customHeight="1" outlineLevel="6" x14ac:dyDescent="0.2">
      <c r="B1900" s="69">
        <v>1377</v>
      </c>
      <c r="C1900" s="6" t="s">
        <v>5819</v>
      </c>
      <c r="D1900" s="6" t="s">
        <v>5820</v>
      </c>
      <c r="E1900" s="7" t="s">
        <v>5821</v>
      </c>
      <c r="F1900" s="13"/>
      <c r="G1900" s="14"/>
      <c r="H1900" s="15">
        <v>32</v>
      </c>
      <c r="I1900" s="14"/>
      <c r="J1900" s="14" t="s">
        <v>144</v>
      </c>
      <c r="K1900" s="5">
        <v>3</v>
      </c>
      <c r="L1900" s="16">
        <v>78.666666666666671</v>
      </c>
      <c r="M1900" s="12"/>
      <c r="N1900" s="14">
        <f t="shared" ref="N1900:N1911" si="83">L1900*M1900</f>
        <v>0</v>
      </c>
      <c r="O1900" s="23">
        <f>0.127*M1900</f>
        <v>0</v>
      </c>
      <c r="P1900" s="24">
        <f>0.00129*M1900</f>
        <v>0</v>
      </c>
      <c r="Q1900" s="25"/>
      <c r="R1900" s="26" t="s">
        <v>5822</v>
      </c>
      <c r="S1900" s="26" t="s">
        <v>29</v>
      </c>
      <c r="T1900" s="6" t="str">
        <f>HYPERLINK("https://kanzpp.ru/api/getInfo/image/3f42cdaf-26b5-11ec-a20f-ac1f6b442185")</f>
        <v>https://kanzpp.ru/api/getInfo/image/3f42cdaf-26b5-11ec-a20f-ac1f6b442185</v>
      </c>
      <c r="U1900" s="6"/>
      <c r="V1900" s="33" t="s">
        <v>35</v>
      </c>
    </row>
    <row r="1901" spans="2:22" ht="21" customHeight="1" outlineLevel="6" x14ac:dyDescent="0.2">
      <c r="B1901" s="69">
        <v>1378</v>
      </c>
      <c r="C1901" s="6" t="s">
        <v>5823</v>
      </c>
      <c r="D1901" s="6" t="s">
        <v>5824</v>
      </c>
      <c r="E1901" s="7" t="s">
        <v>5825</v>
      </c>
      <c r="F1901" s="13"/>
      <c r="G1901" s="14"/>
      <c r="H1901" s="15">
        <v>32</v>
      </c>
      <c r="I1901" s="14"/>
      <c r="J1901" s="15">
        <v>669</v>
      </c>
      <c r="K1901" s="5">
        <v>3</v>
      </c>
      <c r="L1901" s="16">
        <v>78.666666666666671</v>
      </c>
      <c r="M1901" s="12"/>
      <c r="N1901" s="14">
        <f t="shared" si="83"/>
        <v>0</v>
      </c>
      <c r="O1901" s="23">
        <f>0.139*M1901</f>
        <v>0</v>
      </c>
      <c r="P1901" s="24">
        <f>0.00019*M1901</f>
        <v>0</v>
      </c>
      <c r="Q1901" s="25"/>
      <c r="R1901" s="26" t="s">
        <v>5826</v>
      </c>
      <c r="S1901" s="26" t="s">
        <v>29</v>
      </c>
      <c r="T1901" s="6" t="str">
        <f>HYPERLINK("https://kanzpp.ru/api/getInfo/image/dc552a05-26b4-11ec-a20f-ac1f6b442185")</f>
        <v>https://kanzpp.ru/api/getInfo/image/dc552a05-26b4-11ec-a20f-ac1f6b442185</v>
      </c>
      <c r="U1901" s="6"/>
      <c r="V1901" s="33" t="s">
        <v>35</v>
      </c>
    </row>
    <row r="1902" spans="2:22" ht="21" customHeight="1" outlineLevel="6" x14ac:dyDescent="0.2">
      <c r="B1902" s="69">
        <v>1379</v>
      </c>
      <c r="C1902" s="6" t="s">
        <v>5827</v>
      </c>
      <c r="D1902" s="6" t="s">
        <v>5828</v>
      </c>
      <c r="E1902" s="7" t="s">
        <v>5829</v>
      </c>
      <c r="F1902" s="13"/>
      <c r="G1902" s="14"/>
      <c r="H1902" s="15">
        <v>32</v>
      </c>
      <c r="I1902" s="14"/>
      <c r="J1902" s="15">
        <v>29</v>
      </c>
      <c r="K1902" s="5">
        <v>3</v>
      </c>
      <c r="L1902" s="16">
        <v>78.666666666666671</v>
      </c>
      <c r="M1902" s="12"/>
      <c r="N1902" s="14">
        <f t="shared" si="83"/>
        <v>0</v>
      </c>
      <c r="O1902" s="23">
        <f>0.139*M1902</f>
        <v>0</v>
      </c>
      <c r="P1902" s="24">
        <f>0.00019*M1902</f>
        <v>0</v>
      </c>
      <c r="Q1902" s="25"/>
      <c r="R1902" s="26"/>
      <c r="S1902" s="26" t="s">
        <v>29</v>
      </c>
      <c r="T1902" s="6"/>
      <c r="U1902" s="6" t="s">
        <v>5830</v>
      </c>
      <c r="V1902" s="33" t="s">
        <v>35</v>
      </c>
    </row>
    <row r="1903" spans="2:22" ht="21" customHeight="1" outlineLevel="6" x14ac:dyDescent="0.2">
      <c r="B1903" s="69">
        <v>1380</v>
      </c>
      <c r="C1903" s="6" t="s">
        <v>5831</v>
      </c>
      <c r="D1903" s="6" t="s">
        <v>5832</v>
      </c>
      <c r="E1903" s="7" t="s">
        <v>5829</v>
      </c>
      <c r="F1903" s="13"/>
      <c r="G1903" s="14"/>
      <c r="H1903" s="15">
        <v>32</v>
      </c>
      <c r="I1903" s="14"/>
      <c r="J1903" s="15">
        <v>829</v>
      </c>
      <c r="K1903" s="5">
        <v>3</v>
      </c>
      <c r="L1903" s="16">
        <v>78.666666666666671</v>
      </c>
      <c r="M1903" s="12"/>
      <c r="N1903" s="14">
        <f t="shared" si="83"/>
        <v>0</v>
      </c>
      <c r="O1903" s="23">
        <f>0.144*M1903</f>
        <v>0</v>
      </c>
      <c r="P1903" s="24">
        <f>0.00069*M1903</f>
        <v>0</v>
      </c>
      <c r="Q1903" s="25"/>
      <c r="R1903" s="26" t="s">
        <v>5830</v>
      </c>
      <c r="S1903" s="26" t="s">
        <v>29</v>
      </c>
      <c r="T1903" s="6" t="str">
        <f>HYPERLINK("https://kanzpp.ru/api/getInfo/image/dfaf9e0e-26b3-11ec-a20f-ac1f6b442185")</f>
        <v>https://kanzpp.ru/api/getInfo/image/dfaf9e0e-26b3-11ec-a20f-ac1f6b442185</v>
      </c>
      <c r="U1903" s="6"/>
      <c r="V1903" s="33" t="s">
        <v>35</v>
      </c>
    </row>
    <row r="1904" spans="2:22" ht="21" customHeight="1" outlineLevel="6" x14ac:dyDescent="0.2">
      <c r="B1904" s="69">
        <v>1381</v>
      </c>
      <c r="C1904" s="6" t="s">
        <v>5833</v>
      </c>
      <c r="D1904" s="6" t="s">
        <v>5834</v>
      </c>
      <c r="E1904" s="7" t="s">
        <v>5835</v>
      </c>
      <c r="F1904" s="13"/>
      <c r="G1904" s="14"/>
      <c r="H1904" s="15">
        <v>32</v>
      </c>
      <c r="I1904" s="14"/>
      <c r="J1904" s="14" t="s">
        <v>144</v>
      </c>
      <c r="K1904" s="5">
        <v>3</v>
      </c>
      <c r="L1904" s="16">
        <v>78.666666666666671</v>
      </c>
      <c r="M1904" s="12"/>
      <c r="N1904" s="14">
        <f t="shared" si="83"/>
        <v>0</v>
      </c>
      <c r="O1904" s="23">
        <f>0.127*M1904</f>
        <v>0</v>
      </c>
      <c r="P1904" s="24">
        <f>0.00089*M1904</f>
        <v>0</v>
      </c>
      <c r="Q1904" s="25"/>
      <c r="R1904" s="26" t="s">
        <v>5836</v>
      </c>
      <c r="S1904" s="26" t="s">
        <v>29</v>
      </c>
      <c r="T1904" s="6" t="str">
        <f>HYPERLINK("https://kanzpp.ru/api/getInfo/image/944df389-2737-11ec-a20f-ac1f6b442185")</f>
        <v>https://kanzpp.ru/api/getInfo/image/944df389-2737-11ec-a20f-ac1f6b442185</v>
      </c>
      <c r="U1904" s="6"/>
      <c r="V1904" s="33" t="s">
        <v>35</v>
      </c>
    </row>
    <row r="1905" spans="2:22" ht="21" customHeight="1" outlineLevel="6" x14ac:dyDescent="0.2">
      <c r="B1905" s="69">
        <v>1382</v>
      </c>
      <c r="C1905" s="6" t="s">
        <v>5837</v>
      </c>
      <c r="D1905" s="6" t="s">
        <v>5838</v>
      </c>
      <c r="E1905" s="7" t="s">
        <v>5839</v>
      </c>
      <c r="F1905" s="13"/>
      <c r="G1905" s="14"/>
      <c r="H1905" s="15">
        <v>32</v>
      </c>
      <c r="I1905" s="14"/>
      <c r="J1905" s="15">
        <v>921</v>
      </c>
      <c r="K1905" s="5">
        <v>3</v>
      </c>
      <c r="L1905" s="16">
        <v>78.666666666666671</v>
      </c>
      <c r="M1905" s="12"/>
      <c r="N1905" s="14">
        <f t="shared" si="83"/>
        <v>0</v>
      </c>
      <c r="O1905" s="23">
        <f>0.143*M1905</f>
        <v>0</v>
      </c>
      <c r="P1905" s="24">
        <f>0.00104*M1905</f>
        <v>0</v>
      </c>
      <c r="Q1905" s="25"/>
      <c r="R1905" s="26" t="s">
        <v>5840</v>
      </c>
      <c r="S1905" s="26" t="s">
        <v>29</v>
      </c>
      <c r="T1905" s="6" t="str">
        <f>HYPERLINK("https://kanzpp.ru/api/getInfo/image/6c6e5a72-26a4-11ec-a20f-ac1f6b442185")</f>
        <v>https://kanzpp.ru/api/getInfo/image/6c6e5a72-26a4-11ec-a20f-ac1f6b442185</v>
      </c>
      <c r="U1905" s="6"/>
      <c r="V1905" s="33" t="s">
        <v>35</v>
      </c>
    </row>
    <row r="1906" spans="2:22" ht="21" customHeight="1" outlineLevel="6" x14ac:dyDescent="0.2">
      <c r="B1906" s="69">
        <v>1383</v>
      </c>
      <c r="C1906" s="6" t="s">
        <v>5841</v>
      </c>
      <c r="D1906" s="6" t="s">
        <v>5842</v>
      </c>
      <c r="E1906" s="7" t="s">
        <v>5843</v>
      </c>
      <c r="F1906" s="13"/>
      <c r="G1906" s="14"/>
      <c r="H1906" s="15">
        <v>32</v>
      </c>
      <c r="I1906" s="14"/>
      <c r="J1906" s="15">
        <v>638</v>
      </c>
      <c r="K1906" s="5">
        <v>3</v>
      </c>
      <c r="L1906" s="16">
        <v>78.666666666666671</v>
      </c>
      <c r="M1906" s="12"/>
      <c r="N1906" s="14">
        <f t="shared" si="83"/>
        <v>0</v>
      </c>
      <c r="O1906" s="23">
        <f>0.127*M1906</f>
        <v>0</v>
      </c>
      <c r="P1906" s="24">
        <f>0.00166*M1906</f>
        <v>0</v>
      </c>
      <c r="Q1906" s="25"/>
      <c r="R1906" s="26" t="s">
        <v>5844</v>
      </c>
      <c r="S1906" s="26" t="s">
        <v>29</v>
      </c>
      <c r="T1906" s="6" t="str">
        <f>HYPERLINK("https://kanzpp.ru/api/getInfo/image/672a0c25-269d-11ec-a20f-ac1f6b442185")</f>
        <v>https://kanzpp.ru/api/getInfo/image/672a0c25-269d-11ec-a20f-ac1f6b442185</v>
      </c>
      <c r="U1906" s="6"/>
      <c r="V1906" s="33" t="s">
        <v>35</v>
      </c>
    </row>
    <row r="1907" spans="2:22" ht="21" customHeight="1" outlineLevel="6" x14ac:dyDescent="0.2">
      <c r="B1907" s="69">
        <v>1384</v>
      </c>
      <c r="C1907" s="6" t="s">
        <v>5845</v>
      </c>
      <c r="D1907" s="6" t="s">
        <v>5846</v>
      </c>
      <c r="E1907" s="7" t="s">
        <v>5847</v>
      </c>
      <c r="F1907" s="13"/>
      <c r="G1907" s="14"/>
      <c r="H1907" s="15">
        <v>32</v>
      </c>
      <c r="I1907" s="14"/>
      <c r="J1907" s="14" t="s">
        <v>144</v>
      </c>
      <c r="K1907" s="5">
        <v>3</v>
      </c>
      <c r="L1907" s="16">
        <v>78.666666666666671</v>
      </c>
      <c r="M1907" s="12"/>
      <c r="N1907" s="14">
        <f t="shared" si="83"/>
        <v>0</v>
      </c>
      <c r="O1907" s="23">
        <f>0.142*M1907</f>
        <v>0</v>
      </c>
      <c r="P1907" s="31">
        <f>0.0009*M1907</f>
        <v>0</v>
      </c>
      <c r="Q1907" s="25"/>
      <c r="R1907" s="26" t="s">
        <v>5848</v>
      </c>
      <c r="S1907" s="26" t="s">
        <v>29</v>
      </c>
      <c r="T1907" s="6" t="str">
        <f>HYPERLINK("https://kanzpp.ru/api/getInfo/image/2e64599e-26b6-11ec-a20f-ac1f6b442185")</f>
        <v>https://kanzpp.ru/api/getInfo/image/2e64599e-26b6-11ec-a20f-ac1f6b442185</v>
      </c>
      <c r="U1907" s="6"/>
      <c r="V1907" s="33" t="s">
        <v>35</v>
      </c>
    </row>
    <row r="1908" spans="2:22" ht="21" customHeight="1" outlineLevel="6" x14ac:dyDescent="0.2">
      <c r="B1908" s="69">
        <v>1385</v>
      </c>
      <c r="C1908" s="6" t="s">
        <v>5849</v>
      </c>
      <c r="D1908" s="6" t="s">
        <v>5850</v>
      </c>
      <c r="E1908" s="7" t="s">
        <v>674</v>
      </c>
      <c r="F1908" s="13"/>
      <c r="G1908" s="14"/>
      <c r="H1908" s="15">
        <v>32</v>
      </c>
      <c r="I1908" s="14"/>
      <c r="J1908" s="14" t="s">
        <v>144</v>
      </c>
      <c r="K1908" s="5">
        <v>3</v>
      </c>
      <c r="L1908" s="16">
        <v>78.666666666666671</v>
      </c>
      <c r="M1908" s="12"/>
      <c r="N1908" s="14">
        <f t="shared" si="83"/>
        <v>0</v>
      </c>
      <c r="O1908" s="23">
        <f>0.134*M1908</f>
        <v>0</v>
      </c>
      <c r="P1908" s="24">
        <f>0.00082*M1908</f>
        <v>0</v>
      </c>
      <c r="Q1908" s="25"/>
      <c r="R1908" s="26" t="s">
        <v>675</v>
      </c>
      <c r="S1908" s="26" t="s">
        <v>29</v>
      </c>
      <c r="T1908" s="6" t="str">
        <f>HYPERLINK("https://kanzpp.ru/api/getInfo/image/e441d2b4-7cde-11ec-a211-ac1f6b442185")</f>
        <v>https://kanzpp.ru/api/getInfo/image/e441d2b4-7cde-11ec-a211-ac1f6b442185</v>
      </c>
      <c r="U1908" s="6"/>
      <c r="V1908" s="33" t="s">
        <v>35</v>
      </c>
    </row>
    <row r="1909" spans="2:22" ht="21" customHeight="1" outlineLevel="6" x14ac:dyDescent="0.2">
      <c r="B1909" s="69">
        <v>1386</v>
      </c>
      <c r="C1909" s="6" t="s">
        <v>5851</v>
      </c>
      <c r="D1909" s="6" t="s">
        <v>5852</v>
      </c>
      <c r="E1909" s="7" t="s">
        <v>5853</v>
      </c>
      <c r="F1909" s="13"/>
      <c r="G1909" s="14"/>
      <c r="H1909" s="15">
        <v>32</v>
      </c>
      <c r="I1909" s="14"/>
      <c r="J1909" s="15">
        <v>978</v>
      </c>
      <c r="K1909" s="5">
        <v>3</v>
      </c>
      <c r="L1909" s="16">
        <v>78.666666666666671</v>
      </c>
      <c r="M1909" s="12"/>
      <c r="N1909" s="14">
        <f t="shared" si="83"/>
        <v>0</v>
      </c>
      <c r="O1909" s="23">
        <f>0.128*M1909</f>
        <v>0</v>
      </c>
      <c r="P1909" s="31">
        <f>0.0001*M1909</f>
        <v>0</v>
      </c>
      <c r="Q1909" s="25"/>
      <c r="R1909" s="26" t="s">
        <v>5854</v>
      </c>
      <c r="S1909" s="26" t="s">
        <v>29</v>
      </c>
      <c r="T1909" s="6" t="str">
        <f>HYPERLINK("https://kanzpp.ru/api/getInfo/image/f5a33716-7cdd-11ec-a211-ac1f6b442185")</f>
        <v>https://kanzpp.ru/api/getInfo/image/f5a33716-7cdd-11ec-a211-ac1f6b442185</v>
      </c>
      <c r="U1909" s="6"/>
      <c r="V1909" s="33" t="s">
        <v>35</v>
      </c>
    </row>
    <row r="1910" spans="2:22" ht="21" customHeight="1" outlineLevel="6" x14ac:dyDescent="0.2">
      <c r="B1910" s="69">
        <v>1387</v>
      </c>
      <c r="C1910" s="6" t="s">
        <v>5855</v>
      </c>
      <c r="D1910" s="6" t="s">
        <v>5856</v>
      </c>
      <c r="E1910" s="7" t="s">
        <v>5857</v>
      </c>
      <c r="F1910" s="13"/>
      <c r="G1910" s="14"/>
      <c r="H1910" s="15">
        <v>32</v>
      </c>
      <c r="I1910" s="14"/>
      <c r="J1910" s="15">
        <v>280</v>
      </c>
      <c r="K1910" s="5">
        <v>3</v>
      </c>
      <c r="L1910" s="16">
        <v>78.666666666666671</v>
      </c>
      <c r="M1910" s="12"/>
      <c r="N1910" s="14">
        <f t="shared" si="83"/>
        <v>0</v>
      </c>
      <c r="O1910" s="23">
        <f>0.131*M1910</f>
        <v>0</v>
      </c>
      <c r="P1910" s="24">
        <f>0.00161*M1910</f>
        <v>0</v>
      </c>
      <c r="Q1910" s="25"/>
      <c r="R1910" s="26" t="s">
        <v>5858</v>
      </c>
      <c r="S1910" s="26" t="s">
        <v>29</v>
      </c>
      <c r="T1910" s="6" t="str">
        <f>HYPERLINK("https://kanzpp.ru/api/getInfo/image/471081c8-26b4-11ec-a20f-ac1f6b442185")</f>
        <v>https://kanzpp.ru/api/getInfo/image/471081c8-26b4-11ec-a20f-ac1f6b442185</v>
      </c>
      <c r="U1910" s="6"/>
      <c r="V1910" s="33" t="s">
        <v>35</v>
      </c>
    </row>
    <row r="1911" spans="2:22" ht="21" customHeight="1" outlineLevel="6" x14ac:dyDescent="0.2">
      <c r="B1911" s="69">
        <v>1388</v>
      </c>
      <c r="C1911" s="6" t="s">
        <v>5859</v>
      </c>
      <c r="D1911" s="6" t="s">
        <v>5860</v>
      </c>
      <c r="E1911" s="7" t="s">
        <v>5861</v>
      </c>
      <c r="F1911" s="13"/>
      <c r="G1911" s="14"/>
      <c r="H1911" s="15">
        <v>32</v>
      </c>
      <c r="I1911" s="14"/>
      <c r="J1911" s="15">
        <v>835</v>
      </c>
      <c r="K1911" s="5">
        <v>3</v>
      </c>
      <c r="L1911" s="16">
        <v>78.666666666666671</v>
      </c>
      <c r="M1911" s="12"/>
      <c r="N1911" s="14">
        <f t="shared" si="83"/>
        <v>0</v>
      </c>
      <c r="O1911" s="23">
        <f>0.134*M1911</f>
        <v>0</v>
      </c>
      <c r="P1911" s="24">
        <f>0.00106*M1911</f>
        <v>0</v>
      </c>
      <c r="Q1911" s="25"/>
      <c r="R1911" s="26" t="s">
        <v>5862</v>
      </c>
      <c r="S1911" s="26" t="s">
        <v>29</v>
      </c>
      <c r="T1911" s="6" t="str">
        <f>HYPERLINK("https://kanzpp.ru/api/getInfo/image/05c1334f-2737-11ec-a20f-ac1f6b442185")</f>
        <v>https://kanzpp.ru/api/getInfo/image/05c1334f-2737-11ec-a20f-ac1f6b442185</v>
      </c>
      <c r="U1911" s="6"/>
      <c r="V1911" s="33" t="s">
        <v>35</v>
      </c>
    </row>
    <row r="1912" spans="2:22" ht="22.95" customHeight="1" outlineLevel="5" x14ac:dyDescent="0.2">
      <c r="B1912" s="83" t="s">
        <v>5863</v>
      </c>
      <c r="C1912" s="83"/>
      <c r="D1912" s="83"/>
      <c r="L1912">
        <v>0</v>
      </c>
    </row>
    <row r="1913" spans="2:22" ht="21" customHeight="1" outlineLevel="6" x14ac:dyDescent="0.2">
      <c r="B1913" s="69">
        <v>1389</v>
      </c>
      <c r="C1913" s="6" t="s">
        <v>5864</v>
      </c>
      <c r="D1913" s="6" t="s">
        <v>5865</v>
      </c>
      <c r="E1913" s="7" t="s">
        <v>5866</v>
      </c>
      <c r="F1913" s="13"/>
      <c r="G1913" s="14"/>
      <c r="H1913" s="15">
        <v>32</v>
      </c>
      <c r="I1913" s="14"/>
      <c r="J1913" s="14" t="s">
        <v>144</v>
      </c>
      <c r="K1913" s="5">
        <v>3</v>
      </c>
      <c r="L1913" s="16">
        <v>132</v>
      </c>
      <c r="M1913" s="12"/>
      <c r="N1913" s="14">
        <f t="shared" ref="N1913:N1920" si="84">L1913*M1913</f>
        <v>0</v>
      </c>
      <c r="O1913" s="23">
        <f>0.138*M1913</f>
        <v>0</v>
      </c>
      <c r="P1913" s="24">
        <f>0.00091*M1913</f>
        <v>0</v>
      </c>
      <c r="Q1913" s="25"/>
      <c r="R1913" s="26" t="s">
        <v>5867</v>
      </c>
      <c r="S1913" s="26" t="s">
        <v>29</v>
      </c>
      <c r="T1913" s="6" t="str">
        <f>HYPERLINK("https://kanzpp.ru/api/getInfo/image/711d77bc-2739-11ec-a20f-ac1f6b442185")</f>
        <v>https://kanzpp.ru/api/getInfo/image/711d77bc-2739-11ec-a20f-ac1f6b442185</v>
      </c>
      <c r="U1913" s="6"/>
      <c r="V1913" s="33" t="s">
        <v>35</v>
      </c>
    </row>
    <row r="1914" spans="2:22" ht="21" customHeight="1" outlineLevel="6" x14ac:dyDescent="0.2">
      <c r="B1914" s="69">
        <v>1390</v>
      </c>
      <c r="C1914" s="6" t="s">
        <v>5868</v>
      </c>
      <c r="D1914" s="6" t="s">
        <v>5869</v>
      </c>
      <c r="E1914" s="7" t="s">
        <v>5870</v>
      </c>
      <c r="F1914" s="13"/>
      <c r="G1914" s="14"/>
      <c r="H1914" s="15">
        <v>32</v>
      </c>
      <c r="I1914" s="14"/>
      <c r="J1914" s="15">
        <v>722</v>
      </c>
      <c r="K1914" s="5">
        <v>3</v>
      </c>
      <c r="L1914" s="16">
        <v>132</v>
      </c>
      <c r="M1914" s="12"/>
      <c r="N1914" s="14">
        <f t="shared" si="84"/>
        <v>0</v>
      </c>
      <c r="O1914" s="23">
        <f>0.134*M1914</f>
        <v>0</v>
      </c>
      <c r="P1914" s="24">
        <f>0.00013*M1914</f>
        <v>0</v>
      </c>
      <c r="Q1914" s="25"/>
      <c r="R1914" s="26" t="s">
        <v>5871</v>
      </c>
      <c r="S1914" s="26" t="s">
        <v>29</v>
      </c>
      <c r="T1914" s="6" t="str">
        <f>HYPERLINK("https://kanzpp.ru/api/getInfo/image/1b9ebb32-2738-11ec-a20f-ac1f6b442185")</f>
        <v>https://kanzpp.ru/api/getInfo/image/1b9ebb32-2738-11ec-a20f-ac1f6b442185</v>
      </c>
      <c r="U1914" s="6"/>
      <c r="V1914" s="33" t="s">
        <v>35</v>
      </c>
    </row>
    <row r="1915" spans="2:22" ht="21" customHeight="1" outlineLevel="6" x14ac:dyDescent="0.2">
      <c r="B1915" s="69">
        <v>1391</v>
      </c>
      <c r="C1915" s="6" t="s">
        <v>5872</v>
      </c>
      <c r="D1915" s="6" t="s">
        <v>5873</v>
      </c>
      <c r="E1915" s="7" t="s">
        <v>5874</v>
      </c>
      <c r="F1915" s="13"/>
      <c r="G1915" s="14"/>
      <c r="H1915" s="15">
        <v>32</v>
      </c>
      <c r="I1915" s="14"/>
      <c r="J1915" s="15">
        <v>947</v>
      </c>
      <c r="K1915" s="5">
        <v>3</v>
      </c>
      <c r="L1915" s="16">
        <v>132</v>
      </c>
      <c r="M1915" s="12"/>
      <c r="N1915" s="14">
        <f t="shared" si="84"/>
        <v>0</v>
      </c>
      <c r="O1915" s="23">
        <f>0.135*M1915</f>
        <v>0</v>
      </c>
      <c r="P1915" s="24">
        <f>0.00083*M1915</f>
        <v>0</v>
      </c>
      <c r="Q1915" s="25"/>
      <c r="R1915" s="26" t="s">
        <v>5875</v>
      </c>
      <c r="S1915" s="26" t="s">
        <v>29</v>
      </c>
      <c r="T1915" s="6" t="str">
        <f>HYPERLINK("https://kanzpp.ru/api/getInfo/image/f6dfe302-2739-11ec-a20f-ac1f6b442185")</f>
        <v>https://kanzpp.ru/api/getInfo/image/f6dfe302-2739-11ec-a20f-ac1f6b442185</v>
      </c>
      <c r="U1915" s="6"/>
      <c r="V1915" s="33" t="s">
        <v>35</v>
      </c>
    </row>
    <row r="1916" spans="2:22" ht="21" customHeight="1" outlineLevel="6" x14ac:dyDescent="0.2">
      <c r="B1916" s="69">
        <v>1392</v>
      </c>
      <c r="C1916" s="6" t="s">
        <v>5876</v>
      </c>
      <c r="D1916" s="6" t="s">
        <v>5877</v>
      </c>
      <c r="E1916" s="7" t="s">
        <v>5878</v>
      </c>
      <c r="F1916" s="13"/>
      <c r="G1916" s="14"/>
      <c r="H1916" s="15">
        <v>32</v>
      </c>
      <c r="I1916" s="14"/>
      <c r="J1916" s="14" t="s">
        <v>144</v>
      </c>
      <c r="K1916" s="5">
        <v>3</v>
      </c>
      <c r="L1916" s="16">
        <v>132</v>
      </c>
      <c r="M1916" s="12"/>
      <c r="N1916" s="14">
        <f t="shared" si="84"/>
        <v>0</v>
      </c>
      <c r="O1916" s="23">
        <f>0.134*M1916</f>
        <v>0</v>
      </c>
      <c r="P1916" s="31">
        <f>0.0008*M1916</f>
        <v>0</v>
      </c>
      <c r="Q1916" s="25"/>
      <c r="R1916" s="26" t="s">
        <v>5879</v>
      </c>
      <c r="S1916" s="26" t="s">
        <v>29</v>
      </c>
      <c r="T1916" s="6" t="str">
        <f>HYPERLINK("https://kanzpp.ru/api/getInfo/image/b4cb0400-7a97-11ec-a211-ac1f6b442185")</f>
        <v>https://kanzpp.ru/api/getInfo/image/b4cb0400-7a97-11ec-a211-ac1f6b442185</v>
      </c>
      <c r="U1916" s="6"/>
      <c r="V1916" s="33" t="s">
        <v>35</v>
      </c>
    </row>
    <row r="1917" spans="2:22" ht="21" customHeight="1" outlineLevel="6" x14ac:dyDescent="0.2">
      <c r="B1917" s="69">
        <v>1393</v>
      </c>
      <c r="C1917" s="6" t="s">
        <v>5880</v>
      </c>
      <c r="D1917" s="6" t="s">
        <v>5881</v>
      </c>
      <c r="E1917" s="7" t="s">
        <v>5882</v>
      </c>
      <c r="F1917" s="13"/>
      <c r="G1917" s="14"/>
      <c r="H1917" s="15">
        <v>32</v>
      </c>
      <c r="I1917" s="14"/>
      <c r="J1917" s="15">
        <v>561</v>
      </c>
      <c r="K1917" s="5">
        <v>3</v>
      </c>
      <c r="L1917" s="16">
        <v>132</v>
      </c>
      <c r="M1917" s="12"/>
      <c r="N1917" s="14">
        <f t="shared" si="84"/>
        <v>0</v>
      </c>
      <c r="O1917" s="23">
        <f>0.135*M1917</f>
        <v>0</v>
      </c>
      <c r="P1917" s="24">
        <f>0.00102*M1917</f>
        <v>0</v>
      </c>
      <c r="Q1917" s="25"/>
      <c r="R1917" s="26" t="s">
        <v>5883</v>
      </c>
      <c r="S1917" s="26" t="s">
        <v>29</v>
      </c>
      <c r="T1917" s="6" t="str">
        <f>HYPERLINK("https://kanzpp.ru/api/getInfo/image/534f4dac-273a-11ec-a20f-ac1f6b442185")</f>
        <v>https://kanzpp.ru/api/getInfo/image/534f4dac-273a-11ec-a20f-ac1f6b442185</v>
      </c>
      <c r="U1917" s="6"/>
      <c r="V1917" s="33" t="s">
        <v>35</v>
      </c>
    </row>
    <row r="1918" spans="2:22" ht="21" customHeight="1" outlineLevel="6" x14ac:dyDescent="0.2">
      <c r="B1918" s="69">
        <v>1394</v>
      </c>
      <c r="C1918" s="6" t="s">
        <v>5884</v>
      </c>
      <c r="D1918" s="6" t="s">
        <v>5885</v>
      </c>
      <c r="E1918" s="7" t="s">
        <v>5886</v>
      </c>
      <c r="F1918" s="13"/>
      <c r="G1918" s="14"/>
      <c r="H1918" s="15">
        <v>32</v>
      </c>
      <c r="I1918" s="14"/>
      <c r="J1918" s="15">
        <v>667</v>
      </c>
      <c r="K1918" s="5">
        <v>3</v>
      </c>
      <c r="L1918" s="16">
        <v>132</v>
      </c>
      <c r="M1918" s="12"/>
      <c r="N1918" s="14">
        <f t="shared" si="84"/>
        <v>0</v>
      </c>
      <c r="O1918" s="23">
        <f>0.137*M1918</f>
        <v>0</v>
      </c>
      <c r="P1918" s="24">
        <f>0.00094*M1918</f>
        <v>0</v>
      </c>
      <c r="Q1918" s="25"/>
      <c r="R1918" s="26" t="s">
        <v>5887</v>
      </c>
      <c r="S1918" s="26" t="s">
        <v>29</v>
      </c>
      <c r="T1918" s="6" t="str">
        <f>HYPERLINK("https://kanzpp.ru/api/getInfo/image/10930d22-269e-11ec-a20f-ac1f6b442185")</f>
        <v>https://kanzpp.ru/api/getInfo/image/10930d22-269e-11ec-a20f-ac1f6b442185</v>
      </c>
      <c r="U1918" s="6"/>
      <c r="V1918" s="33" t="s">
        <v>35</v>
      </c>
    </row>
    <row r="1919" spans="2:22" ht="21" customHeight="1" outlineLevel="6" x14ac:dyDescent="0.2">
      <c r="B1919" s="69">
        <v>1395</v>
      </c>
      <c r="C1919" s="6" t="s">
        <v>5888</v>
      </c>
      <c r="D1919" s="6" t="s">
        <v>5889</v>
      </c>
      <c r="E1919" s="7" t="s">
        <v>5886</v>
      </c>
      <c r="F1919" s="13"/>
      <c r="G1919" s="14"/>
      <c r="H1919" s="15">
        <v>32</v>
      </c>
      <c r="I1919" s="14"/>
      <c r="J1919" s="15">
        <v>108</v>
      </c>
      <c r="K1919" s="5">
        <v>3</v>
      </c>
      <c r="L1919" s="16">
        <v>132</v>
      </c>
      <c r="M1919" s="12"/>
      <c r="N1919" s="14">
        <f t="shared" si="84"/>
        <v>0</v>
      </c>
      <c r="O1919" s="23">
        <f>0.134*M1919</f>
        <v>0</v>
      </c>
      <c r="P1919" s="24">
        <f>0.00093*M1919</f>
        <v>0</v>
      </c>
      <c r="Q1919" s="25"/>
      <c r="R1919" s="26"/>
      <c r="S1919" s="26" t="s">
        <v>29</v>
      </c>
      <c r="T1919" s="6" t="str">
        <f>HYPERLINK("https://kanzpp.ru/api/getInfo/image/f0940832-6f16-11ed-a22a-00155d82e902")</f>
        <v>https://kanzpp.ru/api/getInfo/image/f0940832-6f16-11ed-a22a-00155d82e902</v>
      </c>
      <c r="U1919" s="6" t="s">
        <v>5887</v>
      </c>
      <c r="V1919" s="33" t="s">
        <v>35</v>
      </c>
    </row>
    <row r="1920" spans="2:22" ht="21" customHeight="1" outlineLevel="6" x14ac:dyDescent="0.2">
      <c r="B1920" s="69">
        <v>1396</v>
      </c>
      <c r="C1920" s="6" t="s">
        <v>5890</v>
      </c>
      <c r="D1920" s="6" t="s">
        <v>5891</v>
      </c>
      <c r="E1920" s="7" t="s">
        <v>678</v>
      </c>
      <c r="F1920" s="13"/>
      <c r="G1920" s="14"/>
      <c r="H1920" s="15">
        <v>32</v>
      </c>
      <c r="I1920" s="14"/>
      <c r="J1920" s="15">
        <v>148</v>
      </c>
      <c r="K1920" s="5">
        <v>3</v>
      </c>
      <c r="L1920" s="16">
        <v>132</v>
      </c>
      <c r="M1920" s="12"/>
      <c r="N1920" s="14">
        <f t="shared" si="84"/>
        <v>0</v>
      </c>
      <c r="O1920" s="23">
        <f>0.138*M1920</f>
        <v>0</v>
      </c>
      <c r="P1920" s="24">
        <f>0.00096*M1920</f>
        <v>0</v>
      </c>
      <c r="Q1920" s="25"/>
      <c r="R1920" s="26" t="s">
        <v>679</v>
      </c>
      <c r="S1920" s="26" t="s">
        <v>29</v>
      </c>
      <c r="T1920" s="6" t="str">
        <f>HYPERLINK("https://kanzpp.ru/api/getInfo/image/a045b185-273b-11ec-a20f-ac1f6b442185")</f>
        <v>https://kanzpp.ru/api/getInfo/image/a045b185-273b-11ec-a20f-ac1f6b442185</v>
      </c>
      <c r="U1920" s="6"/>
      <c r="V1920" s="33" t="s">
        <v>35</v>
      </c>
    </row>
    <row r="1921" spans="2:22" ht="22.95" customHeight="1" outlineLevel="5" x14ac:dyDescent="0.2">
      <c r="B1921" s="83" t="s">
        <v>5892</v>
      </c>
      <c r="C1921" s="83"/>
      <c r="D1921" s="83"/>
      <c r="L1921">
        <v>0</v>
      </c>
    </row>
    <row r="1922" spans="2:22" ht="21" customHeight="1" outlineLevel="6" x14ac:dyDescent="0.2">
      <c r="B1922" s="69">
        <v>1397</v>
      </c>
      <c r="C1922" s="6" t="s">
        <v>5893</v>
      </c>
      <c r="D1922" s="6" t="s">
        <v>5894</v>
      </c>
      <c r="E1922" s="7" t="s">
        <v>5895</v>
      </c>
      <c r="F1922" s="13"/>
      <c r="G1922" s="14"/>
      <c r="H1922" s="15">
        <v>32</v>
      </c>
      <c r="I1922" s="14"/>
      <c r="J1922" s="15">
        <v>22</v>
      </c>
      <c r="K1922" s="5">
        <v>2</v>
      </c>
      <c r="L1922" s="16">
        <v>118.66666666666667</v>
      </c>
      <c r="M1922" s="12"/>
      <c r="N1922" s="14">
        <f>L1922*M1922</f>
        <v>0</v>
      </c>
      <c r="O1922" s="23">
        <f>0.127*M1922</f>
        <v>0</v>
      </c>
      <c r="P1922" s="24">
        <f>0.00073*M1922</f>
        <v>0</v>
      </c>
      <c r="Q1922" s="25"/>
      <c r="R1922" s="26" t="s">
        <v>5896</v>
      </c>
      <c r="S1922" s="26" t="s">
        <v>29</v>
      </c>
      <c r="T1922" s="6" t="str">
        <f>HYPERLINK("https://kanzpp.ru/api/getInfo/image/4207acbd-d1d6-11ec-a212-ac1f6b442185")</f>
        <v>https://kanzpp.ru/api/getInfo/image/4207acbd-d1d6-11ec-a212-ac1f6b442185</v>
      </c>
      <c r="U1922" s="6"/>
      <c r="V1922" s="33" t="s">
        <v>35</v>
      </c>
    </row>
    <row r="1923" spans="2:22" ht="21" customHeight="1" outlineLevel="6" x14ac:dyDescent="0.2">
      <c r="B1923" s="69">
        <v>1398</v>
      </c>
      <c r="C1923" s="6" t="s">
        <v>5897</v>
      </c>
      <c r="D1923" s="6" t="s">
        <v>5898</v>
      </c>
      <c r="E1923" s="7" t="s">
        <v>5899</v>
      </c>
      <c r="F1923" s="13"/>
      <c r="G1923" s="14"/>
      <c r="H1923" s="15">
        <v>32</v>
      </c>
      <c r="I1923" s="14"/>
      <c r="J1923" s="15">
        <v>3</v>
      </c>
      <c r="K1923" s="5">
        <v>2</v>
      </c>
      <c r="L1923" s="16">
        <v>118.66666666666667</v>
      </c>
      <c r="M1923" s="12"/>
      <c r="N1923" s="14">
        <f>L1923*M1923</f>
        <v>0</v>
      </c>
      <c r="O1923" s="23">
        <f>0.127*M1923</f>
        <v>0</v>
      </c>
      <c r="P1923" s="24">
        <f>0.00073*M1923</f>
        <v>0</v>
      </c>
      <c r="Q1923" s="25"/>
      <c r="R1923" s="26" t="s">
        <v>5900</v>
      </c>
      <c r="S1923" s="26" t="s">
        <v>29</v>
      </c>
      <c r="T1923" s="6" t="str">
        <f>HYPERLINK("https://kanzpp.ru/api/getInfo/image/b7122d3b-d1d6-11ec-a212-ac1f6b442185")</f>
        <v>https://kanzpp.ru/api/getInfo/image/b7122d3b-d1d6-11ec-a212-ac1f6b442185</v>
      </c>
      <c r="U1923" s="6"/>
      <c r="V1923" s="33" t="s">
        <v>35</v>
      </c>
    </row>
    <row r="1924" spans="2:22" ht="22.95" customHeight="1" outlineLevel="5" x14ac:dyDescent="0.2">
      <c r="B1924" s="83" t="s">
        <v>5901</v>
      </c>
      <c r="C1924" s="83"/>
      <c r="D1924" s="83"/>
      <c r="L1924">
        <v>0</v>
      </c>
    </row>
    <row r="1925" spans="2:22" ht="21" customHeight="1" outlineLevel="6" x14ac:dyDescent="0.2">
      <c r="B1925" s="69">
        <v>1399</v>
      </c>
      <c r="C1925" s="6" t="s">
        <v>5902</v>
      </c>
      <c r="D1925" s="6" t="s">
        <v>5903</v>
      </c>
      <c r="E1925" s="7" t="s">
        <v>5904</v>
      </c>
      <c r="F1925" s="13"/>
      <c r="G1925" s="14"/>
      <c r="H1925" s="15">
        <v>32</v>
      </c>
      <c r="I1925" s="14"/>
      <c r="J1925" s="15">
        <v>58</v>
      </c>
      <c r="K1925" s="5">
        <v>3</v>
      </c>
      <c r="L1925" s="16">
        <v>78.666666666666671</v>
      </c>
      <c r="M1925" s="12"/>
      <c r="N1925" s="14">
        <f>L1925*M1925</f>
        <v>0</v>
      </c>
      <c r="O1925" s="23">
        <f>0.148*M1925</f>
        <v>0</v>
      </c>
      <c r="P1925" s="24">
        <f>0.00081*M1925</f>
        <v>0</v>
      </c>
      <c r="Q1925" s="25"/>
      <c r="R1925" s="26" t="s">
        <v>5905</v>
      </c>
      <c r="S1925" s="26" t="s">
        <v>29</v>
      </c>
      <c r="T1925" s="6" t="str">
        <f>HYPERLINK("https://kanzpp.ru/api/getInfo/image/463b39cc-01e7-11ed-a213-ac1f6b442185")</f>
        <v>https://kanzpp.ru/api/getInfo/image/463b39cc-01e7-11ed-a213-ac1f6b442185</v>
      </c>
      <c r="U1925" s="6"/>
      <c r="V1925" s="33" t="s">
        <v>35</v>
      </c>
    </row>
    <row r="1926" spans="2:22" ht="21" customHeight="1" outlineLevel="6" x14ac:dyDescent="0.2">
      <c r="B1926" s="69">
        <v>1400</v>
      </c>
      <c r="C1926" s="6" t="s">
        <v>5906</v>
      </c>
      <c r="D1926" s="6" t="s">
        <v>5907</v>
      </c>
      <c r="E1926" s="7" t="s">
        <v>5908</v>
      </c>
      <c r="F1926" s="13"/>
      <c r="G1926" s="14"/>
      <c r="H1926" s="15">
        <v>32</v>
      </c>
      <c r="I1926" s="14"/>
      <c r="J1926" s="15">
        <v>46</v>
      </c>
      <c r="K1926" s="5">
        <v>3</v>
      </c>
      <c r="L1926" s="16">
        <v>78.666666666666671</v>
      </c>
      <c r="M1926" s="12"/>
      <c r="N1926" s="14">
        <f>L1926*M1926</f>
        <v>0</v>
      </c>
      <c r="O1926" s="23">
        <f>0.146*M1926</f>
        <v>0</v>
      </c>
      <c r="P1926" s="24">
        <f>0.00158*M1926</f>
        <v>0</v>
      </c>
      <c r="Q1926" s="25"/>
      <c r="R1926" s="26" t="s">
        <v>5909</v>
      </c>
      <c r="S1926" s="26" t="s">
        <v>29</v>
      </c>
      <c r="T1926" s="6" t="str">
        <f>HYPERLINK("https://kanzpp.ru/api/getInfo/image/7c648b74-01e7-11ed-a213-ac1f6b442185")</f>
        <v>https://kanzpp.ru/api/getInfo/image/7c648b74-01e7-11ed-a213-ac1f6b442185</v>
      </c>
      <c r="U1926" s="6"/>
      <c r="V1926" s="33" t="s">
        <v>35</v>
      </c>
    </row>
    <row r="1927" spans="2:22" ht="22.95" customHeight="1" outlineLevel="4" x14ac:dyDescent="0.2">
      <c r="B1927" s="82" t="s">
        <v>5910</v>
      </c>
      <c r="C1927" s="82"/>
      <c r="D1927" s="82"/>
      <c r="L1927">
        <v>0</v>
      </c>
    </row>
    <row r="1928" spans="2:22" ht="22.95" customHeight="1" outlineLevel="5" x14ac:dyDescent="0.2">
      <c r="B1928" s="83" t="s">
        <v>5911</v>
      </c>
      <c r="C1928" s="83"/>
      <c r="D1928" s="83"/>
      <c r="L1928">
        <v>0</v>
      </c>
    </row>
    <row r="1929" spans="2:22" ht="21" customHeight="1" outlineLevel="6" x14ac:dyDescent="0.2">
      <c r="B1929" s="69">
        <v>1401</v>
      </c>
      <c r="C1929" s="6" t="s">
        <v>5912</v>
      </c>
      <c r="D1929" s="6" t="s">
        <v>5913</v>
      </c>
      <c r="E1929" s="7" t="s">
        <v>5914</v>
      </c>
      <c r="F1929" s="13"/>
      <c r="G1929" s="14"/>
      <c r="H1929" s="15">
        <v>24</v>
      </c>
      <c r="I1929" s="14"/>
      <c r="J1929" s="15">
        <v>148</v>
      </c>
      <c r="K1929" s="5">
        <v>2</v>
      </c>
      <c r="L1929" s="16">
        <v>132</v>
      </c>
      <c r="M1929" s="12"/>
      <c r="N1929" s="14">
        <f>L1929*M1929</f>
        <v>0</v>
      </c>
      <c r="O1929" s="23">
        <f>0.176*M1929</f>
        <v>0</v>
      </c>
      <c r="P1929" s="31">
        <f>0.0011*M1929</f>
        <v>0</v>
      </c>
      <c r="Q1929" s="25"/>
      <c r="R1929" s="26" t="s">
        <v>5915</v>
      </c>
      <c r="S1929" s="26" t="s">
        <v>29</v>
      </c>
      <c r="T1929" s="6" t="str">
        <f>HYPERLINK("https://kanzpp.ru/api/getInfo/image/8abcccb0-d1f7-11ec-a212-ac1f6b442185")</f>
        <v>https://kanzpp.ru/api/getInfo/image/8abcccb0-d1f7-11ec-a212-ac1f6b442185</v>
      </c>
      <c r="U1929" s="6"/>
      <c r="V1929" s="33" t="s">
        <v>35</v>
      </c>
    </row>
    <row r="1930" spans="2:22" ht="22.95" customHeight="1" outlineLevel="5" x14ac:dyDescent="0.2">
      <c r="B1930" s="83" t="s">
        <v>5916</v>
      </c>
      <c r="C1930" s="83"/>
      <c r="D1930" s="83"/>
      <c r="L1930">
        <v>0</v>
      </c>
    </row>
    <row r="1931" spans="2:22" ht="21" customHeight="1" outlineLevel="6" x14ac:dyDescent="0.2">
      <c r="B1931" s="69">
        <v>1402</v>
      </c>
      <c r="C1931" s="6" t="s">
        <v>5917</v>
      </c>
      <c r="D1931" s="6" t="s">
        <v>5918</v>
      </c>
      <c r="E1931" s="7" t="s">
        <v>5919</v>
      </c>
      <c r="F1931" s="13"/>
      <c r="G1931" s="14"/>
      <c r="H1931" s="15">
        <v>24</v>
      </c>
      <c r="I1931" s="14"/>
      <c r="J1931" s="14" t="s">
        <v>144</v>
      </c>
      <c r="K1931" s="5">
        <v>2</v>
      </c>
      <c r="L1931" s="16">
        <v>132</v>
      </c>
      <c r="M1931" s="12"/>
      <c r="N1931" s="14">
        <f t="shared" ref="N1931:N1936" si="85">L1931*M1931</f>
        <v>0</v>
      </c>
      <c r="O1931" s="23">
        <f>0.202*M1931</f>
        <v>0</v>
      </c>
      <c r="P1931" s="24">
        <f>0.00128*M1931</f>
        <v>0</v>
      </c>
      <c r="Q1931" s="25"/>
      <c r="R1931" s="26" t="s">
        <v>5920</v>
      </c>
      <c r="S1931" s="26" t="s">
        <v>29</v>
      </c>
      <c r="T1931" s="6" t="str">
        <f>HYPERLINK("https://kanzpp.ru/api/getInfo/image/54a10cfd-4b04-11ee-a244-00155d82e902")</f>
        <v>https://kanzpp.ru/api/getInfo/image/54a10cfd-4b04-11ee-a244-00155d82e902</v>
      </c>
      <c r="U1931" s="6"/>
      <c r="V1931" s="33" t="s">
        <v>35</v>
      </c>
    </row>
    <row r="1932" spans="2:22" ht="21" customHeight="1" outlineLevel="6" x14ac:dyDescent="0.2">
      <c r="B1932" s="69">
        <v>1403</v>
      </c>
      <c r="C1932" s="6" t="s">
        <v>5921</v>
      </c>
      <c r="D1932" s="6" t="s">
        <v>5922</v>
      </c>
      <c r="E1932" s="7" t="s">
        <v>5923</v>
      </c>
      <c r="F1932" s="13"/>
      <c r="G1932" s="14"/>
      <c r="H1932" s="15">
        <v>24</v>
      </c>
      <c r="I1932" s="14"/>
      <c r="J1932" s="15">
        <v>241</v>
      </c>
      <c r="K1932" s="5">
        <v>2</v>
      </c>
      <c r="L1932" s="16">
        <v>132</v>
      </c>
      <c r="M1932" s="12"/>
      <c r="N1932" s="14">
        <f t="shared" si="85"/>
        <v>0</v>
      </c>
      <c r="O1932" s="23">
        <f>0.186*M1932</f>
        <v>0</v>
      </c>
      <c r="P1932" s="24">
        <f>0.00224*M1932</f>
        <v>0</v>
      </c>
      <c r="Q1932" s="25"/>
      <c r="R1932" s="26" t="s">
        <v>5924</v>
      </c>
      <c r="S1932" s="26" t="s">
        <v>29</v>
      </c>
      <c r="T1932" s="6" t="str">
        <f>HYPERLINK("https://kanzpp.ru/api/getInfo/image/34f223fd-b821-11ed-a230-00155d82e902")</f>
        <v>https://kanzpp.ru/api/getInfo/image/34f223fd-b821-11ed-a230-00155d82e902</v>
      </c>
      <c r="U1932" s="6"/>
      <c r="V1932" s="33" t="s">
        <v>35</v>
      </c>
    </row>
    <row r="1933" spans="2:22" ht="21" customHeight="1" outlineLevel="6" x14ac:dyDescent="0.2">
      <c r="B1933" s="69">
        <v>1404</v>
      </c>
      <c r="C1933" s="6" t="s">
        <v>5925</v>
      </c>
      <c r="D1933" s="6" t="s">
        <v>5926</v>
      </c>
      <c r="E1933" s="7" t="s">
        <v>5927</v>
      </c>
      <c r="F1933" s="13"/>
      <c r="G1933" s="14"/>
      <c r="H1933" s="15">
        <v>24</v>
      </c>
      <c r="I1933" s="14"/>
      <c r="J1933" s="14" t="s">
        <v>144</v>
      </c>
      <c r="K1933" s="5">
        <v>2</v>
      </c>
      <c r="L1933" s="16">
        <v>132</v>
      </c>
      <c r="M1933" s="12"/>
      <c r="N1933" s="14">
        <f t="shared" si="85"/>
        <v>0</v>
      </c>
      <c r="O1933" s="23">
        <f>0.192*M1933</f>
        <v>0</v>
      </c>
      <c r="P1933" s="24">
        <f>0.00138*M1933</f>
        <v>0</v>
      </c>
      <c r="Q1933" s="25"/>
      <c r="R1933" s="26" t="s">
        <v>5928</v>
      </c>
      <c r="S1933" s="26" t="s">
        <v>29</v>
      </c>
      <c r="T1933" s="6" t="str">
        <f>HYPERLINK("https://kanzpp.ru/api/getInfo/image/7f9d72d9-4b09-11ee-a244-00155d82e902")</f>
        <v>https://kanzpp.ru/api/getInfo/image/7f9d72d9-4b09-11ee-a244-00155d82e902</v>
      </c>
      <c r="U1933" s="6"/>
      <c r="V1933" s="33" t="s">
        <v>35</v>
      </c>
    </row>
    <row r="1934" spans="2:22" ht="21" customHeight="1" outlineLevel="6" x14ac:dyDescent="0.2">
      <c r="B1934" s="69">
        <v>1405</v>
      </c>
      <c r="C1934" s="6" t="s">
        <v>5929</v>
      </c>
      <c r="D1934" s="6" t="s">
        <v>5930</v>
      </c>
      <c r="E1934" s="7" t="s">
        <v>5931</v>
      </c>
      <c r="F1934" s="13"/>
      <c r="G1934" s="14"/>
      <c r="H1934" s="15">
        <v>24</v>
      </c>
      <c r="I1934" s="14"/>
      <c r="J1934" s="14" t="s">
        <v>144</v>
      </c>
      <c r="K1934" s="5">
        <v>2</v>
      </c>
      <c r="L1934" s="16">
        <v>132</v>
      </c>
      <c r="M1934" s="12"/>
      <c r="N1934" s="14">
        <f t="shared" si="85"/>
        <v>0</v>
      </c>
      <c r="O1934" s="28">
        <f>0.19*M1934</f>
        <v>0</v>
      </c>
      <c r="P1934" s="24">
        <f>0.00077*M1934</f>
        <v>0</v>
      </c>
      <c r="Q1934" s="25"/>
      <c r="R1934" s="26" t="s">
        <v>5932</v>
      </c>
      <c r="S1934" s="26" t="s">
        <v>29</v>
      </c>
      <c r="T1934" s="6" t="str">
        <f>HYPERLINK("https://kanzpp.ru/api/getInfo/image/9d6dc0f5-4b10-11ee-a244-00155d82e902")</f>
        <v>https://kanzpp.ru/api/getInfo/image/9d6dc0f5-4b10-11ee-a244-00155d82e902</v>
      </c>
      <c r="U1934" s="6"/>
      <c r="V1934" s="33" t="s">
        <v>35</v>
      </c>
    </row>
    <row r="1935" spans="2:22" ht="21" customHeight="1" outlineLevel="6" x14ac:dyDescent="0.2">
      <c r="B1935" s="69">
        <v>1406</v>
      </c>
      <c r="C1935" s="6" t="s">
        <v>5933</v>
      </c>
      <c r="D1935" s="6" t="s">
        <v>5934</v>
      </c>
      <c r="E1935" s="7" t="s">
        <v>5935</v>
      </c>
      <c r="F1935" s="13"/>
      <c r="G1935" s="14"/>
      <c r="H1935" s="15">
        <v>24</v>
      </c>
      <c r="I1935" s="14"/>
      <c r="J1935" s="14" t="s">
        <v>144</v>
      </c>
      <c r="K1935" s="5">
        <v>2</v>
      </c>
      <c r="L1935" s="16">
        <v>132</v>
      </c>
      <c r="M1935" s="12"/>
      <c r="N1935" s="14">
        <f t="shared" si="85"/>
        <v>0</v>
      </c>
      <c r="O1935" s="23">
        <f>0.194*M1935</f>
        <v>0</v>
      </c>
      <c r="P1935" s="24">
        <f>0.00203*M1935</f>
        <v>0</v>
      </c>
      <c r="Q1935" s="25"/>
      <c r="R1935" s="26" t="s">
        <v>5936</v>
      </c>
      <c r="S1935" s="26" t="s">
        <v>29</v>
      </c>
      <c r="T1935" s="6" t="str">
        <f>HYPERLINK("https://kanzpp.ru/api/getInfo/image/b49ed912-4b05-11ee-a244-00155d82e902")</f>
        <v>https://kanzpp.ru/api/getInfo/image/b49ed912-4b05-11ee-a244-00155d82e902</v>
      </c>
      <c r="U1935" s="6"/>
      <c r="V1935" s="33" t="s">
        <v>35</v>
      </c>
    </row>
    <row r="1936" spans="2:22" ht="21" customHeight="1" outlineLevel="6" x14ac:dyDescent="0.2">
      <c r="B1936" s="69">
        <v>1407</v>
      </c>
      <c r="C1936" s="6" t="s">
        <v>5937</v>
      </c>
      <c r="D1936" s="6" t="s">
        <v>5938</v>
      </c>
      <c r="E1936" s="7" t="s">
        <v>5939</v>
      </c>
      <c r="F1936" s="13"/>
      <c r="G1936" s="14"/>
      <c r="H1936" s="15">
        <v>24</v>
      </c>
      <c r="I1936" s="14"/>
      <c r="J1936" s="15">
        <v>959</v>
      </c>
      <c r="K1936" s="5">
        <v>2</v>
      </c>
      <c r="L1936" s="16">
        <v>132</v>
      </c>
      <c r="M1936" s="12"/>
      <c r="N1936" s="14">
        <f t="shared" si="85"/>
        <v>0</v>
      </c>
      <c r="O1936" s="23">
        <f>0.193*M1936</f>
        <v>0</v>
      </c>
      <c r="P1936" s="24">
        <f>0.00215*M1936</f>
        <v>0</v>
      </c>
      <c r="Q1936" s="25"/>
      <c r="R1936" s="26" t="s">
        <v>5940</v>
      </c>
      <c r="S1936" s="26" t="s">
        <v>29</v>
      </c>
      <c r="T1936" s="6" t="str">
        <f>HYPERLINK("https://kanzpp.ru/api/getInfo/image/634fa061-b822-11ed-a230-00155d82e902")</f>
        <v>https://kanzpp.ru/api/getInfo/image/634fa061-b822-11ed-a230-00155d82e902</v>
      </c>
      <c r="U1936" s="6"/>
      <c r="V1936" s="33" t="s">
        <v>35</v>
      </c>
    </row>
    <row r="1937" spans="2:22" ht="22.95" customHeight="1" outlineLevel="5" x14ac:dyDescent="0.2">
      <c r="B1937" s="83" t="s">
        <v>5941</v>
      </c>
      <c r="C1937" s="83"/>
      <c r="D1937" s="83"/>
      <c r="L1937">
        <v>0</v>
      </c>
    </row>
    <row r="1938" spans="2:22" ht="21" customHeight="1" outlineLevel="6" x14ac:dyDescent="0.2">
      <c r="B1938" s="69">
        <v>1408</v>
      </c>
      <c r="C1938" s="6" t="s">
        <v>5942</v>
      </c>
      <c r="D1938" s="6" t="s">
        <v>5943</v>
      </c>
      <c r="E1938" s="7" t="s">
        <v>5944</v>
      </c>
      <c r="F1938" s="13"/>
      <c r="G1938" s="14"/>
      <c r="H1938" s="15">
        <v>24</v>
      </c>
      <c r="I1938" s="14"/>
      <c r="J1938" s="15">
        <v>154</v>
      </c>
      <c r="K1938" s="5">
        <v>1</v>
      </c>
      <c r="L1938" s="16">
        <v>132</v>
      </c>
      <c r="M1938" s="12"/>
      <c r="N1938" s="14">
        <f t="shared" ref="N1938:N1948" si="86">L1938*M1938</f>
        <v>0</v>
      </c>
      <c r="O1938" s="28">
        <f>0.19*M1938</f>
        <v>0</v>
      </c>
      <c r="P1938" s="24">
        <f>0.01471*M1938</f>
        <v>0</v>
      </c>
      <c r="Q1938" s="25"/>
      <c r="R1938" s="26" t="s">
        <v>5945</v>
      </c>
      <c r="S1938" s="26" t="s">
        <v>29</v>
      </c>
      <c r="T1938" s="6" t="str">
        <f>HYPERLINK("https://kanzpp.ru/api/getInfo/image/72495c04-2e76-11ed-a216-ac1f6b442185")</f>
        <v>https://kanzpp.ru/api/getInfo/image/72495c04-2e76-11ed-a216-ac1f6b442185</v>
      </c>
      <c r="U1938" s="6"/>
      <c r="V1938" s="33" t="s">
        <v>35</v>
      </c>
    </row>
    <row r="1939" spans="2:22" ht="21" customHeight="1" outlineLevel="6" x14ac:dyDescent="0.2">
      <c r="B1939" s="69">
        <v>1409</v>
      </c>
      <c r="C1939" s="6" t="s">
        <v>5946</v>
      </c>
      <c r="D1939" s="6" t="s">
        <v>5947</v>
      </c>
      <c r="E1939" s="7" t="s">
        <v>5948</v>
      </c>
      <c r="F1939" s="13"/>
      <c r="G1939" s="14"/>
      <c r="H1939" s="15">
        <v>24</v>
      </c>
      <c r="I1939" s="14"/>
      <c r="J1939" s="15">
        <v>188</v>
      </c>
      <c r="K1939" s="5">
        <v>1</v>
      </c>
      <c r="L1939" s="16">
        <v>132</v>
      </c>
      <c r="M1939" s="12"/>
      <c r="N1939" s="14">
        <f t="shared" si="86"/>
        <v>0</v>
      </c>
      <c r="O1939" s="23">
        <f>0.179*M1939</f>
        <v>0</v>
      </c>
      <c r="P1939" s="24">
        <f>0.00205*M1939</f>
        <v>0</v>
      </c>
      <c r="Q1939" s="25"/>
      <c r="R1939" s="26" t="s">
        <v>5949</v>
      </c>
      <c r="S1939" s="26" t="s">
        <v>29</v>
      </c>
      <c r="T1939" s="6" t="str">
        <f>HYPERLINK("https://kanzpp.ru/api/getInfo/image/4109ee19-2e78-11ed-a216-ac1f6b442185")</f>
        <v>https://kanzpp.ru/api/getInfo/image/4109ee19-2e78-11ed-a216-ac1f6b442185</v>
      </c>
      <c r="U1939" s="6"/>
      <c r="V1939" s="33" t="s">
        <v>35</v>
      </c>
    </row>
    <row r="1940" spans="2:22" ht="21" customHeight="1" outlineLevel="6" x14ac:dyDescent="0.2">
      <c r="B1940" s="69">
        <v>1410</v>
      </c>
      <c r="C1940" s="6" t="s">
        <v>5950</v>
      </c>
      <c r="D1940" s="6" t="s">
        <v>5951</v>
      </c>
      <c r="E1940" s="7" t="s">
        <v>5952</v>
      </c>
      <c r="F1940" s="13"/>
      <c r="G1940" s="14"/>
      <c r="H1940" s="15">
        <v>24</v>
      </c>
      <c r="I1940" s="14"/>
      <c r="J1940" s="15">
        <v>52</v>
      </c>
      <c r="K1940" s="5">
        <v>1</v>
      </c>
      <c r="L1940" s="16">
        <v>132</v>
      </c>
      <c r="M1940" s="12"/>
      <c r="N1940" s="14">
        <f t="shared" si="86"/>
        <v>0</v>
      </c>
      <c r="O1940" s="23">
        <f>0.213*M1940</f>
        <v>0</v>
      </c>
      <c r="P1940" s="24">
        <f>0.00222*M1940</f>
        <v>0</v>
      </c>
      <c r="Q1940" s="25"/>
      <c r="R1940" s="26" t="s">
        <v>5953</v>
      </c>
      <c r="S1940" s="26" t="s">
        <v>29</v>
      </c>
      <c r="T1940" s="6" t="str">
        <f>HYPERLINK("https://kanzpp.ru/api/getInfo/image/c8ca9a2e-2e79-11ed-a216-ac1f6b442185")</f>
        <v>https://kanzpp.ru/api/getInfo/image/c8ca9a2e-2e79-11ed-a216-ac1f6b442185</v>
      </c>
      <c r="U1940" s="6"/>
      <c r="V1940" s="33" t="s">
        <v>35</v>
      </c>
    </row>
    <row r="1941" spans="2:22" ht="21" customHeight="1" outlineLevel="6" x14ac:dyDescent="0.2">
      <c r="B1941" s="69">
        <v>1411</v>
      </c>
      <c r="C1941" s="6" t="s">
        <v>5954</v>
      </c>
      <c r="D1941" s="6" t="s">
        <v>5955</v>
      </c>
      <c r="E1941" s="7" t="s">
        <v>5956</v>
      </c>
      <c r="F1941" s="13"/>
      <c r="G1941" s="14"/>
      <c r="H1941" s="15">
        <v>24</v>
      </c>
      <c r="I1941" s="14"/>
      <c r="J1941" s="15">
        <v>25</v>
      </c>
      <c r="K1941" s="5">
        <v>1</v>
      </c>
      <c r="L1941" s="16">
        <v>132</v>
      </c>
      <c r="M1941" s="12"/>
      <c r="N1941" s="14">
        <f t="shared" si="86"/>
        <v>0</v>
      </c>
      <c r="O1941" s="23">
        <f>0.183*M1941</f>
        <v>0</v>
      </c>
      <c r="P1941" s="31">
        <f>0.0022*M1941</f>
        <v>0</v>
      </c>
      <c r="Q1941" s="25"/>
      <c r="R1941" s="26" t="s">
        <v>5957</v>
      </c>
      <c r="S1941" s="26" t="s">
        <v>29</v>
      </c>
      <c r="T1941" s="6" t="str">
        <f>HYPERLINK("https://kanzpp.ru/api/getInfo/image/67a2d3d4-2e79-11ed-a216-ac1f6b442185")</f>
        <v>https://kanzpp.ru/api/getInfo/image/67a2d3d4-2e79-11ed-a216-ac1f6b442185</v>
      </c>
      <c r="U1941" s="6"/>
      <c r="V1941" s="33" t="s">
        <v>35</v>
      </c>
    </row>
    <row r="1942" spans="2:22" ht="21" customHeight="1" outlineLevel="6" x14ac:dyDescent="0.2">
      <c r="B1942" s="69">
        <v>1412</v>
      </c>
      <c r="C1942" s="6" t="s">
        <v>5958</v>
      </c>
      <c r="D1942" s="6" t="s">
        <v>5959</v>
      </c>
      <c r="E1942" s="7" t="s">
        <v>5960</v>
      </c>
      <c r="F1942" s="13"/>
      <c r="G1942" s="14"/>
      <c r="H1942" s="15">
        <v>24</v>
      </c>
      <c r="I1942" s="14"/>
      <c r="J1942" s="15">
        <v>285</v>
      </c>
      <c r="K1942" s="5">
        <v>1</v>
      </c>
      <c r="L1942" s="16">
        <v>132</v>
      </c>
      <c r="M1942" s="12"/>
      <c r="N1942" s="14">
        <f t="shared" si="86"/>
        <v>0</v>
      </c>
      <c r="O1942" s="23">
        <f>0.176*M1942</f>
        <v>0</v>
      </c>
      <c r="P1942" s="24">
        <f>0.00081*M1942</f>
        <v>0</v>
      </c>
      <c r="Q1942" s="25"/>
      <c r="R1942" s="26" t="s">
        <v>5961</v>
      </c>
      <c r="S1942" s="26" t="s">
        <v>29</v>
      </c>
      <c r="T1942" s="6" t="str">
        <f>HYPERLINK("https://kanzpp.ru/api/getInfo/image/38b4658f-2e77-11ed-a216-ac1f6b442185")</f>
        <v>https://kanzpp.ru/api/getInfo/image/38b4658f-2e77-11ed-a216-ac1f6b442185</v>
      </c>
      <c r="U1942" s="6"/>
      <c r="V1942" s="33" t="s">
        <v>35</v>
      </c>
    </row>
    <row r="1943" spans="2:22" ht="21" customHeight="1" outlineLevel="6" x14ac:dyDescent="0.2">
      <c r="B1943" s="69">
        <v>1413</v>
      </c>
      <c r="C1943" s="6" t="s">
        <v>5962</v>
      </c>
      <c r="D1943" s="6" t="s">
        <v>5963</v>
      </c>
      <c r="E1943" s="7" t="s">
        <v>5964</v>
      </c>
      <c r="F1943" s="13"/>
      <c r="G1943" s="14"/>
      <c r="H1943" s="15">
        <v>24</v>
      </c>
      <c r="I1943" s="14"/>
      <c r="J1943" s="15">
        <v>51</v>
      </c>
      <c r="K1943" s="5">
        <v>1</v>
      </c>
      <c r="L1943" s="16">
        <v>132</v>
      </c>
      <c r="M1943" s="12"/>
      <c r="N1943" s="14">
        <f t="shared" si="86"/>
        <v>0</v>
      </c>
      <c r="O1943" s="23">
        <f>0.189*M1943</f>
        <v>0</v>
      </c>
      <c r="P1943" s="24">
        <f>0.00012*M1943</f>
        <v>0</v>
      </c>
      <c r="Q1943" s="25"/>
      <c r="R1943" s="26" t="s">
        <v>5965</v>
      </c>
      <c r="S1943" s="26" t="s">
        <v>29</v>
      </c>
      <c r="T1943" s="6" t="str">
        <f>HYPERLINK("https://kanzpp.ru/api/getInfo/image/8b43ca2b-2e77-11ed-a216-ac1f6b442185")</f>
        <v>https://kanzpp.ru/api/getInfo/image/8b43ca2b-2e77-11ed-a216-ac1f6b442185</v>
      </c>
      <c r="U1943" s="6"/>
      <c r="V1943" s="33" t="s">
        <v>35</v>
      </c>
    </row>
    <row r="1944" spans="2:22" ht="21" customHeight="1" outlineLevel="6" x14ac:dyDescent="0.2">
      <c r="B1944" s="69">
        <v>1414</v>
      </c>
      <c r="C1944" s="6" t="s">
        <v>5966</v>
      </c>
      <c r="D1944" s="6" t="s">
        <v>5967</v>
      </c>
      <c r="E1944" s="7" t="s">
        <v>5968</v>
      </c>
      <c r="F1944" s="13"/>
      <c r="G1944" s="14"/>
      <c r="H1944" s="15">
        <v>24</v>
      </c>
      <c r="I1944" s="14"/>
      <c r="J1944" s="15">
        <v>125</v>
      </c>
      <c r="K1944" s="5">
        <v>1</v>
      </c>
      <c r="L1944" s="16">
        <v>132</v>
      </c>
      <c r="M1944" s="12"/>
      <c r="N1944" s="14">
        <f t="shared" si="86"/>
        <v>0</v>
      </c>
      <c r="O1944" s="23">
        <f>0.181*M1944</f>
        <v>0</v>
      </c>
      <c r="P1944" s="24">
        <f>0.00275*M1944</f>
        <v>0</v>
      </c>
      <c r="Q1944" s="25"/>
      <c r="R1944" s="26" t="s">
        <v>5969</v>
      </c>
      <c r="S1944" s="26" t="s">
        <v>29</v>
      </c>
      <c r="T1944" s="6" t="str">
        <f>HYPERLINK("https://kanzpp.ru/api/getInfo/image/6010e79a-2e77-11ed-a216-ac1f6b442185")</f>
        <v>https://kanzpp.ru/api/getInfo/image/6010e79a-2e77-11ed-a216-ac1f6b442185</v>
      </c>
      <c r="U1944" s="6"/>
      <c r="V1944" s="33" t="s">
        <v>35</v>
      </c>
    </row>
    <row r="1945" spans="2:22" ht="21" customHeight="1" outlineLevel="6" x14ac:dyDescent="0.2">
      <c r="B1945" s="69">
        <v>1415</v>
      </c>
      <c r="C1945" s="6" t="s">
        <v>5970</v>
      </c>
      <c r="D1945" s="6" t="s">
        <v>5971</v>
      </c>
      <c r="E1945" s="7" t="s">
        <v>5972</v>
      </c>
      <c r="F1945" s="13"/>
      <c r="G1945" s="14"/>
      <c r="H1945" s="15">
        <v>24</v>
      </c>
      <c r="I1945" s="14"/>
      <c r="J1945" s="15">
        <v>126</v>
      </c>
      <c r="K1945" s="5">
        <v>1</v>
      </c>
      <c r="L1945" s="16">
        <v>132</v>
      </c>
      <c r="M1945" s="12"/>
      <c r="N1945" s="14">
        <f t="shared" si="86"/>
        <v>0</v>
      </c>
      <c r="O1945" s="23">
        <f>0.188*M1945</f>
        <v>0</v>
      </c>
      <c r="P1945" s="24">
        <f>0.00025*M1945</f>
        <v>0</v>
      </c>
      <c r="Q1945" s="25"/>
      <c r="R1945" s="26" t="s">
        <v>5973</v>
      </c>
      <c r="S1945" s="26" t="s">
        <v>29</v>
      </c>
      <c r="T1945" s="6" t="str">
        <f>HYPERLINK("https://kanzpp.ru/api/getInfo/image/a8a7255f-2e76-11ed-a216-ac1f6b442185")</f>
        <v>https://kanzpp.ru/api/getInfo/image/a8a7255f-2e76-11ed-a216-ac1f6b442185</v>
      </c>
      <c r="U1945" s="6"/>
      <c r="V1945" s="33" t="s">
        <v>35</v>
      </c>
    </row>
    <row r="1946" spans="2:22" ht="21" customHeight="1" outlineLevel="6" x14ac:dyDescent="0.2">
      <c r="B1946" s="69">
        <v>1416</v>
      </c>
      <c r="C1946" s="6" t="s">
        <v>5974</v>
      </c>
      <c r="D1946" s="6" t="s">
        <v>5975</v>
      </c>
      <c r="E1946" s="7" t="s">
        <v>5976</v>
      </c>
      <c r="F1946" s="13"/>
      <c r="G1946" s="14"/>
      <c r="H1946" s="15">
        <v>24</v>
      </c>
      <c r="I1946" s="14"/>
      <c r="J1946" s="15">
        <v>253</v>
      </c>
      <c r="K1946" s="5">
        <v>1</v>
      </c>
      <c r="L1946" s="16">
        <v>132</v>
      </c>
      <c r="M1946" s="12"/>
      <c r="N1946" s="14">
        <f t="shared" si="86"/>
        <v>0</v>
      </c>
      <c r="O1946" s="28">
        <f>0.18*M1946</f>
        <v>0</v>
      </c>
      <c r="P1946" s="24">
        <f>0.00049*M1946</f>
        <v>0</v>
      </c>
      <c r="Q1946" s="25"/>
      <c r="R1946" s="26" t="s">
        <v>5977</v>
      </c>
      <c r="S1946" s="26" t="s">
        <v>29</v>
      </c>
      <c r="T1946" s="6" t="str">
        <f>HYPERLINK("https://kanzpp.ru/api/getInfo/image/735a904e-2e78-11ed-a216-ac1f6b442185")</f>
        <v>https://kanzpp.ru/api/getInfo/image/735a904e-2e78-11ed-a216-ac1f6b442185</v>
      </c>
      <c r="U1946" s="6"/>
      <c r="V1946" s="33" t="s">
        <v>35</v>
      </c>
    </row>
    <row r="1947" spans="2:22" ht="21" customHeight="1" outlineLevel="6" x14ac:dyDescent="0.2">
      <c r="B1947" s="69">
        <v>1417</v>
      </c>
      <c r="C1947" s="6" t="s">
        <v>5978</v>
      </c>
      <c r="D1947" s="6" t="s">
        <v>5979</v>
      </c>
      <c r="E1947" s="7" t="s">
        <v>5980</v>
      </c>
      <c r="F1947" s="13"/>
      <c r="G1947" s="14"/>
      <c r="H1947" s="15">
        <v>24</v>
      </c>
      <c r="I1947" s="14"/>
      <c r="J1947" s="15">
        <v>154</v>
      </c>
      <c r="K1947" s="5">
        <v>1</v>
      </c>
      <c r="L1947" s="16">
        <v>132</v>
      </c>
      <c r="M1947" s="12"/>
      <c r="N1947" s="14">
        <f t="shared" si="86"/>
        <v>0</v>
      </c>
      <c r="O1947" s="23">
        <f>0.172*M1947</f>
        <v>0</v>
      </c>
      <c r="P1947" s="24">
        <f>0.00231*M1947</f>
        <v>0</v>
      </c>
      <c r="Q1947" s="25"/>
      <c r="R1947" s="26" t="s">
        <v>5981</v>
      </c>
      <c r="S1947" s="26" t="s">
        <v>29</v>
      </c>
      <c r="T1947" s="6" t="str">
        <f>HYPERLINK("https://kanzpp.ru/api/getInfo/image/3d9ec159-2e79-11ed-a216-ac1f6b442185")</f>
        <v>https://kanzpp.ru/api/getInfo/image/3d9ec159-2e79-11ed-a216-ac1f6b442185</v>
      </c>
      <c r="U1947" s="6"/>
      <c r="V1947" s="33" t="s">
        <v>35</v>
      </c>
    </row>
    <row r="1948" spans="2:22" ht="21" customHeight="1" outlineLevel="6" x14ac:dyDescent="0.2">
      <c r="B1948" s="69">
        <v>1418</v>
      </c>
      <c r="C1948" s="6" t="s">
        <v>5982</v>
      </c>
      <c r="D1948" s="6" t="s">
        <v>5983</v>
      </c>
      <c r="E1948" s="7" t="s">
        <v>5984</v>
      </c>
      <c r="F1948" s="13"/>
      <c r="G1948" s="14"/>
      <c r="H1948" s="15">
        <v>24</v>
      </c>
      <c r="I1948" s="14"/>
      <c r="J1948" s="15">
        <v>39</v>
      </c>
      <c r="K1948" s="5">
        <v>1</v>
      </c>
      <c r="L1948" s="16">
        <v>132</v>
      </c>
      <c r="M1948" s="12"/>
      <c r="N1948" s="14">
        <f t="shared" si="86"/>
        <v>0</v>
      </c>
      <c r="O1948" s="23">
        <f>0.183*M1948</f>
        <v>0</v>
      </c>
      <c r="P1948" s="24">
        <f>0.00196*M1948</f>
        <v>0</v>
      </c>
      <c r="Q1948" s="25"/>
      <c r="R1948" s="26" t="s">
        <v>5985</v>
      </c>
      <c r="S1948" s="26" t="s">
        <v>29</v>
      </c>
      <c r="T1948" s="6" t="str">
        <f>HYPERLINK("https://kanzpp.ru/api/getInfo/image/da795a05-2e76-11ed-a216-ac1f6b442185")</f>
        <v>https://kanzpp.ru/api/getInfo/image/da795a05-2e76-11ed-a216-ac1f6b442185</v>
      </c>
      <c r="U1948" s="6"/>
      <c r="V1948" s="33" t="s">
        <v>35</v>
      </c>
    </row>
    <row r="1949" spans="2:22" ht="22.95" customHeight="1" outlineLevel="3" x14ac:dyDescent="0.2">
      <c r="B1949" s="81" t="s">
        <v>5986</v>
      </c>
      <c r="C1949" s="81"/>
      <c r="D1949" s="81"/>
      <c r="L1949">
        <v>0</v>
      </c>
    </row>
    <row r="1950" spans="2:22" ht="22.95" customHeight="1" outlineLevel="4" x14ac:dyDescent="0.2">
      <c r="B1950" s="82" t="s">
        <v>5987</v>
      </c>
      <c r="C1950" s="82"/>
      <c r="D1950" s="82"/>
      <c r="L1950">
        <v>0</v>
      </c>
    </row>
    <row r="1951" spans="2:22" ht="22.95" customHeight="1" outlineLevel="5" x14ac:dyDescent="0.2">
      <c r="B1951" s="83" t="s">
        <v>5988</v>
      </c>
      <c r="C1951" s="83"/>
      <c r="D1951" s="83"/>
      <c r="L1951">
        <v>0</v>
      </c>
    </row>
    <row r="1952" spans="2:22" ht="22.95" customHeight="1" outlineLevel="6" x14ac:dyDescent="0.2">
      <c r="B1952" s="84" t="s">
        <v>5989</v>
      </c>
      <c r="C1952" s="84"/>
      <c r="D1952" s="84"/>
      <c r="L1952">
        <v>0</v>
      </c>
    </row>
    <row r="1953" spans="2:22" ht="21" customHeight="1" outlineLevel="7" x14ac:dyDescent="0.2">
      <c r="B1953" s="69">
        <v>1419</v>
      </c>
      <c r="C1953" s="6" t="s">
        <v>5990</v>
      </c>
      <c r="D1953" s="6" t="s">
        <v>5991</v>
      </c>
      <c r="E1953" s="7" t="s">
        <v>5992</v>
      </c>
      <c r="F1953" s="13"/>
      <c r="G1953" s="14"/>
      <c r="H1953" s="15">
        <v>144</v>
      </c>
      <c r="I1953" s="14"/>
      <c r="J1953" s="15">
        <v>945</v>
      </c>
      <c r="K1953" s="5">
        <v>6</v>
      </c>
      <c r="L1953" s="16">
        <v>92</v>
      </c>
      <c r="M1953" s="12"/>
      <c r="N1953" s="14">
        <f t="shared" ref="N1953:N1959" si="87">L1953*M1953</f>
        <v>0</v>
      </c>
      <c r="O1953" s="23">
        <f>0.035*M1953</f>
        <v>0</v>
      </c>
      <c r="P1953" s="31">
        <f>0.0005*M1953</f>
        <v>0</v>
      </c>
      <c r="Q1953" s="25"/>
      <c r="R1953" s="26" t="s">
        <v>5993</v>
      </c>
      <c r="S1953" s="26" t="s">
        <v>93</v>
      </c>
      <c r="T1953" s="6" t="str">
        <f>HYPERLINK("https://kanzpp.ru/api/getInfo/image/119cbf8a-7f37-11ef-a265-00155d82e908")</f>
        <v>https://kanzpp.ru/api/getInfo/image/119cbf8a-7f37-11ef-a265-00155d82e908</v>
      </c>
      <c r="U1953" s="6" t="s">
        <v>5993</v>
      </c>
      <c r="V1953" s="33" t="s">
        <v>35</v>
      </c>
    </row>
    <row r="1954" spans="2:22" ht="21" customHeight="1" outlineLevel="7" x14ac:dyDescent="0.2">
      <c r="B1954" s="69">
        <v>1420</v>
      </c>
      <c r="C1954" s="6" t="s">
        <v>5994</v>
      </c>
      <c r="D1954" s="6" t="s">
        <v>5995</v>
      </c>
      <c r="E1954" s="7" t="s">
        <v>5996</v>
      </c>
      <c r="F1954" s="13"/>
      <c r="G1954" s="14"/>
      <c r="H1954" s="15">
        <v>144</v>
      </c>
      <c r="I1954" s="14"/>
      <c r="J1954" s="14" t="s">
        <v>144</v>
      </c>
      <c r="K1954" s="5">
        <v>6</v>
      </c>
      <c r="L1954" s="16">
        <v>92</v>
      </c>
      <c r="M1954" s="12"/>
      <c r="N1954" s="14">
        <f t="shared" si="87"/>
        <v>0</v>
      </c>
      <c r="O1954" s="23">
        <f>0.034*M1954</f>
        <v>0</v>
      </c>
      <c r="P1954" s="24">
        <f>0.00139*M1954</f>
        <v>0</v>
      </c>
      <c r="Q1954" s="25"/>
      <c r="R1954" s="26" t="s">
        <v>5997</v>
      </c>
      <c r="S1954" s="26" t="s">
        <v>93</v>
      </c>
      <c r="T1954" s="6" t="str">
        <f>HYPERLINK("https://kanzpp.ru/api/getInfo/image/8350dd71-7f38-11ef-a265-00155d82e908")</f>
        <v>https://kanzpp.ru/api/getInfo/image/8350dd71-7f38-11ef-a265-00155d82e908</v>
      </c>
      <c r="U1954" s="6" t="s">
        <v>5997</v>
      </c>
      <c r="V1954" s="33" t="s">
        <v>35</v>
      </c>
    </row>
    <row r="1955" spans="2:22" ht="21" customHeight="1" outlineLevel="7" x14ac:dyDescent="0.2">
      <c r="B1955" s="69">
        <v>1421</v>
      </c>
      <c r="C1955" s="6" t="s">
        <v>5998</v>
      </c>
      <c r="D1955" s="6" t="s">
        <v>5999</v>
      </c>
      <c r="E1955" s="7" t="s">
        <v>6000</v>
      </c>
      <c r="F1955" s="13"/>
      <c r="G1955" s="14"/>
      <c r="H1955" s="15">
        <v>144</v>
      </c>
      <c r="I1955" s="14"/>
      <c r="J1955" s="14" t="s">
        <v>144</v>
      </c>
      <c r="K1955" s="5">
        <v>6</v>
      </c>
      <c r="L1955" s="16">
        <v>92</v>
      </c>
      <c r="M1955" s="12"/>
      <c r="N1955" s="14">
        <f t="shared" si="87"/>
        <v>0</v>
      </c>
      <c r="O1955" s="23">
        <f>0.035*M1955</f>
        <v>0</v>
      </c>
      <c r="P1955" s="31">
        <f>0.0005*M1955</f>
        <v>0</v>
      </c>
      <c r="Q1955" s="25"/>
      <c r="R1955" s="26" t="s">
        <v>6001</v>
      </c>
      <c r="S1955" s="26" t="s">
        <v>93</v>
      </c>
      <c r="T1955" s="6" t="str">
        <f>HYPERLINK("https://kanzpp.ru/api/getInfo/image/ea256e9c-7f37-11ef-a265-00155d82e908")</f>
        <v>https://kanzpp.ru/api/getInfo/image/ea256e9c-7f37-11ef-a265-00155d82e908</v>
      </c>
      <c r="U1955" s="6" t="s">
        <v>6001</v>
      </c>
      <c r="V1955" s="33" t="s">
        <v>35</v>
      </c>
    </row>
    <row r="1956" spans="2:22" ht="21" customHeight="1" outlineLevel="7" x14ac:dyDescent="0.2">
      <c r="B1956" s="69">
        <v>1422</v>
      </c>
      <c r="C1956" s="6" t="s">
        <v>6002</v>
      </c>
      <c r="D1956" s="6" t="s">
        <v>6003</v>
      </c>
      <c r="E1956" s="7" t="s">
        <v>6004</v>
      </c>
      <c r="F1956" s="13"/>
      <c r="G1956" s="14"/>
      <c r="H1956" s="15">
        <v>144</v>
      </c>
      <c r="I1956" s="14"/>
      <c r="J1956" s="14" t="s">
        <v>144</v>
      </c>
      <c r="K1956" s="5">
        <v>6</v>
      </c>
      <c r="L1956" s="16">
        <v>92</v>
      </c>
      <c r="M1956" s="12"/>
      <c r="N1956" s="14">
        <f t="shared" si="87"/>
        <v>0</v>
      </c>
      <c r="O1956" s="23">
        <f>0.035*M1956</f>
        <v>0</v>
      </c>
      <c r="P1956" s="31">
        <f>0.0005*M1956</f>
        <v>0</v>
      </c>
      <c r="Q1956" s="25"/>
      <c r="R1956" s="26" t="s">
        <v>6005</v>
      </c>
      <c r="S1956" s="26" t="s">
        <v>93</v>
      </c>
      <c r="T1956" s="6" t="str">
        <f>HYPERLINK("https://kanzpp.ru/api/getInfo/image/b834e478-7f36-11ef-a265-00155d82e908")</f>
        <v>https://kanzpp.ru/api/getInfo/image/b834e478-7f36-11ef-a265-00155d82e908</v>
      </c>
      <c r="U1956" s="6" t="s">
        <v>6005</v>
      </c>
      <c r="V1956" s="33" t="s">
        <v>35</v>
      </c>
    </row>
    <row r="1957" spans="2:22" ht="21" customHeight="1" outlineLevel="7" x14ac:dyDescent="0.2">
      <c r="B1957" s="69">
        <v>1423</v>
      </c>
      <c r="C1957" s="6" t="s">
        <v>6006</v>
      </c>
      <c r="D1957" s="6" t="s">
        <v>6007</v>
      </c>
      <c r="E1957" s="7" t="s">
        <v>6008</v>
      </c>
      <c r="F1957" s="13"/>
      <c r="G1957" s="14"/>
      <c r="H1957" s="15">
        <v>144</v>
      </c>
      <c r="I1957" s="14"/>
      <c r="J1957" s="14" t="s">
        <v>144</v>
      </c>
      <c r="K1957" s="5">
        <v>6</v>
      </c>
      <c r="L1957" s="16">
        <v>92</v>
      </c>
      <c r="M1957" s="12"/>
      <c r="N1957" s="14">
        <f t="shared" si="87"/>
        <v>0</v>
      </c>
      <c r="O1957" s="23">
        <f>0.036*M1957</f>
        <v>0</v>
      </c>
      <c r="P1957" s="31">
        <f>0.0016*M1957</f>
        <v>0</v>
      </c>
      <c r="Q1957" s="25"/>
      <c r="R1957" s="26" t="s">
        <v>6009</v>
      </c>
      <c r="S1957" s="26" t="s">
        <v>93</v>
      </c>
      <c r="T1957" s="6" t="str">
        <f>HYPERLINK("https://kanzpp.ru/api/getInfo/image/3adf5516-7f38-11ef-a265-00155d82e908")</f>
        <v>https://kanzpp.ru/api/getInfo/image/3adf5516-7f38-11ef-a265-00155d82e908</v>
      </c>
      <c r="U1957" s="6" t="s">
        <v>6009</v>
      </c>
      <c r="V1957" s="33" t="s">
        <v>35</v>
      </c>
    </row>
    <row r="1958" spans="2:22" ht="21" customHeight="1" outlineLevel="7" x14ac:dyDescent="0.2">
      <c r="B1958" s="69">
        <v>1424</v>
      </c>
      <c r="C1958" s="6" t="s">
        <v>6010</v>
      </c>
      <c r="D1958" s="6" t="s">
        <v>6011</v>
      </c>
      <c r="E1958" s="7" t="s">
        <v>6012</v>
      </c>
      <c r="F1958" s="13"/>
      <c r="G1958" s="14"/>
      <c r="H1958" s="15">
        <v>144</v>
      </c>
      <c r="I1958" s="14"/>
      <c r="J1958" s="14" t="s">
        <v>144</v>
      </c>
      <c r="K1958" s="5">
        <v>6</v>
      </c>
      <c r="L1958" s="16">
        <v>92</v>
      </c>
      <c r="M1958" s="12"/>
      <c r="N1958" s="14">
        <f t="shared" si="87"/>
        <v>0</v>
      </c>
      <c r="O1958" s="28">
        <f>0.04*M1958</f>
        <v>0</v>
      </c>
      <c r="P1958" s="31">
        <f>0.0017*M1958</f>
        <v>0</v>
      </c>
      <c r="Q1958" s="25"/>
      <c r="R1958" s="26" t="s">
        <v>6013</v>
      </c>
      <c r="S1958" s="26" t="s">
        <v>93</v>
      </c>
      <c r="T1958" s="6" t="str">
        <f>HYPERLINK("https://kanzpp.ru/api/getInfo/image/5a8672e5-7f37-11ef-a265-00155d82e908")</f>
        <v>https://kanzpp.ru/api/getInfo/image/5a8672e5-7f37-11ef-a265-00155d82e908</v>
      </c>
      <c r="U1958" s="6" t="s">
        <v>6013</v>
      </c>
      <c r="V1958" s="33" t="s">
        <v>35</v>
      </c>
    </row>
    <row r="1959" spans="2:22" ht="21" customHeight="1" outlineLevel="7" x14ac:dyDescent="0.2">
      <c r="B1959" s="69">
        <v>1425</v>
      </c>
      <c r="C1959" s="6" t="s">
        <v>6014</v>
      </c>
      <c r="D1959" s="6" t="s">
        <v>6015</v>
      </c>
      <c r="E1959" s="7" t="s">
        <v>6016</v>
      </c>
      <c r="F1959" s="13"/>
      <c r="G1959" s="14"/>
      <c r="H1959" s="15">
        <v>144</v>
      </c>
      <c r="I1959" s="14"/>
      <c r="J1959" s="14" t="s">
        <v>144</v>
      </c>
      <c r="K1959" s="5">
        <v>6</v>
      </c>
      <c r="L1959" s="16">
        <v>92</v>
      </c>
      <c r="M1959" s="12"/>
      <c r="N1959" s="14">
        <f t="shared" si="87"/>
        <v>0</v>
      </c>
      <c r="O1959" s="23">
        <f>0.035*M1959</f>
        <v>0</v>
      </c>
      <c r="P1959" s="24">
        <f>0.00152*M1959</f>
        <v>0</v>
      </c>
      <c r="Q1959" s="25"/>
      <c r="R1959" s="26" t="s">
        <v>6017</v>
      </c>
      <c r="S1959" s="26" t="s">
        <v>93</v>
      </c>
      <c r="T1959" s="6" t="str">
        <f>HYPERLINK("https://kanzpp.ru/api/getInfo/image/1a5f861b-7f39-11ef-a265-00155d82e908")</f>
        <v>https://kanzpp.ru/api/getInfo/image/1a5f861b-7f39-11ef-a265-00155d82e908</v>
      </c>
      <c r="U1959" s="6" t="s">
        <v>6017</v>
      </c>
      <c r="V1959" s="33" t="s">
        <v>35</v>
      </c>
    </row>
    <row r="1960" spans="2:22" ht="22.95" customHeight="1" outlineLevel="5" x14ac:dyDescent="0.2">
      <c r="B1960" s="83" t="s">
        <v>6018</v>
      </c>
      <c r="C1960" s="83"/>
      <c r="D1960" s="83"/>
      <c r="L1960">
        <v>0</v>
      </c>
    </row>
    <row r="1961" spans="2:22" ht="22.95" customHeight="1" outlineLevel="6" x14ac:dyDescent="0.2">
      <c r="B1961" s="84" t="s">
        <v>6019</v>
      </c>
      <c r="C1961" s="84"/>
      <c r="D1961" s="84"/>
      <c r="L1961">
        <v>0</v>
      </c>
    </row>
    <row r="1962" spans="2:22" ht="21" customHeight="1" outlineLevel="7" x14ac:dyDescent="0.2">
      <c r="B1962" s="69">
        <v>1426</v>
      </c>
      <c r="C1962" s="6" t="s">
        <v>6020</v>
      </c>
      <c r="D1962" s="6" t="s">
        <v>6021</v>
      </c>
      <c r="E1962" s="7" t="s">
        <v>6022</v>
      </c>
      <c r="F1962" s="13"/>
      <c r="G1962" s="14"/>
      <c r="H1962" s="15">
        <v>40</v>
      </c>
      <c r="I1962" s="14"/>
      <c r="J1962" s="15">
        <v>318</v>
      </c>
      <c r="K1962" s="5">
        <v>5</v>
      </c>
      <c r="L1962" s="16">
        <v>100</v>
      </c>
      <c r="M1962" s="12"/>
      <c r="N1962" s="14">
        <f t="shared" ref="N1962:N1974" si="88">L1962*M1962</f>
        <v>0</v>
      </c>
      <c r="O1962" s="23">
        <f>0.057*M1962</f>
        <v>0</v>
      </c>
      <c r="P1962" s="24">
        <f>0.00118*M1962</f>
        <v>0</v>
      </c>
      <c r="Q1962" s="25"/>
      <c r="R1962" s="26" t="s">
        <v>6023</v>
      </c>
      <c r="S1962" s="26" t="s">
        <v>29</v>
      </c>
      <c r="T1962" s="6" t="str">
        <f>HYPERLINK("https://kanzpp.ru/api/getInfo/image/9df54541-236f-11ed-a216-ac1f6b442185")</f>
        <v>https://kanzpp.ru/api/getInfo/image/9df54541-236f-11ed-a216-ac1f6b442185</v>
      </c>
      <c r="U1962" s="6"/>
      <c r="V1962" s="33" t="s">
        <v>35</v>
      </c>
    </row>
    <row r="1963" spans="2:22" ht="21" customHeight="1" outlineLevel="7" x14ac:dyDescent="0.2">
      <c r="B1963" s="69">
        <v>1427</v>
      </c>
      <c r="C1963" s="6" t="s">
        <v>6024</v>
      </c>
      <c r="D1963" s="6" t="s">
        <v>6025</v>
      </c>
      <c r="E1963" s="7" t="s">
        <v>6026</v>
      </c>
      <c r="F1963" s="13"/>
      <c r="G1963" s="14"/>
      <c r="H1963" s="15">
        <v>40</v>
      </c>
      <c r="I1963" s="14"/>
      <c r="J1963" s="15">
        <v>17</v>
      </c>
      <c r="K1963" s="5">
        <v>5</v>
      </c>
      <c r="L1963" s="16">
        <v>100</v>
      </c>
      <c r="M1963" s="12"/>
      <c r="N1963" s="14">
        <f t="shared" si="88"/>
        <v>0</v>
      </c>
      <c r="O1963" s="23">
        <f>0.057*M1963</f>
        <v>0</v>
      </c>
      <c r="P1963" s="24">
        <f>0.00118*M1963</f>
        <v>0</v>
      </c>
      <c r="Q1963" s="25"/>
      <c r="R1963" s="26" t="s">
        <v>6027</v>
      </c>
      <c r="S1963" s="26" t="s">
        <v>29</v>
      </c>
      <c r="T1963" s="6" t="str">
        <f>HYPERLINK("https://kanzpp.ru/api/getInfo/image/f1621ccc-2517-11ed-a216-ac1f6b442185")</f>
        <v>https://kanzpp.ru/api/getInfo/image/f1621ccc-2517-11ed-a216-ac1f6b442185</v>
      </c>
      <c r="U1963" s="6"/>
      <c r="V1963" s="33" t="s">
        <v>35</v>
      </c>
    </row>
    <row r="1964" spans="2:22" ht="21" customHeight="1" outlineLevel="7" x14ac:dyDescent="0.2">
      <c r="B1964" s="69">
        <v>1428</v>
      </c>
      <c r="C1964" s="6" t="s">
        <v>6028</v>
      </c>
      <c r="D1964" s="6" t="s">
        <v>6029</v>
      </c>
      <c r="E1964" s="7" t="s">
        <v>6030</v>
      </c>
      <c r="F1964" s="13"/>
      <c r="G1964" s="14"/>
      <c r="H1964" s="15">
        <v>40</v>
      </c>
      <c r="I1964" s="14"/>
      <c r="J1964" s="15">
        <v>283</v>
      </c>
      <c r="K1964" s="5">
        <v>5</v>
      </c>
      <c r="L1964" s="16">
        <v>100</v>
      </c>
      <c r="M1964" s="12"/>
      <c r="N1964" s="14">
        <f t="shared" si="88"/>
        <v>0</v>
      </c>
      <c r="O1964" s="23">
        <f>0.057*M1964</f>
        <v>0</v>
      </c>
      <c r="P1964" s="24">
        <f>0.00118*M1964</f>
        <v>0</v>
      </c>
      <c r="Q1964" s="25"/>
      <c r="R1964" s="26" t="s">
        <v>6031</v>
      </c>
      <c r="S1964" s="26" t="s">
        <v>29</v>
      </c>
      <c r="T1964" s="6" t="str">
        <f>HYPERLINK("https://kanzpp.ru/api/getInfo/image/036f2a14-2370-11ed-a216-ac1f6b442185")</f>
        <v>https://kanzpp.ru/api/getInfo/image/036f2a14-2370-11ed-a216-ac1f6b442185</v>
      </c>
      <c r="U1964" s="6"/>
      <c r="V1964" s="33" t="s">
        <v>35</v>
      </c>
    </row>
    <row r="1965" spans="2:22" ht="21" customHeight="1" outlineLevel="7" x14ac:dyDescent="0.2">
      <c r="B1965" s="69">
        <v>1429</v>
      </c>
      <c r="C1965" s="6" t="s">
        <v>6032</v>
      </c>
      <c r="D1965" s="6" t="s">
        <v>6033</v>
      </c>
      <c r="E1965" s="7" t="s">
        <v>6034</v>
      </c>
      <c r="F1965" s="13"/>
      <c r="G1965" s="14"/>
      <c r="H1965" s="15">
        <v>40</v>
      </c>
      <c r="I1965" s="14"/>
      <c r="J1965" s="15">
        <v>83</v>
      </c>
      <c r="K1965" s="5">
        <v>5</v>
      </c>
      <c r="L1965" s="16">
        <v>100</v>
      </c>
      <c r="M1965" s="12"/>
      <c r="N1965" s="14">
        <f t="shared" si="88"/>
        <v>0</v>
      </c>
      <c r="O1965" s="23">
        <f>0.033*M1965</f>
        <v>0</v>
      </c>
      <c r="P1965" s="24">
        <f>0.00147*M1965</f>
        <v>0</v>
      </c>
      <c r="Q1965" s="25"/>
      <c r="R1965" s="26" t="s">
        <v>6035</v>
      </c>
      <c r="S1965" s="26" t="s">
        <v>29</v>
      </c>
      <c r="T1965" s="6" t="str">
        <f>HYPERLINK("https://kanzpp.ru/api/getInfo/image/ce7d419f-2370-11ed-a216-ac1f6b442185")</f>
        <v>https://kanzpp.ru/api/getInfo/image/ce7d419f-2370-11ed-a216-ac1f6b442185</v>
      </c>
      <c r="U1965" s="6"/>
      <c r="V1965" s="33" t="s">
        <v>35</v>
      </c>
    </row>
    <row r="1966" spans="2:22" ht="21" customHeight="1" outlineLevel="7" x14ac:dyDescent="0.2">
      <c r="B1966" s="69">
        <v>1430</v>
      </c>
      <c r="C1966" s="6" t="s">
        <v>6036</v>
      </c>
      <c r="D1966" s="6" t="s">
        <v>6037</v>
      </c>
      <c r="E1966" s="7" t="s">
        <v>6038</v>
      </c>
      <c r="F1966" s="13"/>
      <c r="G1966" s="14"/>
      <c r="H1966" s="15">
        <v>144</v>
      </c>
      <c r="I1966" s="14"/>
      <c r="J1966" s="15">
        <v>55</v>
      </c>
      <c r="K1966" s="5">
        <v>5</v>
      </c>
      <c r="L1966" s="16">
        <v>100</v>
      </c>
      <c r="M1966" s="12"/>
      <c r="N1966" s="14">
        <f t="shared" si="88"/>
        <v>0</v>
      </c>
      <c r="O1966" s="23">
        <f>0.035*M1966</f>
        <v>0</v>
      </c>
      <c r="P1966" s="31">
        <f>0.0005*M1966</f>
        <v>0</v>
      </c>
      <c r="Q1966" s="25"/>
      <c r="R1966" s="26" t="s">
        <v>6039</v>
      </c>
      <c r="S1966" s="26" t="s">
        <v>93</v>
      </c>
      <c r="T1966" s="6" t="str">
        <f>HYPERLINK("https://kanzpp.ru/api/getInfo/image/85a855f9-7f33-11ef-a265-00155d82e908")</f>
        <v>https://kanzpp.ru/api/getInfo/image/85a855f9-7f33-11ef-a265-00155d82e908</v>
      </c>
      <c r="U1966" s="6" t="s">
        <v>6039</v>
      </c>
      <c r="V1966" s="33" t="s">
        <v>35</v>
      </c>
    </row>
    <row r="1967" spans="2:22" ht="21" customHeight="1" outlineLevel="7" x14ac:dyDescent="0.2">
      <c r="B1967" s="69">
        <v>1431</v>
      </c>
      <c r="C1967" s="6" t="s">
        <v>6040</v>
      </c>
      <c r="D1967" s="6" t="s">
        <v>6041</v>
      </c>
      <c r="E1967" s="7" t="s">
        <v>6042</v>
      </c>
      <c r="F1967" s="13"/>
      <c r="G1967" s="14"/>
      <c r="H1967" s="15">
        <v>40</v>
      </c>
      <c r="I1967" s="14"/>
      <c r="J1967" s="15">
        <v>158</v>
      </c>
      <c r="K1967" s="5">
        <v>5</v>
      </c>
      <c r="L1967" s="16">
        <v>100</v>
      </c>
      <c r="M1967" s="12"/>
      <c r="N1967" s="14">
        <f t="shared" si="88"/>
        <v>0</v>
      </c>
      <c r="O1967" s="23">
        <f>0.057*M1967</f>
        <v>0</v>
      </c>
      <c r="P1967" s="24">
        <f>0.00118*M1967</f>
        <v>0</v>
      </c>
      <c r="Q1967" s="25"/>
      <c r="R1967" s="26" t="s">
        <v>6043</v>
      </c>
      <c r="S1967" s="26" t="s">
        <v>29</v>
      </c>
      <c r="T1967" s="6" t="str">
        <f>HYPERLINK("https://kanzpp.ru/api/getInfo/image/a6e9fb92-2370-11ed-a216-ac1f6b442185")</f>
        <v>https://kanzpp.ru/api/getInfo/image/a6e9fb92-2370-11ed-a216-ac1f6b442185</v>
      </c>
      <c r="U1967" s="6"/>
      <c r="V1967" s="33" t="s">
        <v>35</v>
      </c>
    </row>
    <row r="1968" spans="2:22" ht="21" customHeight="1" outlineLevel="7" x14ac:dyDescent="0.2">
      <c r="B1968" s="69">
        <v>1432</v>
      </c>
      <c r="C1968" s="6" t="s">
        <v>6044</v>
      </c>
      <c r="D1968" s="6" t="s">
        <v>6045</v>
      </c>
      <c r="E1968" s="7" t="s">
        <v>6046</v>
      </c>
      <c r="F1968" s="13"/>
      <c r="G1968" s="14"/>
      <c r="H1968" s="15">
        <v>144</v>
      </c>
      <c r="I1968" s="14"/>
      <c r="J1968" s="14" t="s">
        <v>144</v>
      </c>
      <c r="K1968" s="5">
        <v>5</v>
      </c>
      <c r="L1968" s="16">
        <v>100</v>
      </c>
      <c r="M1968" s="12"/>
      <c r="N1968" s="14">
        <f t="shared" si="88"/>
        <v>0</v>
      </c>
      <c r="O1968" s="23">
        <f>0.035*M1968</f>
        <v>0</v>
      </c>
      <c r="P1968" s="31">
        <f>0.0005*M1968</f>
        <v>0</v>
      </c>
      <c r="Q1968" s="25"/>
      <c r="R1968" s="26" t="s">
        <v>6047</v>
      </c>
      <c r="S1968" s="26" t="s">
        <v>93</v>
      </c>
      <c r="T1968" s="6" t="str">
        <f>HYPERLINK("https://kanzpp.ru/api/getInfo/image/ba6d88c8-7f34-11ef-a265-00155d82e908")</f>
        <v>https://kanzpp.ru/api/getInfo/image/ba6d88c8-7f34-11ef-a265-00155d82e908</v>
      </c>
      <c r="U1968" s="6" t="s">
        <v>6047</v>
      </c>
      <c r="V1968" s="33" t="s">
        <v>35</v>
      </c>
    </row>
    <row r="1969" spans="2:22" ht="21" customHeight="1" outlineLevel="7" x14ac:dyDescent="0.2">
      <c r="B1969" s="69">
        <v>1433</v>
      </c>
      <c r="C1969" s="6" t="s">
        <v>6048</v>
      </c>
      <c r="D1969" s="6" t="s">
        <v>6049</v>
      </c>
      <c r="E1969" s="7" t="s">
        <v>6050</v>
      </c>
      <c r="F1969" s="13"/>
      <c r="G1969" s="14"/>
      <c r="H1969" s="15">
        <v>40</v>
      </c>
      <c r="I1969" s="14"/>
      <c r="J1969" s="15">
        <v>605</v>
      </c>
      <c r="K1969" s="5">
        <v>5</v>
      </c>
      <c r="L1969" s="16">
        <v>100</v>
      </c>
      <c r="M1969" s="12"/>
      <c r="N1969" s="14">
        <f t="shared" si="88"/>
        <v>0</v>
      </c>
      <c r="O1969" s="23">
        <f>0.057*M1969</f>
        <v>0</v>
      </c>
      <c r="P1969" s="24">
        <f>0.00118*M1969</f>
        <v>0</v>
      </c>
      <c r="Q1969" s="25"/>
      <c r="R1969" s="26" t="s">
        <v>6051</v>
      </c>
      <c r="S1969" s="26" t="s">
        <v>29</v>
      </c>
      <c r="T1969" s="6" t="str">
        <f>HYPERLINK("https://kanzpp.ru/api/getInfo/image/50a5c191-2370-11ed-a216-ac1f6b442185")</f>
        <v>https://kanzpp.ru/api/getInfo/image/50a5c191-2370-11ed-a216-ac1f6b442185</v>
      </c>
      <c r="U1969" s="6"/>
      <c r="V1969" s="33" t="s">
        <v>35</v>
      </c>
    </row>
    <row r="1970" spans="2:22" ht="21" customHeight="1" outlineLevel="7" x14ac:dyDescent="0.2">
      <c r="B1970" s="69">
        <v>1434</v>
      </c>
      <c r="C1970" s="6" t="s">
        <v>6052</v>
      </c>
      <c r="D1970" s="6" t="s">
        <v>6053</v>
      </c>
      <c r="E1970" s="7" t="s">
        <v>6054</v>
      </c>
      <c r="F1970" s="13"/>
      <c r="G1970" s="14"/>
      <c r="H1970" s="15">
        <v>40</v>
      </c>
      <c r="I1970" s="14"/>
      <c r="J1970" s="15">
        <v>375</v>
      </c>
      <c r="K1970" s="5">
        <v>5</v>
      </c>
      <c r="L1970" s="16">
        <v>100</v>
      </c>
      <c r="M1970" s="12"/>
      <c r="N1970" s="14">
        <f t="shared" si="88"/>
        <v>0</v>
      </c>
      <c r="O1970" s="23">
        <f>0.057*M1970</f>
        <v>0</v>
      </c>
      <c r="P1970" s="24">
        <f>0.00118*M1970</f>
        <v>0</v>
      </c>
      <c r="Q1970" s="25"/>
      <c r="R1970" s="26" t="s">
        <v>6055</v>
      </c>
      <c r="S1970" s="26" t="s">
        <v>29</v>
      </c>
      <c r="T1970" s="6" t="str">
        <f>HYPERLINK("https://kanzpp.ru/api/getInfo/image/75072f45-2370-11ed-a216-ac1f6b442185")</f>
        <v>https://kanzpp.ru/api/getInfo/image/75072f45-2370-11ed-a216-ac1f6b442185</v>
      </c>
      <c r="U1970" s="6"/>
      <c r="V1970" s="33" t="s">
        <v>35</v>
      </c>
    </row>
    <row r="1971" spans="2:22" ht="21" customHeight="1" outlineLevel="7" x14ac:dyDescent="0.2">
      <c r="B1971" s="69">
        <v>1435</v>
      </c>
      <c r="C1971" s="6" t="s">
        <v>6056</v>
      </c>
      <c r="D1971" s="6" t="s">
        <v>6057</v>
      </c>
      <c r="E1971" s="7" t="s">
        <v>6058</v>
      </c>
      <c r="F1971" s="13"/>
      <c r="G1971" s="14"/>
      <c r="H1971" s="15">
        <v>40</v>
      </c>
      <c r="I1971" s="14"/>
      <c r="J1971" s="15">
        <v>542</v>
      </c>
      <c r="K1971" s="5">
        <v>5</v>
      </c>
      <c r="L1971" s="16">
        <v>100</v>
      </c>
      <c r="M1971" s="12"/>
      <c r="N1971" s="14">
        <f t="shared" si="88"/>
        <v>0</v>
      </c>
      <c r="O1971" s="23">
        <f>0.057*M1971</f>
        <v>0</v>
      </c>
      <c r="P1971" s="24">
        <f>0.00118*M1971</f>
        <v>0</v>
      </c>
      <c r="Q1971" s="25"/>
      <c r="R1971" s="26" t="s">
        <v>6059</v>
      </c>
      <c r="S1971" s="26" t="s">
        <v>29</v>
      </c>
      <c r="T1971" s="6" t="str">
        <f>HYPERLINK("https://kanzpp.ru/api/getInfo/image/29d863c8-2370-11ed-a216-ac1f6b442185")</f>
        <v>https://kanzpp.ru/api/getInfo/image/29d863c8-2370-11ed-a216-ac1f6b442185</v>
      </c>
      <c r="U1971" s="6"/>
      <c r="V1971" s="33" t="s">
        <v>35</v>
      </c>
    </row>
    <row r="1972" spans="2:22" ht="21" customHeight="1" outlineLevel="7" x14ac:dyDescent="0.2">
      <c r="B1972" s="69">
        <v>1436</v>
      </c>
      <c r="C1972" s="6" t="s">
        <v>6060</v>
      </c>
      <c r="D1972" s="6" t="s">
        <v>6061</v>
      </c>
      <c r="E1972" s="7" t="s">
        <v>6062</v>
      </c>
      <c r="F1972" s="13"/>
      <c r="G1972" s="14"/>
      <c r="H1972" s="15">
        <v>144</v>
      </c>
      <c r="I1972" s="14"/>
      <c r="J1972" s="15">
        <v>354</v>
      </c>
      <c r="K1972" s="5">
        <v>5</v>
      </c>
      <c r="L1972" s="16">
        <v>100</v>
      </c>
      <c r="M1972" s="12"/>
      <c r="N1972" s="14">
        <f t="shared" si="88"/>
        <v>0</v>
      </c>
      <c r="O1972" s="23">
        <f>0.038*M1972</f>
        <v>0</v>
      </c>
      <c r="P1972" s="24">
        <f>0.00158*M1972</f>
        <v>0</v>
      </c>
      <c r="Q1972" s="25"/>
      <c r="R1972" s="26" t="s">
        <v>6063</v>
      </c>
      <c r="S1972" s="26" t="s">
        <v>93</v>
      </c>
      <c r="T1972" s="6" t="str">
        <f>HYPERLINK("https://kanzpp.ru/api/getInfo/image/1dd95adf-7f34-11ef-a265-00155d82e908")</f>
        <v>https://kanzpp.ru/api/getInfo/image/1dd95adf-7f34-11ef-a265-00155d82e908</v>
      </c>
      <c r="U1972" s="6" t="s">
        <v>6063</v>
      </c>
      <c r="V1972" s="33" t="s">
        <v>35</v>
      </c>
    </row>
    <row r="1973" spans="2:22" ht="21" customHeight="1" outlineLevel="7" x14ac:dyDescent="0.2">
      <c r="B1973" s="69">
        <v>1437</v>
      </c>
      <c r="C1973" s="6" t="s">
        <v>6064</v>
      </c>
      <c r="D1973" s="6" t="s">
        <v>6065</v>
      </c>
      <c r="E1973" s="7" t="s">
        <v>6066</v>
      </c>
      <c r="F1973" s="13"/>
      <c r="G1973" s="14"/>
      <c r="H1973" s="15">
        <v>144</v>
      </c>
      <c r="I1973" s="14"/>
      <c r="J1973" s="15">
        <v>551</v>
      </c>
      <c r="K1973" s="5">
        <v>5</v>
      </c>
      <c r="L1973" s="16">
        <v>100</v>
      </c>
      <c r="M1973" s="12"/>
      <c r="N1973" s="14">
        <f t="shared" si="88"/>
        <v>0</v>
      </c>
      <c r="O1973" s="23">
        <f>0.035*M1973</f>
        <v>0</v>
      </c>
      <c r="P1973" s="31">
        <f>0.0014*M1973</f>
        <v>0</v>
      </c>
      <c r="Q1973" s="25"/>
      <c r="R1973" s="26" t="s">
        <v>6067</v>
      </c>
      <c r="S1973" s="26" t="s">
        <v>93</v>
      </c>
      <c r="T1973" s="6" t="str">
        <f>HYPERLINK("https://kanzpp.ru/api/getInfo/image/7ad472cb-7f35-11ef-a265-00155d82e908")</f>
        <v>https://kanzpp.ru/api/getInfo/image/7ad472cb-7f35-11ef-a265-00155d82e908</v>
      </c>
      <c r="U1973" s="6" t="s">
        <v>6067</v>
      </c>
      <c r="V1973" s="33" t="s">
        <v>35</v>
      </c>
    </row>
    <row r="1974" spans="2:22" ht="21" customHeight="1" outlineLevel="7" x14ac:dyDescent="0.2">
      <c r="B1974" s="69">
        <v>1438</v>
      </c>
      <c r="C1974" s="6" t="s">
        <v>6068</v>
      </c>
      <c r="D1974" s="6" t="s">
        <v>6069</v>
      </c>
      <c r="E1974" s="7" t="s">
        <v>6070</v>
      </c>
      <c r="F1974" s="13"/>
      <c r="G1974" s="14"/>
      <c r="H1974" s="15">
        <v>40</v>
      </c>
      <c r="I1974" s="14"/>
      <c r="J1974" s="15">
        <v>88</v>
      </c>
      <c r="K1974" s="5">
        <v>5</v>
      </c>
      <c r="L1974" s="16">
        <v>100</v>
      </c>
      <c r="M1974" s="12"/>
      <c r="N1974" s="14">
        <f t="shared" si="88"/>
        <v>0</v>
      </c>
      <c r="O1974" s="23">
        <f>0.057*M1974</f>
        <v>0</v>
      </c>
      <c r="P1974" s="24">
        <f>0.00118*M1974</f>
        <v>0</v>
      </c>
      <c r="Q1974" s="25"/>
      <c r="R1974" s="26" t="s">
        <v>6071</v>
      </c>
      <c r="S1974" s="26" t="s">
        <v>29</v>
      </c>
      <c r="T1974" s="6" t="str">
        <f>HYPERLINK("https://kanzpp.ru/api/getInfo/image/f7cc1317-2370-11ed-a216-ac1f6b442185")</f>
        <v>https://kanzpp.ru/api/getInfo/image/f7cc1317-2370-11ed-a216-ac1f6b442185</v>
      </c>
      <c r="U1974" s="6"/>
      <c r="V1974" s="33" t="s">
        <v>35</v>
      </c>
    </row>
    <row r="1975" spans="2:22" ht="22.95" customHeight="1" outlineLevel="5" x14ac:dyDescent="0.2">
      <c r="B1975" s="83" t="s">
        <v>6072</v>
      </c>
      <c r="C1975" s="83"/>
      <c r="D1975" s="83"/>
      <c r="L1975">
        <v>0</v>
      </c>
    </row>
    <row r="1976" spans="2:22" ht="22.95" customHeight="1" outlineLevel="6" x14ac:dyDescent="0.2">
      <c r="B1976" s="84" t="s">
        <v>6073</v>
      </c>
      <c r="C1976" s="84"/>
      <c r="D1976" s="84"/>
      <c r="L1976">
        <v>0</v>
      </c>
    </row>
    <row r="1977" spans="2:22" ht="21" customHeight="1" outlineLevel="7" x14ac:dyDescent="0.2">
      <c r="B1977" s="69">
        <v>1439</v>
      </c>
      <c r="C1977" s="6" t="s">
        <v>6074</v>
      </c>
      <c r="D1977" s="6" t="s">
        <v>6075</v>
      </c>
      <c r="E1977" s="7" t="s">
        <v>6076</v>
      </c>
      <c r="F1977" s="13"/>
      <c r="G1977" s="14"/>
      <c r="H1977" s="15">
        <v>70</v>
      </c>
      <c r="I1977" s="14"/>
      <c r="J1977" s="15">
        <v>592</v>
      </c>
      <c r="K1977" s="5">
        <v>10</v>
      </c>
      <c r="L1977" s="16">
        <v>38.666666666666664</v>
      </c>
      <c r="M1977" s="12"/>
      <c r="N1977" s="14">
        <f t="shared" ref="N1977:N1983" si="89">L1977*M1977</f>
        <v>0</v>
      </c>
      <c r="O1977" s="23">
        <f t="shared" ref="O1977:O1983" si="90">0.019*M1977</f>
        <v>0</v>
      </c>
      <c r="P1977" s="24">
        <f t="shared" ref="P1977:P1983" si="91">0.00052*M1977</f>
        <v>0</v>
      </c>
      <c r="Q1977" s="25"/>
      <c r="R1977" s="26" t="s">
        <v>6077</v>
      </c>
      <c r="S1977" s="26" t="s">
        <v>29</v>
      </c>
      <c r="T1977" s="6" t="str">
        <f>HYPERLINK("https://kanzpp.ru/api/getInfo/image/50d68ab0-0018-11ec-a20e-ac1f6b442185")</f>
        <v>https://kanzpp.ru/api/getInfo/image/50d68ab0-0018-11ec-a20e-ac1f6b442185</v>
      </c>
      <c r="U1977" s="6"/>
      <c r="V1977" s="33" t="s">
        <v>35</v>
      </c>
    </row>
    <row r="1978" spans="2:22" ht="21" customHeight="1" outlineLevel="7" x14ac:dyDescent="0.2">
      <c r="B1978" s="69">
        <v>1440</v>
      </c>
      <c r="C1978" s="6" t="s">
        <v>6078</v>
      </c>
      <c r="D1978" s="6" t="s">
        <v>6079</v>
      </c>
      <c r="E1978" s="7" t="s">
        <v>6080</v>
      </c>
      <c r="F1978" s="13"/>
      <c r="G1978" s="14"/>
      <c r="H1978" s="15">
        <v>70</v>
      </c>
      <c r="I1978" s="14"/>
      <c r="J1978" s="15">
        <v>195</v>
      </c>
      <c r="K1978" s="5">
        <v>10</v>
      </c>
      <c r="L1978" s="16">
        <v>38.666666666666664</v>
      </c>
      <c r="M1978" s="12"/>
      <c r="N1978" s="14">
        <f t="shared" si="89"/>
        <v>0</v>
      </c>
      <c r="O1978" s="23">
        <f t="shared" si="90"/>
        <v>0</v>
      </c>
      <c r="P1978" s="24">
        <f t="shared" si="91"/>
        <v>0</v>
      </c>
      <c r="Q1978" s="25"/>
      <c r="R1978" s="26" t="s">
        <v>6081</v>
      </c>
      <c r="S1978" s="26" t="s">
        <v>29</v>
      </c>
      <c r="T1978" s="6" t="str">
        <f>HYPERLINK("https://kanzpp.ru/api/getInfo/image/01108acb-026d-11ed-a213-ac1f6b442185")</f>
        <v>https://kanzpp.ru/api/getInfo/image/01108acb-026d-11ed-a213-ac1f6b442185</v>
      </c>
      <c r="U1978" s="6"/>
      <c r="V1978" s="33" t="s">
        <v>35</v>
      </c>
    </row>
    <row r="1979" spans="2:22" ht="21" customHeight="1" outlineLevel="7" x14ac:dyDescent="0.2">
      <c r="B1979" s="69">
        <v>1441</v>
      </c>
      <c r="C1979" s="6" t="s">
        <v>6082</v>
      </c>
      <c r="D1979" s="6" t="s">
        <v>6083</v>
      </c>
      <c r="E1979" s="7" t="s">
        <v>6084</v>
      </c>
      <c r="F1979" s="13"/>
      <c r="G1979" s="14"/>
      <c r="H1979" s="15">
        <v>70</v>
      </c>
      <c r="I1979" s="14"/>
      <c r="J1979" s="15">
        <v>243</v>
      </c>
      <c r="K1979" s="5">
        <v>10</v>
      </c>
      <c r="L1979" s="16">
        <v>38.666666666666664</v>
      </c>
      <c r="M1979" s="12"/>
      <c r="N1979" s="14">
        <f t="shared" si="89"/>
        <v>0</v>
      </c>
      <c r="O1979" s="23">
        <f t="shared" si="90"/>
        <v>0</v>
      </c>
      <c r="P1979" s="24">
        <f t="shared" si="91"/>
        <v>0</v>
      </c>
      <c r="Q1979" s="25"/>
      <c r="R1979" s="26" t="s">
        <v>6085</v>
      </c>
      <c r="S1979" s="26" t="s">
        <v>29</v>
      </c>
      <c r="T1979" s="6" t="str">
        <f>HYPERLINK("https://kanzpp.ru/api/getInfo/image/b40c9f43-02a9-11ed-a213-ac1f6b442185")</f>
        <v>https://kanzpp.ru/api/getInfo/image/b40c9f43-02a9-11ed-a213-ac1f6b442185</v>
      </c>
      <c r="U1979" s="6"/>
      <c r="V1979" s="33" t="s">
        <v>35</v>
      </c>
    </row>
    <row r="1980" spans="2:22" ht="21" customHeight="1" outlineLevel="7" x14ac:dyDescent="0.2">
      <c r="B1980" s="69">
        <v>1442</v>
      </c>
      <c r="C1980" s="6" t="s">
        <v>6086</v>
      </c>
      <c r="D1980" s="6" t="s">
        <v>6087</v>
      </c>
      <c r="E1980" s="7" t="s">
        <v>6088</v>
      </c>
      <c r="F1980" s="13"/>
      <c r="G1980" s="14"/>
      <c r="H1980" s="15">
        <v>70</v>
      </c>
      <c r="I1980" s="14"/>
      <c r="J1980" s="15">
        <v>986</v>
      </c>
      <c r="K1980" s="5">
        <v>10</v>
      </c>
      <c r="L1980" s="16">
        <v>38.666666666666664</v>
      </c>
      <c r="M1980" s="12"/>
      <c r="N1980" s="14">
        <f t="shared" si="89"/>
        <v>0</v>
      </c>
      <c r="O1980" s="23">
        <f t="shared" si="90"/>
        <v>0</v>
      </c>
      <c r="P1980" s="24">
        <f t="shared" si="91"/>
        <v>0</v>
      </c>
      <c r="Q1980" s="25"/>
      <c r="R1980" s="26" t="s">
        <v>6089</v>
      </c>
      <c r="S1980" s="26" t="s">
        <v>29</v>
      </c>
      <c r="T1980" s="6"/>
      <c r="U1980" s="6"/>
      <c r="V1980" s="33" t="s">
        <v>35</v>
      </c>
    </row>
    <row r="1981" spans="2:22" ht="21" customHeight="1" outlineLevel="7" x14ac:dyDescent="0.2">
      <c r="B1981" s="69">
        <v>1443</v>
      </c>
      <c r="C1981" s="6" t="s">
        <v>6090</v>
      </c>
      <c r="D1981" s="6" t="s">
        <v>6091</v>
      </c>
      <c r="E1981" s="7" t="s">
        <v>6092</v>
      </c>
      <c r="F1981" s="13"/>
      <c r="G1981" s="14"/>
      <c r="H1981" s="15">
        <v>70</v>
      </c>
      <c r="I1981" s="14"/>
      <c r="J1981" s="15">
        <v>986</v>
      </c>
      <c r="K1981" s="5">
        <v>10</v>
      </c>
      <c r="L1981" s="16">
        <v>38.666666666666664</v>
      </c>
      <c r="M1981" s="12"/>
      <c r="N1981" s="14">
        <f t="shared" si="89"/>
        <v>0</v>
      </c>
      <c r="O1981" s="23">
        <f t="shared" si="90"/>
        <v>0</v>
      </c>
      <c r="P1981" s="24">
        <f t="shared" si="91"/>
        <v>0</v>
      </c>
      <c r="Q1981" s="25"/>
      <c r="R1981" s="26" t="s">
        <v>6093</v>
      </c>
      <c r="S1981" s="26" t="s">
        <v>29</v>
      </c>
      <c r="T1981" s="6"/>
      <c r="U1981" s="6"/>
      <c r="V1981" s="33" t="s">
        <v>35</v>
      </c>
    </row>
    <row r="1982" spans="2:22" ht="21" customHeight="1" outlineLevel="7" x14ac:dyDescent="0.2">
      <c r="B1982" s="69">
        <v>1444</v>
      </c>
      <c r="C1982" s="6" t="s">
        <v>6094</v>
      </c>
      <c r="D1982" s="6" t="s">
        <v>6095</v>
      </c>
      <c r="E1982" s="7" t="s">
        <v>6096</v>
      </c>
      <c r="F1982" s="13"/>
      <c r="G1982" s="14"/>
      <c r="H1982" s="15">
        <v>70</v>
      </c>
      <c r="I1982" s="14"/>
      <c r="J1982" s="15">
        <v>518</v>
      </c>
      <c r="K1982" s="5">
        <v>10</v>
      </c>
      <c r="L1982" s="16">
        <v>38.666666666666664</v>
      </c>
      <c r="M1982" s="12"/>
      <c r="N1982" s="14">
        <f t="shared" si="89"/>
        <v>0</v>
      </c>
      <c r="O1982" s="23">
        <f t="shared" si="90"/>
        <v>0</v>
      </c>
      <c r="P1982" s="24">
        <f t="shared" si="91"/>
        <v>0</v>
      </c>
      <c r="Q1982" s="25"/>
      <c r="R1982" s="26" t="s">
        <v>6097</v>
      </c>
      <c r="S1982" s="26" t="s">
        <v>29</v>
      </c>
      <c r="T1982" s="6" t="str">
        <f>HYPERLINK("https://kanzpp.ru/api/getInfo/image/82beb884-0019-11ec-a20e-ac1f6b442185")</f>
        <v>https://kanzpp.ru/api/getInfo/image/82beb884-0019-11ec-a20e-ac1f6b442185</v>
      </c>
      <c r="U1982" s="6"/>
      <c r="V1982" s="33" t="s">
        <v>35</v>
      </c>
    </row>
    <row r="1983" spans="2:22" ht="21" customHeight="1" outlineLevel="7" x14ac:dyDescent="0.2">
      <c r="B1983" s="69">
        <v>1445</v>
      </c>
      <c r="C1983" s="6" t="s">
        <v>6098</v>
      </c>
      <c r="D1983" s="6" t="s">
        <v>6099</v>
      </c>
      <c r="E1983" s="7" t="s">
        <v>6100</v>
      </c>
      <c r="F1983" s="13"/>
      <c r="G1983" s="14"/>
      <c r="H1983" s="15">
        <v>70</v>
      </c>
      <c r="I1983" s="14"/>
      <c r="J1983" s="15">
        <v>674</v>
      </c>
      <c r="K1983" s="5">
        <v>10</v>
      </c>
      <c r="L1983" s="16">
        <v>38.666666666666664</v>
      </c>
      <c r="M1983" s="12"/>
      <c r="N1983" s="14">
        <f t="shared" si="89"/>
        <v>0</v>
      </c>
      <c r="O1983" s="23">
        <f t="shared" si="90"/>
        <v>0</v>
      </c>
      <c r="P1983" s="24">
        <f t="shared" si="91"/>
        <v>0</v>
      </c>
      <c r="Q1983" s="25"/>
      <c r="R1983" s="26" t="s">
        <v>6101</v>
      </c>
      <c r="S1983" s="26" t="s">
        <v>29</v>
      </c>
      <c r="T1983" s="6" t="str">
        <f>HYPERLINK("https://kanzpp.ru/api/getInfo/image/b9799614-0019-11ec-a20e-ac1f6b442185")</f>
        <v>https://kanzpp.ru/api/getInfo/image/b9799614-0019-11ec-a20e-ac1f6b442185</v>
      </c>
      <c r="U1983" s="6"/>
      <c r="V1983" s="33" t="s">
        <v>35</v>
      </c>
    </row>
    <row r="1984" spans="2:22" ht="22.95" customHeight="1" outlineLevel="4" x14ac:dyDescent="0.2">
      <c r="B1984" s="82" t="s">
        <v>6102</v>
      </c>
      <c r="C1984" s="82"/>
      <c r="D1984" s="82"/>
      <c r="L1984">
        <v>0</v>
      </c>
    </row>
    <row r="1985" spans="2:22" ht="22.95" customHeight="1" outlineLevel="5" x14ac:dyDescent="0.2">
      <c r="B1985" s="83" t="s">
        <v>6103</v>
      </c>
      <c r="C1985" s="83"/>
      <c r="D1985" s="83"/>
      <c r="L1985">
        <v>0</v>
      </c>
    </row>
    <row r="1986" spans="2:22" ht="21" customHeight="1" outlineLevel="6" x14ac:dyDescent="0.2">
      <c r="B1986" s="69">
        <v>1446</v>
      </c>
      <c r="C1986" s="6" t="s">
        <v>6104</v>
      </c>
      <c r="D1986" s="6" t="s">
        <v>6105</v>
      </c>
      <c r="E1986" s="7" t="s">
        <v>6106</v>
      </c>
      <c r="F1986" s="13"/>
      <c r="G1986" s="14"/>
      <c r="H1986" s="15">
        <v>30</v>
      </c>
      <c r="I1986" s="14"/>
      <c r="J1986" s="14" t="s">
        <v>144</v>
      </c>
      <c r="K1986" s="5">
        <v>3</v>
      </c>
      <c r="L1986" s="16">
        <v>145.33333333333334</v>
      </c>
      <c r="M1986" s="12"/>
      <c r="N1986" s="14">
        <f>L1986*M1986</f>
        <v>0</v>
      </c>
      <c r="O1986" s="23">
        <f>0.046*M1986</f>
        <v>0</v>
      </c>
      <c r="P1986" s="24">
        <f>0.00064*M1986</f>
        <v>0</v>
      </c>
      <c r="Q1986" s="25"/>
      <c r="R1986" s="26" t="s">
        <v>6107</v>
      </c>
      <c r="S1986" s="26" t="s">
        <v>29</v>
      </c>
      <c r="T1986" s="6" t="str">
        <f>HYPERLINK("https://kanzpp.ru/api/getInfo/image/88708184-a93c-11ed-a230-00155d82e902")</f>
        <v>https://kanzpp.ru/api/getInfo/image/88708184-a93c-11ed-a230-00155d82e902</v>
      </c>
      <c r="U1986" s="6"/>
      <c r="V1986" s="33" t="s">
        <v>35</v>
      </c>
    </row>
    <row r="1987" spans="2:22" ht="21" customHeight="1" outlineLevel="6" x14ac:dyDescent="0.2">
      <c r="B1987" s="69">
        <v>1447</v>
      </c>
      <c r="C1987" s="6" t="s">
        <v>6108</v>
      </c>
      <c r="D1987" s="6" t="s">
        <v>6109</v>
      </c>
      <c r="E1987" s="7" t="s">
        <v>6110</v>
      </c>
      <c r="F1987" s="13"/>
      <c r="G1987" s="14"/>
      <c r="H1987" s="15">
        <v>30</v>
      </c>
      <c r="I1987" s="14"/>
      <c r="J1987" s="15">
        <v>41</v>
      </c>
      <c r="K1987" s="5">
        <v>3</v>
      </c>
      <c r="L1987" s="16">
        <v>145.33333333333334</v>
      </c>
      <c r="M1987" s="12"/>
      <c r="N1987" s="14">
        <f>L1987*M1987</f>
        <v>0</v>
      </c>
      <c r="O1987" s="23">
        <f>0.046*M1987</f>
        <v>0</v>
      </c>
      <c r="P1987" s="24">
        <f>0.00064*M1987</f>
        <v>0</v>
      </c>
      <c r="Q1987" s="25"/>
      <c r="R1987" s="26" t="s">
        <v>6111</v>
      </c>
      <c r="S1987" s="26" t="s">
        <v>29</v>
      </c>
      <c r="T1987" s="6" t="str">
        <f>HYPERLINK("https://kanzpp.ru/api/getInfo/image/256efc9d-a93d-11ed-a230-00155d82e902")</f>
        <v>https://kanzpp.ru/api/getInfo/image/256efc9d-a93d-11ed-a230-00155d82e902</v>
      </c>
      <c r="U1987" s="6"/>
      <c r="V1987" s="33" t="s">
        <v>35</v>
      </c>
    </row>
    <row r="1988" spans="2:22" ht="21" customHeight="1" outlineLevel="6" x14ac:dyDescent="0.2">
      <c r="B1988" s="69">
        <v>1448</v>
      </c>
      <c r="C1988" s="6" t="s">
        <v>6112</v>
      </c>
      <c r="D1988" s="6" t="s">
        <v>6113</v>
      </c>
      <c r="E1988" s="7" t="s">
        <v>6114</v>
      </c>
      <c r="F1988" s="13"/>
      <c r="G1988" s="14"/>
      <c r="H1988" s="15">
        <v>30</v>
      </c>
      <c r="I1988" s="14"/>
      <c r="J1988" s="15">
        <v>147</v>
      </c>
      <c r="K1988" s="5">
        <v>3</v>
      </c>
      <c r="L1988" s="16">
        <v>145.33333333333334</v>
      </c>
      <c r="M1988" s="12"/>
      <c r="N1988" s="14">
        <f>L1988*M1988</f>
        <v>0</v>
      </c>
      <c r="O1988" s="23">
        <f>0.041*M1988</f>
        <v>0</v>
      </c>
      <c r="P1988" s="24">
        <f>0.00139*M1988</f>
        <v>0</v>
      </c>
      <c r="Q1988" s="25"/>
      <c r="R1988" s="26" t="s">
        <v>6115</v>
      </c>
      <c r="S1988" s="26" t="s">
        <v>29</v>
      </c>
      <c r="T1988" s="6" t="str">
        <f>HYPERLINK("https://kanzpp.ru/api/getInfo/image/c8f3df79-a93c-11ed-a230-00155d82e902")</f>
        <v>https://kanzpp.ru/api/getInfo/image/c8f3df79-a93c-11ed-a230-00155d82e902</v>
      </c>
      <c r="U1988" s="6"/>
      <c r="V1988" s="33" t="s">
        <v>35</v>
      </c>
    </row>
    <row r="1989" spans="2:22" ht="21" customHeight="1" outlineLevel="6" x14ac:dyDescent="0.2">
      <c r="B1989" s="69">
        <v>1449</v>
      </c>
      <c r="C1989" s="6" t="s">
        <v>6116</v>
      </c>
      <c r="D1989" s="6" t="s">
        <v>6117</v>
      </c>
      <c r="E1989" s="7" t="s">
        <v>6118</v>
      </c>
      <c r="F1989" s="13"/>
      <c r="G1989" s="14"/>
      <c r="H1989" s="15">
        <v>30</v>
      </c>
      <c r="I1989" s="14"/>
      <c r="J1989" s="14" t="s">
        <v>144</v>
      </c>
      <c r="K1989" s="5">
        <v>3</v>
      </c>
      <c r="L1989" s="16">
        <v>145.33333333333334</v>
      </c>
      <c r="M1989" s="12"/>
      <c r="N1989" s="14">
        <f>L1989*M1989</f>
        <v>0</v>
      </c>
      <c r="O1989" s="23">
        <f>0.043*M1989</f>
        <v>0</v>
      </c>
      <c r="P1989" s="24">
        <f>0.00064*M1989</f>
        <v>0</v>
      </c>
      <c r="Q1989" s="25"/>
      <c r="R1989" s="26" t="s">
        <v>6119</v>
      </c>
      <c r="S1989" s="26" t="s">
        <v>29</v>
      </c>
      <c r="T1989" s="6" t="str">
        <f>HYPERLINK("https://kanzpp.ru/api/getInfo/image/00d788f4-a93d-11ed-a230-00155d82e902")</f>
        <v>https://kanzpp.ru/api/getInfo/image/00d788f4-a93d-11ed-a230-00155d82e902</v>
      </c>
      <c r="U1989" s="6"/>
      <c r="V1989" s="33" t="s">
        <v>35</v>
      </c>
    </row>
    <row r="1990" spans="2:22" ht="22.95" customHeight="1" outlineLevel="5" x14ac:dyDescent="0.2">
      <c r="B1990" s="83" t="s">
        <v>6120</v>
      </c>
      <c r="C1990" s="83"/>
      <c r="D1990" s="83"/>
      <c r="L1990">
        <v>0</v>
      </c>
    </row>
    <row r="1991" spans="2:22" ht="21" customHeight="1" outlineLevel="6" x14ac:dyDescent="0.2">
      <c r="B1991" s="69">
        <v>1450</v>
      </c>
      <c r="C1991" s="6" t="s">
        <v>6121</v>
      </c>
      <c r="D1991" s="6" t="s">
        <v>6122</v>
      </c>
      <c r="E1991" s="7" t="s">
        <v>6123</v>
      </c>
      <c r="F1991" s="13"/>
      <c r="G1991" s="14"/>
      <c r="H1991" s="15">
        <v>100</v>
      </c>
      <c r="I1991" s="14"/>
      <c r="J1991" s="15">
        <v>470</v>
      </c>
      <c r="K1991" s="5">
        <v>2</v>
      </c>
      <c r="L1991" s="16">
        <v>398.66666666666669</v>
      </c>
      <c r="M1991" s="12"/>
      <c r="N1991" s="14">
        <f>L1991*M1991</f>
        <v>0</v>
      </c>
      <c r="O1991" s="23">
        <f>0.165*M1991</f>
        <v>0</v>
      </c>
      <c r="P1991" s="24">
        <f>0.00135*M1991</f>
        <v>0</v>
      </c>
      <c r="Q1991" s="25"/>
      <c r="R1991" s="26" t="s">
        <v>6124</v>
      </c>
      <c r="S1991" s="26" t="s">
        <v>93</v>
      </c>
      <c r="T1991" s="6" t="str">
        <f>HYPERLINK("https://kanzpp.ru/api/getInfo/image/03443e34-352e-11ef-a261-00155d82e908")</f>
        <v>https://kanzpp.ru/api/getInfo/image/03443e34-352e-11ef-a261-00155d82e908</v>
      </c>
      <c r="U1991" s="6"/>
      <c r="V1991" s="33" t="s">
        <v>35</v>
      </c>
    </row>
    <row r="1992" spans="2:22" ht="21" customHeight="1" outlineLevel="6" x14ac:dyDescent="0.2">
      <c r="B1992" s="69">
        <v>1451</v>
      </c>
      <c r="C1992" s="6" t="s">
        <v>6125</v>
      </c>
      <c r="D1992" s="6" t="s">
        <v>6126</v>
      </c>
      <c r="E1992" s="7" t="s">
        <v>6127</v>
      </c>
      <c r="F1992" s="13"/>
      <c r="G1992" s="14"/>
      <c r="H1992" s="15">
        <v>100</v>
      </c>
      <c r="I1992" s="14"/>
      <c r="J1992" s="15">
        <v>336</v>
      </c>
      <c r="K1992" s="5">
        <v>2</v>
      </c>
      <c r="L1992" s="16">
        <v>398.66666666666669</v>
      </c>
      <c r="M1992" s="12"/>
      <c r="N1992" s="14">
        <f>L1992*M1992</f>
        <v>0</v>
      </c>
      <c r="O1992" s="23">
        <f>0.151*M1992</f>
        <v>0</v>
      </c>
      <c r="P1992" s="24">
        <f>0.00132*M1992</f>
        <v>0</v>
      </c>
      <c r="Q1992" s="25"/>
      <c r="R1992" s="26" t="s">
        <v>6128</v>
      </c>
      <c r="S1992" s="26" t="s">
        <v>93</v>
      </c>
      <c r="T1992" s="6" t="str">
        <f>HYPERLINK("https://kanzpp.ru/api/getInfo/image/bfcd9788-352c-11ef-a261-00155d82e908")</f>
        <v>https://kanzpp.ru/api/getInfo/image/bfcd9788-352c-11ef-a261-00155d82e908</v>
      </c>
      <c r="U1992" s="6"/>
      <c r="V1992" s="33" t="s">
        <v>35</v>
      </c>
    </row>
    <row r="1993" spans="2:22" ht="21" customHeight="1" outlineLevel="6" x14ac:dyDescent="0.2">
      <c r="B1993" s="69">
        <v>1452</v>
      </c>
      <c r="C1993" s="6" t="s">
        <v>6129</v>
      </c>
      <c r="D1993" s="6" t="s">
        <v>6130</v>
      </c>
      <c r="E1993" s="7" t="s">
        <v>6131</v>
      </c>
      <c r="F1993" s="13"/>
      <c r="G1993" s="14"/>
      <c r="H1993" s="15">
        <v>100</v>
      </c>
      <c r="I1993" s="14"/>
      <c r="J1993" s="15">
        <v>353</v>
      </c>
      <c r="K1993" s="5">
        <v>2</v>
      </c>
      <c r="L1993" s="16">
        <v>398.66666666666669</v>
      </c>
      <c r="M1993" s="12"/>
      <c r="N1993" s="14">
        <f>L1993*M1993</f>
        <v>0</v>
      </c>
      <c r="O1993" s="23">
        <f>0.161*M1993</f>
        <v>0</v>
      </c>
      <c r="P1993" s="24">
        <f>0.00154*M1993</f>
        <v>0</v>
      </c>
      <c r="Q1993" s="25"/>
      <c r="R1993" s="26" t="s">
        <v>6132</v>
      </c>
      <c r="S1993" s="26" t="s">
        <v>93</v>
      </c>
      <c r="T1993" s="6" t="str">
        <f>HYPERLINK("https://kanzpp.ru/api/getInfo/image/913e1eb7-352d-11ef-a261-00155d82e908")</f>
        <v>https://kanzpp.ru/api/getInfo/image/913e1eb7-352d-11ef-a261-00155d82e908</v>
      </c>
      <c r="U1993" s="6"/>
      <c r="V1993" s="33" t="s">
        <v>35</v>
      </c>
    </row>
    <row r="1994" spans="2:22" ht="21" customHeight="1" outlineLevel="6" x14ac:dyDescent="0.2">
      <c r="B1994" s="69">
        <v>1453</v>
      </c>
      <c r="C1994" s="6" t="s">
        <v>6133</v>
      </c>
      <c r="D1994" s="6" t="s">
        <v>6134</v>
      </c>
      <c r="E1994" s="7" t="s">
        <v>6135</v>
      </c>
      <c r="F1994" s="13"/>
      <c r="G1994" s="14"/>
      <c r="H1994" s="15">
        <v>200</v>
      </c>
      <c r="I1994" s="14"/>
      <c r="J1994" s="15">
        <v>50</v>
      </c>
      <c r="K1994" s="5">
        <v>1</v>
      </c>
      <c r="L1994" s="16">
        <v>225.33333333333334</v>
      </c>
      <c r="M1994" s="12"/>
      <c r="N1994" s="14">
        <f>L1994*M1994</f>
        <v>0</v>
      </c>
      <c r="O1994" s="28">
        <f>0.13*M1994</f>
        <v>0</v>
      </c>
      <c r="P1994" s="24">
        <f>0.00103*M1994</f>
        <v>0</v>
      </c>
      <c r="Q1994" s="25"/>
      <c r="R1994" s="26" t="s">
        <v>6136</v>
      </c>
      <c r="S1994" s="26" t="s">
        <v>93</v>
      </c>
      <c r="T1994" s="6" t="str">
        <f>HYPERLINK("https://kanzpp.ru/api/getInfo/image/7b5f07f4-3528-11ef-a261-00155d82e908")</f>
        <v>https://kanzpp.ru/api/getInfo/image/7b5f07f4-3528-11ef-a261-00155d82e908</v>
      </c>
      <c r="U1994" s="6"/>
      <c r="V1994" s="33" t="s">
        <v>35</v>
      </c>
    </row>
    <row r="1995" spans="2:22" ht="22.95" customHeight="1" outlineLevel="4" x14ac:dyDescent="0.2">
      <c r="B1995" s="82" t="s">
        <v>6137</v>
      </c>
      <c r="C1995" s="82"/>
      <c r="D1995" s="82"/>
      <c r="L1995">
        <v>0</v>
      </c>
    </row>
    <row r="1996" spans="2:22" ht="21" customHeight="1" outlineLevel="5" x14ac:dyDescent="0.2">
      <c r="B1996" s="70">
        <v>1454</v>
      </c>
      <c r="C1996" s="3" t="s">
        <v>6138</v>
      </c>
      <c r="D1996" s="3" t="s">
        <v>6139</v>
      </c>
      <c r="E1996" s="4" t="s">
        <v>6140</v>
      </c>
      <c r="F1996" s="8"/>
      <c r="G1996" s="9"/>
      <c r="H1996" s="10">
        <v>250</v>
      </c>
      <c r="I1996" s="10">
        <v>25</v>
      </c>
      <c r="J1996" s="10">
        <v>2</v>
      </c>
      <c r="K1996" s="2">
        <v>1</v>
      </c>
      <c r="L1996" s="19">
        <v>60.133333333333333</v>
      </c>
      <c r="M1996" s="12"/>
      <c r="N1996" s="9">
        <f>L1996*M1996</f>
        <v>0</v>
      </c>
      <c r="O1996" s="29">
        <f>0.068*M1996</f>
        <v>0</v>
      </c>
      <c r="P1996" s="30">
        <f>0.00102*M1996</f>
        <v>0</v>
      </c>
      <c r="Q1996" s="21"/>
      <c r="R1996" s="22" t="s">
        <v>6141</v>
      </c>
      <c r="S1996" s="22" t="s">
        <v>29</v>
      </c>
      <c r="T1996" s="3" t="str">
        <f>HYPERLINK("https://kanzpp.ru/api/getInfo/image/887bd341-22b3-11ec-a20f-ac1f6b442185")</f>
        <v>https://kanzpp.ru/api/getInfo/image/887bd341-22b3-11ec-a20f-ac1f6b442185</v>
      </c>
      <c r="U1996" s="3"/>
      <c r="V1996" s="32" t="s">
        <v>30</v>
      </c>
    </row>
    <row r="1997" spans="2:22" ht="22.95" customHeight="1" outlineLevel="4" x14ac:dyDescent="0.2">
      <c r="B1997" s="82" t="s">
        <v>6142</v>
      </c>
      <c r="C1997" s="82"/>
      <c r="D1997" s="82"/>
      <c r="L1997">
        <v>0</v>
      </c>
    </row>
    <row r="1998" spans="2:22" ht="21" customHeight="1" outlineLevel="5" x14ac:dyDescent="0.2">
      <c r="B1998" s="69">
        <v>1455</v>
      </c>
      <c r="C1998" s="6" t="s">
        <v>6143</v>
      </c>
      <c r="D1998" s="6" t="s">
        <v>6144</v>
      </c>
      <c r="E1998" s="7" t="s">
        <v>6145</v>
      </c>
      <c r="F1998" s="13"/>
      <c r="G1998" s="14"/>
      <c r="H1998" s="15">
        <v>40</v>
      </c>
      <c r="I1998" s="14"/>
      <c r="J1998" s="15">
        <v>1</v>
      </c>
      <c r="K1998" s="5">
        <v>1</v>
      </c>
      <c r="L1998" s="16">
        <v>132.12</v>
      </c>
      <c r="M1998" s="12"/>
      <c r="N1998" s="14">
        <f>L1998*M1998</f>
        <v>0</v>
      </c>
      <c r="O1998" s="28">
        <f>0.13*M1998</f>
        <v>0</v>
      </c>
      <c r="P1998" s="31">
        <f>0.0015*M1998</f>
        <v>0</v>
      </c>
      <c r="Q1998" s="25"/>
      <c r="R1998" s="26"/>
      <c r="S1998" s="26" t="s">
        <v>29</v>
      </c>
      <c r="T1998" s="6" t="str">
        <f>HYPERLINK("https://kanzpp.ru/api/getInfo/image/409e2df9-165b-11ee-a23b-00155d82e902")</f>
        <v>https://kanzpp.ru/api/getInfo/image/409e2df9-165b-11ee-a23b-00155d82e902</v>
      </c>
      <c r="U1998" s="6" t="s">
        <v>6146</v>
      </c>
      <c r="V1998" s="33" t="s">
        <v>35</v>
      </c>
    </row>
    <row r="1999" spans="2:22" ht="21" customHeight="1" outlineLevel="5" x14ac:dyDescent="0.2">
      <c r="B1999" s="69">
        <v>1456</v>
      </c>
      <c r="C1999" s="6" t="s">
        <v>6147</v>
      </c>
      <c r="D1999" s="6" t="s">
        <v>6148</v>
      </c>
      <c r="E1999" s="7" t="s">
        <v>6149</v>
      </c>
      <c r="F1999" s="13"/>
      <c r="G1999" s="14"/>
      <c r="H1999" s="15">
        <v>40</v>
      </c>
      <c r="I1999" s="14"/>
      <c r="J1999" s="15">
        <v>75</v>
      </c>
      <c r="K1999" s="5">
        <v>1</v>
      </c>
      <c r="L1999" s="16">
        <v>132.12</v>
      </c>
      <c r="M1999" s="12"/>
      <c r="N1999" s="14">
        <f>L1999*M1999</f>
        <v>0</v>
      </c>
      <c r="O1999" s="23">
        <f>0.132*M1999</f>
        <v>0</v>
      </c>
      <c r="P1999" s="24">
        <f>0.00139*M1999</f>
        <v>0</v>
      </c>
      <c r="Q1999" s="25"/>
      <c r="R1999" s="26"/>
      <c r="S1999" s="26" t="s">
        <v>29</v>
      </c>
      <c r="T1999" s="6" t="str">
        <f>HYPERLINK("https://kanzpp.ru/api/getInfo/image/ed84b656-165b-11ee-a23b-00155d82e902")</f>
        <v>https://kanzpp.ru/api/getInfo/image/ed84b656-165b-11ee-a23b-00155d82e902</v>
      </c>
      <c r="U1999" s="6" t="s">
        <v>6150</v>
      </c>
      <c r="V1999" s="33" t="s">
        <v>35</v>
      </c>
    </row>
    <row r="2000" spans="2:22" ht="22.95" customHeight="1" outlineLevel="2" x14ac:dyDescent="0.2">
      <c r="B2000" s="80" t="s">
        <v>6151</v>
      </c>
      <c r="C2000" s="80"/>
      <c r="D2000" s="80"/>
      <c r="L2000">
        <v>0</v>
      </c>
    </row>
    <row r="2001" spans="2:22" ht="22.95" customHeight="1" outlineLevel="3" x14ac:dyDescent="0.2">
      <c r="B2001" s="81" t="s">
        <v>6152</v>
      </c>
      <c r="C2001" s="81"/>
      <c r="D2001" s="81"/>
      <c r="L2001">
        <v>0</v>
      </c>
    </row>
    <row r="2002" spans="2:22" ht="22.95" customHeight="1" outlineLevel="4" x14ac:dyDescent="0.2">
      <c r="B2002" s="82" t="s">
        <v>6153</v>
      </c>
      <c r="C2002" s="82"/>
      <c r="D2002" s="82"/>
      <c r="L2002">
        <v>0</v>
      </c>
    </row>
    <row r="2003" spans="2:22" ht="21" customHeight="1" outlineLevel="5" x14ac:dyDescent="0.2">
      <c r="B2003" s="69">
        <v>1457</v>
      </c>
      <c r="C2003" s="6" t="s">
        <v>6154</v>
      </c>
      <c r="D2003" s="6" t="s">
        <v>6155</v>
      </c>
      <c r="E2003" s="7" t="s">
        <v>6156</v>
      </c>
      <c r="F2003" s="13"/>
      <c r="G2003" s="14"/>
      <c r="H2003" s="15">
        <v>50</v>
      </c>
      <c r="I2003" s="15">
        <v>1</v>
      </c>
      <c r="J2003" s="14" t="s">
        <v>144</v>
      </c>
      <c r="K2003" s="5">
        <v>7</v>
      </c>
      <c r="L2003" s="16">
        <v>78.666666666666671</v>
      </c>
      <c r="M2003" s="12"/>
      <c r="N2003" s="14">
        <f>L2003*M2003</f>
        <v>0</v>
      </c>
      <c r="O2003" s="23">
        <f>0.045*M2003</f>
        <v>0</v>
      </c>
      <c r="P2003" s="24">
        <f>0.02904*M2003</f>
        <v>0</v>
      </c>
      <c r="Q2003" s="25"/>
      <c r="R2003" s="26" t="s">
        <v>6157</v>
      </c>
      <c r="S2003" s="26" t="s">
        <v>93</v>
      </c>
      <c r="T2003" s="6" t="str">
        <f>HYPERLINK("https://kanzpp.ru/api/getInfo/image/0726af7c-6f9d-11e8-84c9-5cf3fc4a2490")</f>
        <v>https://kanzpp.ru/api/getInfo/image/0726af7c-6f9d-11e8-84c9-5cf3fc4a2490</v>
      </c>
      <c r="U2003" s="6"/>
      <c r="V2003" s="33" t="s">
        <v>35</v>
      </c>
    </row>
    <row r="2004" spans="2:22" ht="21" customHeight="1" outlineLevel="5" x14ac:dyDescent="0.2">
      <c r="B2004" s="69">
        <v>1458</v>
      </c>
      <c r="C2004" s="6" t="s">
        <v>6158</v>
      </c>
      <c r="D2004" s="6" t="s">
        <v>6159</v>
      </c>
      <c r="E2004" s="7" t="s">
        <v>6160</v>
      </c>
      <c r="F2004" s="13"/>
      <c r="G2004" s="14"/>
      <c r="H2004" s="15">
        <v>50</v>
      </c>
      <c r="I2004" s="15">
        <v>1</v>
      </c>
      <c r="J2004" s="14" t="s">
        <v>144</v>
      </c>
      <c r="K2004" s="5">
        <v>7</v>
      </c>
      <c r="L2004" s="16">
        <v>78.666666666666671</v>
      </c>
      <c r="M2004" s="12"/>
      <c r="N2004" s="14">
        <f>L2004*M2004</f>
        <v>0</v>
      </c>
      <c r="O2004" s="23">
        <f>0.051*M2004</f>
        <v>0</v>
      </c>
      <c r="P2004" s="24">
        <f>0.00026*M2004</f>
        <v>0</v>
      </c>
      <c r="Q2004" s="25"/>
      <c r="R2004" s="26" t="s">
        <v>6161</v>
      </c>
      <c r="S2004" s="26" t="s">
        <v>93</v>
      </c>
      <c r="T2004" s="6" t="str">
        <f>HYPERLINK("https://kanzpp.ru/api/getInfo/image/2ef04b1c-6f9d-11e8-84c9-5cf3fc4a2490")</f>
        <v>https://kanzpp.ru/api/getInfo/image/2ef04b1c-6f9d-11e8-84c9-5cf3fc4a2490</v>
      </c>
      <c r="U2004" s="6"/>
      <c r="V2004" s="33" t="s">
        <v>35</v>
      </c>
    </row>
    <row r="2005" spans="2:22" ht="21" customHeight="1" outlineLevel="5" x14ac:dyDescent="0.2">
      <c r="B2005" s="69">
        <v>1459</v>
      </c>
      <c r="C2005" s="6" t="s">
        <v>6162</v>
      </c>
      <c r="D2005" s="6" t="s">
        <v>6163</v>
      </c>
      <c r="E2005" s="7" t="s">
        <v>6164</v>
      </c>
      <c r="F2005" s="13"/>
      <c r="G2005" s="14"/>
      <c r="H2005" s="15">
        <v>50</v>
      </c>
      <c r="I2005" s="15">
        <v>1</v>
      </c>
      <c r="J2005" s="14" t="s">
        <v>144</v>
      </c>
      <c r="K2005" s="5">
        <v>7</v>
      </c>
      <c r="L2005" s="16">
        <v>78.666666666666671</v>
      </c>
      <c r="M2005" s="12"/>
      <c r="N2005" s="14">
        <f>L2005*M2005</f>
        <v>0</v>
      </c>
      <c r="O2005" s="23">
        <f>0.045*M2005</f>
        <v>0</v>
      </c>
      <c r="P2005" s="24">
        <f>0.00025*M2005</f>
        <v>0</v>
      </c>
      <c r="Q2005" s="25"/>
      <c r="R2005" s="26" t="s">
        <v>6165</v>
      </c>
      <c r="S2005" s="26" t="s">
        <v>93</v>
      </c>
      <c r="T2005" s="6" t="str">
        <f>HYPERLINK("https://kanzpp.ru/api/getInfo/image/a84ada06-c9b6-11eb-a209-ac1f6b442185")</f>
        <v>https://kanzpp.ru/api/getInfo/image/a84ada06-c9b6-11eb-a209-ac1f6b442185</v>
      </c>
      <c r="U2005" s="6"/>
      <c r="V2005" s="33" t="s">
        <v>35</v>
      </c>
    </row>
    <row r="2006" spans="2:22" ht="21" customHeight="1" outlineLevel="5" x14ac:dyDescent="0.2">
      <c r="B2006" s="69">
        <v>1460</v>
      </c>
      <c r="C2006" s="6" t="s">
        <v>6166</v>
      </c>
      <c r="D2006" s="6" t="s">
        <v>6167</v>
      </c>
      <c r="E2006" s="7" t="s">
        <v>6168</v>
      </c>
      <c r="F2006" s="13"/>
      <c r="G2006" s="14"/>
      <c r="H2006" s="15">
        <v>50</v>
      </c>
      <c r="I2006" s="15">
        <v>1</v>
      </c>
      <c r="J2006" s="15">
        <v>254</v>
      </c>
      <c r="K2006" s="5">
        <v>7</v>
      </c>
      <c r="L2006" s="16">
        <v>78.666666666666671</v>
      </c>
      <c r="M2006" s="12"/>
      <c r="N2006" s="14">
        <f>L2006*M2006</f>
        <v>0</v>
      </c>
      <c r="O2006" s="23">
        <f>0.051*M2006</f>
        <v>0</v>
      </c>
      <c r="P2006" s="24">
        <f>0.00013*M2006</f>
        <v>0</v>
      </c>
      <c r="Q2006" s="25"/>
      <c r="R2006" s="26" t="s">
        <v>6169</v>
      </c>
      <c r="S2006" s="26" t="s">
        <v>93</v>
      </c>
      <c r="T2006" s="6" t="str">
        <f>HYPERLINK("https://kanzpp.ru/api/getInfo/image/536cde9c-6f9d-11e8-84c9-5cf3fc4a2490")</f>
        <v>https://kanzpp.ru/api/getInfo/image/536cde9c-6f9d-11e8-84c9-5cf3fc4a2490</v>
      </c>
      <c r="U2006" s="6"/>
      <c r="V2006" s="33" t="s">
        <v>35</v>
      </c>
    </row>
    <row r="2007" spans="2:22" ht="21" customHeight="1" outlineLevel="5" x14ac:dyDescent="0.2">
      <c r="B2007" s="69">
        <v>1461</v>
      </c>
      <c r="C2007" s="6" t="s">
        <v>6170</v>
      </c>
      <c r="D2007" s="6" t="s">
        <v>6171</v>
      </c>
      <c r="E2007" s="7" t="s">
        <v>6172</v>
      </c>
      <c r="F2007" s="13"/>
      <c r="G2007" s="14"/>
      <c r="H2007" s="15">
        <v>50</v>
      </c>
      <c r="I2007" s="15">
        <v>1</v>
      </c>
      <c r="J2007" s="15">
        <v>14</v>
      </c>
      <c r="K2007" s="5">
        <v>7</v>
      </c>
      <c r="L2007" s="16">
        <v>78.666666666666671</v>
      </c>
      <c r="M2007" s="12"/>
      <c r="N2007" s="14">
        <f>L2007*M2007</f>
        <v>0</v>
      </c>
      <c r="O2007" s="23">
        <f>0.032*M2007</f>
        <v>0</v>
      </c>
      <c r="P2007" s="24">
        <f>0.00057*M2007</f>
        <v>0</v>
      </c>
      <c r="Q2007" s="25"/>
      <c r="R2007" s="26" t="s">
        <v>6173</v>
      </c>
      <c r="S2007" s="26" t="s">
        <v>93</v>
      </c>
      <c r="T2007" s="6" t="str">
        <f>HYPERLINK("https://kanzpp.ru/api/getInfo/image/a3db145c-6f9d-11e8-84c9-5cf3fc4a2490")</f>
        <v>https://kanzpp.ru/api/getInfo/image/a3db145c-6f9d-11e8-84c9-5cf3fc4a2490</v>
      </c>
      <c r="U2007" s="6"/>
      <c r="V2007" s="33" t="s">
        <v>35</v>
      </c>
    </row>
    <row r="2008" spans="2:22" ht="22.95" customHeight="1" outlineLevel="4" x14ac:dyDescent="0.2">
      <c r="B2008" s="82" t="s">
        <v>6174</v>
      </c>
      <c r="C2008" s="82"/>
      <c r="D2008" s="82"/>
      <c r="L2008">
        <v>0</v>
      </c>
    </row>
    <row r="2009" spans="2:22" ht="21" customHeight="1" outlineLevel="5" x14ac:dyDescent="0.2">
      <c r="B2009" s="69">
        <v>1462</v>
      </c>
      <c r="C2009" s="6" t="s">
        <v>6175</v>
      </c>
      <c r="D2009" s="6" t="s">
        <v>6176</v>
      </c>
      <c r="E2009" s="7" t="s">
        <v>6177</v>
      </c>
      <c r="F2009" s="13"/>
      <c r="G2009" s="14"/>
      <c r="H2009" s="15">
        <v>250</v>
      </c>
      <c r="I2009" s="14"/>
      <c r="J2009" s="15">
        <v>4</v>
      </c>
      <c r="K2009" s="5">
        <v>4</v>
      </c>
      <c r="L2009" s="16">
        <v>78.666666666666671</v>
      </c>
      <c r="M2009" s="12"/>
      <c r="N2009" s="14">
        <f>L2009*M2009</f>
        <v>0</v>
      </c>
      <c r="O2009" s="23">
        <f>0.046*M2009</f>
        <v>0</v>
      </c>
      <c r="P2009" s="24">
        <f>0.00092*M2009</f>
        <v>0</v>
      </c>
      <c r="Q2009" s="25"/>
      <c r="R2009" s="26" t="s">
        <v>6178</v>
      </c>
      <c r="S2009" s="26" t="s">
        <v>93</v>
      </c>
      <c r="T2009" s="6" t="str">
        <f>HYPERLINK("https://kanzpp.ru/api/getInfo/image/83d445ba-98b5-11ed-a22e-00155d82e902")</f>
        <v>https://kanzpp.ru/api/getInfo/image/83d445ba-98b5-11ed-a22e-00155d82e902</v>
      </c>
      <c r="U2009" s="6"/>
      <c r="V2009" s="33" t="s">
        <v>35</v>
      </c>
    </row>
    <row r="2010" spans="2:22" ht="21" customHeight="1" outlineLevel="5" x14ac:dyDescent="0.2">
      <c r="B2010" s="69">
        <v>1463</v>
      </c>
      <c r="C2010" s="6" t="s">
        <v>6179</v>
      </c>
      <c r="D2010" s="6" t="s">
        <v>6180</v>
      </c>
      <c r="E2010" s="7" t="s">
        <v>6181</v>
      </c>
      <c r="F2010" s="13"/>
      <c r="G2010" s="14"/>
      <c r="H2010" s="15">
        <v>250</v>
      </c>
      <c r="I2010" s="14"/>
      <c r="J2010" s="14" t="s">
        <v>144</v>
      </c>
      <c r="K2010" s="5">
        <v>6</v>
      </c>
      <c r="L2010" s="16">
        <v>78.666666666666671</v>
      </c>
      <c r="M2010" s="12"/>
      <c r="N2010" s="14">
        <f>L2010*M2010</f>
        <v>0</v>
      </c>
      <c r="O2010" s="23">
        <f>0.049*M2010</f>
        <v>0</v>
      </c>
      <c r="P2010" s="24">
        <f>0.00194*M2010</f>
        <v>0</v>
      </c>
      <c r="Q2010" s="25"/>
      <c r="R2010" s="26" t="s">
        <v>6182</v>
      </c>
      <c r="S2010" s="26" t="s">
        <v>93</v>
      </c>
      <c r="T2010" s="6" t="str">
        <f>HYPERLINK("https://kanzpp.ru/api/getInfo/image/4db8ef7b-98b6-11ed-a22e-00155d82e902")</f>
        <v>https://kanzpp.ru/api/getInfo/image/4db8ef7b-98b6-11ed-a22e-00155d82e902</v>
      </c>
      <c r="U2010" s="6"/>
      <c r="V2010" s="33" t="s">
        <v>35</v>
      </c>
    </row>
    <row r="2011" spans="2:22" ht="22.95" customHeight="1" outlineLevel="3" x14ac:dyDescent="0.2">
      <c r="B2011" s="81" t="s">
        <v>6183</v>
      </c>
      <c r="C2011" s="81"/>
      <c r="D2011" s="81"/>
      <c r="L2011">
        <v>0</v>
      </c>
    </row>
    <row r="2012" spans="2:22" ht="22.95" customHeight="1" outlineLevel="4" x14ac:dyDescent="0.2">
      <c r="B2012" s="82" t="s">
        <v>6184</v>
      </c>
      <c r="C2012" s="82"/>
      <c r="D2012" s="82"/>
      <c r="L2012">
        <v>0</v>
      </c>
    </row>
    <row r="2013" spans="2:22" ht="21" customHeight="1" outlineLevel="5" x14ac:dyDescent="0.2">
      <c r="B2013" s="69">
        <v>1464</v>
      </c>
      <c r="C2013" s="6" t="s">
        <v>6185</v>
      </c>
      <c r="D2013" s="6" t="s">
        <v>6186</v>
      </c>
      <c r="E2013" s="7" t="s">
        <v>6187</v>
      </c>
      <c r="F2013" s="13"/>
      <c r="G2013" s="14"/>
      <c r="H2013" s="15">
        <v>100</v>
      </c>
      <c r="I2013" s="14"/>
      <c r="J2013" s="14" t="s">
        <v>144</v>
      </c>
      <c r="K2013" s="5">
        <v>5</v>
      </c>
      <c r="L2013" s="16">
        <v>92</v>
      </c>
      <c r="M2013" s="12"/>
      <c r="N2013" s="14">
        <f>L2013*M2013</f>
        <v>0</v>
      </c>
      <c r="O2013" s="23">
        <f>0.132*M2013</f>
        <v>0</v>
      </c>
      <c r="P2013" s="24">
        <f>0.00361*M2013</f>
        <v>0</v>
      </c>
      <c r="Q2013" s="25"/>
      <c r="R2013" s="26" t="s">
        <v>6188</v>
      </c>
      <c r="S2013" s="26" t="s">
        <v>93</v>
      </c>
      <c r="T2013" s="6" t="str">
        <f>HYPERLINK("https://kanzpp.ru/api/getInfo/image/0a700dd0-98be-11ed-a22e-00155d82e902")</f>
        <v>https://kanzpp.ru/api/getInfo/image/0a700dd0-98be-11ed-a22e-00155d82e902</v>
      </c>
      <c r="U2013" s="6"/>
      <c r="V2013" s="33" t="s">
        <v>35</v>
      </c>
    </row>
    <row r="2014" spans="2:22" ht="21" customHeight="1" outlineLevel="5" x14ac:dyDescent="0.2">
      <c r="B2014" s="69">
        <v>1465</v>
      </c>
      <c r="C2014" s="6" t="s">
        <v>6189</v>
      </c>
      <c r="D2014" s="6" t="s">
        <v>6190</v>
      </c>
      <c r="E2014" s="7" t="s">
        <v>6191</v>
      </c>
      <c r="F2014" s="13"/>
      <c r="G2014" s="14"/>
      <c r="H2014" s="15">
        <v>100</v>
      </c>
      <c r="I2014" s="14"/>
      <c r="J2014" s="14" t="s">
        <v>144</v>
      </c>
      <c r="K2014" s="5">
        <v>5</v>
      </c>
      <c r="L2014" s="16">
        <v>92</v>
      </c>
      <c r="M2014" s="12"/>
      <c r="N2014" s="14">
        <f>L2014*M2014</f>
        <v>0</v>
      </c>
      <c r="O2014" s="23">
        <f>0.123*M2014</f>
        <v>0</v>
      </c>
      <c r="P2014" s="24">
        <f>0.00071*M2014</f>
        <v>0</v>
      </c>
      <c r="Q2014" s="25"/>
      <c r="R2014" s="26" t="s">
        <v>6192</v>
      </c>
      <c r="S2014" s="26" t="s">
        <v>93</v>
      </c>
      <c r="T2014" s="6" t="str">
        <f>HYPERLINK("https://kanzpp.ru/api/getInfo/image/afdddd48-98bb-11ed-a22e-00155d82e902")</f>
        <v>https://kanzpp.ru/api/getInfo/image/afdddd48-98bb-11ed-a22e-00155d82e902</v>
      </c>
      <c r="U2014" s="6"/>
      <c r="V2014" s="33" t="s">
        <v>35</v>
      </c>
    </row>
    <row r="2015" spans="2:22" ht="21" customHeight="1" outlineLevel="5" x14ac:dyDescent="0.2">
      <c r="B2015" s="69">
        <v>1466</v>
      </c>
      <c r="C2015" s="6" t="s">
        <v>6193</v>
      </c>
      <c r="D2015" s="6" t="s">
        <v>6194</v>
      </c>
      <c r="E2015" s="7" t="s">
        <v>6195</v>
      </c>
      <c r="F2015" s="13"/>
      <c r="G2015" s="14"/>
      <c r="H2015" s="15">
        <v>100</v>
      </c>
      <c r="I2015" s="14"/>
      <c r="J2015" s="14" t="s">
        <v>144</v>
      </c>
      <c r="K2015" s="5">
        <v>5</v>
      </c>
      <c r="L2015" s="16">
        <v>92</v>
      </c>
      <c r="M2015" s="12"/>
      <c r="N2015" s="14">
        <f>L2015*M2015</f>
        <v>0</v>
      </c>
      <c r="O2015" s="28">
        <f>0.13*M2015</f>
        <v>0</v>
      </c>
      <c r="P2015" s="24">
        <f>0.00263*M2015</f>
        <v>0</v>
      </c>
      <c r="Q2015" s="25"/>
      <c r="R2015" s="26" t="s">
        <v>6196</v>
      </c>
      <c r="S2015" s="26" t="s">
        <v>93</v>
      </c>
      <c r="T2015" s="6" t="str">
        <f>HYPERLINK("https://kanzpp.ru/api/getInfo/image/492e6b17-98be-11ed-a22e-00155d82e902")</f>
        <v>https://kanzpp.ru/api/getInfo/image/492e6b17-98be-11ed-a22e-00155d82e902</v>
      </c>
      <c r="U2015" s="6"/>
      <c r="V2015" s="33" t="s">
        <v>35</v>
      </c>
    </row>
    <row r="2016" spans="2:22" ht="21" customHeight="1" outlineLevel="5" x14ac:dyDescent="0.2">
      <c r="B2016" s="69">
        <v>1467</v>
      </c>
      <c r="C2016" s="6" t="s">
        <v>6197</v>
      </c>
      <c r="D2016" s="6" t="s">
        <v>6198</v>
      </c>
      <c r="E2016" s="7" t="s">
        <v>6199</v>
      </c>
      <c r="F2016" s="13"/>
      <c r="G2016" s="14"/>
      <c r="H2016" s="15">
        <v>100</v>
      </c>
      <c r="I2016" s="14"/>
      <c r="J2016" s="14" t="s">
        <v>144</v>
      </c>
      <c r="K2016" s="5">
        <v>5</v>
      </c>
      <c r="L2016" s="16">
        <v>92</v>
      </c>
      <c r="M2016" s="12"/>
      <c r="N2016" s="14">
        <f>L2016*M2016</f>
        <v>0</v>
      </c>
      <c r="O2016" s="23">
        <f>0.131*M2016</f>
        <v>0</v>
      </c>
      <c r="P2016" s="24">
        <f>0.00281*M2016</f>
        <v>0</v>
      </c>
      <c r="Q2016" s="25"/>
      <c r="R2016" s="26" t="s">
        <v>6200</v>
      </c>
      <c r="S2016" s="26" t="s">
        <v>93</v>
      </c>
      <c r="T2016" s="6" t="str">
        <f>HYPERLINK("https://kanzpp.ru/api/getInfo/image/2f4f1ae4-98be-11ed-a22e-00155d82e902")</f>
        <v>https://kanzpp.ru/api/getInfo/image/2f4f1ae4-98be-11ed-a22e-00155d82e902</v>
      </c>
      <c r="U2016" s="6"/>
      <c r="V2016" s="33" t="s">
        <v>35</v>
      </c>
    </row>
    <row r="2017" spans="2:22" ht="22.95" customHeight="1" outlineLevel="3" x14ac:dyDescent="0.2">
      <c r="B2017" s="81" t="s">
        <v>6201</v>
      </c>
      <c r="C2017" s="81"/>
      <c r="D2017" s="81"/>
      <c r="L2017">
        <v>0</v>
      </c>
    </row>
    <row r="2018" spans="2:22" ht="22.95" customHeight="1" outlineLevel="4" x14ac:dyDescent="0.2">
      <c r="B2018" s="82" t="s">
        <v>6202</v>
      </c>
      <c r="C2018" s="82"/>
      <c r="D2018" s="82"/>
      <c r="L2018">
        <v>0</v>
      </c>
    </row>
    <row r="2019" spans="2:22" ht="21" customHeight="1" outlineLevel="5" x14ac:dyDescent="0.2">
      <c r="B2019" s="69">
        <v>1468</v>
      </c>
      <c r="C2019" s="6" t="s">
        <v>6203</v>
      </c>
      <c r="D2019" s="6" t="s">
        <v>6204</v>
      </c>
      <c r="E2019" s="7" t="s">
        <v>6205</v>
      </c>
      <c r="F2019" s="13"/>
      <c r="G2019" s="14"/>
      <c r="H2019" s="15">
        <v>50</v>
      </c>
      <c r="I2019" s="14"/>
      <c r="J2019" s="15">
        <v>31</v>
      </c>
      <c r="K2019" s="5">
        <v>5</v>
      </c>
      <c r="L2019" s="16">
        <v>78.666666666666671</v>
      </c>
      <c r="M2019" s="12"/>
      <c r="N2019" s="14">
        <f>L2019*M2019</f>
        <v>0</v>
      </c>
      <c r="O2019" s="23">
        <f>0.042*M2019</f>
        <v>0</v>
      </c>
      <c r="P2019" s="24">
        <f>0.00038*M2019</f>
        <v>0</v>
      </c>
      <c r="Q2019" s="25"/>
      <c r="R2019" s="26" t="s">
        <v>6206</v>
      </c>
      <c r="S2019" s="26" t="s">
        <v>93</v>
      </c>
      <c r="T2019" s="6" t="str">
        <f>HYPERLINK("https://kanzpp.ru/api/getInfo/image/f80d3532-ff5d-11eb-a20e-ac1f6b442185")</f>
        <v>https://kanzpp.ru/api/getInfo/image/f80d3532-ff5d-11eb-a20e-ac1f6b442185</v>
      </c>
      <c r="U2019" s="6"/>
      <c r="V2019" s="33" t="s">
        <v>35</v>
      </c>
    </row>
    <row r="2020" spans="2:22" ht="21" customHeight="1" outlineLevel="5" x14ac:dyDescent="0.2">
      <c r="B2020" s="69">
        <v>1469</v>
      </c>
      <c r="C2020" s="6" t="s">
        <v>6207</v>
      </c>
      <c r="D2020" s="6" t="s">
        <v>6208</v>
      </c>
      <c r="E2020" s="7" t="s">
        <v>6209</v>
      </c>
      <c r="F2020" s="13"/>
      <c r="G2020" s="14"/>
      <c r="H2020" s="15">
        <v>50</v>
      </c>
      <c r="I2020" s="14"/>
      <c r="J2020" s="15">
        <v>376</v>
      </c>
      <c r="K2020" s="5">
        <v>5</v>
      </c>
      <c r="L2020" s="16">
        <v>78.666666666666671</v>
      </c>
      <c r="M2020" s="12"/>
      <c r="N2020" s="14">
        <f>L2020*M2020</f>
        <v>0</v>
      </c>
      <c r="O2020" s="23">
        <f>0.042*M2020</f>
        <v>0</v>
      </c>
      <c r="P2020" s="24">
        <f>0.00038*M2020</f>
        <v>0</v>
      </c>
      <c r="Q2020" s="25"/>
      <c r="R2020" s="26" t="s">
        <v>6210</v>
      </c>
      <c r="S2020" s="26" t="s">
        <v>93</v>
      </c>
      <c r="T2020" s="6" t="str">
        <f>HYPERLINK("https://kanzpp.ru/api/getInfo/image/48d850ff-ff5d-11eb-a20e-ac1f6b442185")</f>
        <v>https://kanzpp.ru/api/getInfo/image/48d850ff-ff5d-11eb-a20e-ac1f6b442185</v>
      </c>
      <c r="U2020" s="6"/>
      <c r="V2020" s="33" t="s">
        <v>35</v>
      </c>
    </row>
    <row r="2021" spans="2:22" ht="21" customHeight="1" outlineLevel="5" x14ac:dyDescent="0.2">
      <c r="B2021" s="69">
        <v>1470</v>
      </c>
      <c r="C2021" s="6" t="s">
        <v>6211</v>
      </c>
      <c r="D2021" s="6" t="s">
        <v>6212</v>
      </c>
      <c r="E2021" s="7" t="s">
        <v>6213</v>
      </c>
      <c r="F2021" s="13"/>
      <c r="G2021" s="14"/>
      <c r="H2021" s="15">
        <v>50</v>
      </c>
      <c r="I2021" s="14"/>
      <c r="J2021" s="15">
        <v>358</v>
      </c>
      <c r="K2021" s="5">
        <v>5</v>
      </c>
      <c r="L2021" s="16">
        <v>78.666666666666671</v>
      </c>
      <c r="M2021" s="12"/>
      <c r="N2021" s="14">
        <f>L2021*M2021</f>
        <v>0</v>
      </c>
      <c r="O2021" s="23">
        <f>0.042*M2021</f>
        <v>0</v>
      </c>
      <c r="P2021" s="24">
        <f>0.00038*M2021</f>
        <v>0</v>
      </c>
      <c r="Q2021" s="25"/>
      <c r="R2021" s="26" t="s">
        <v>6214</v>
      </c>
      <c r="S2021" s="26" t="s">
        <v>93</v>
      </c>
      <c r="T2021" s="6" t="str">
        <f>HYPERLINK("https://kanzpp.ru/api/getInfo/image/1ea968d0-ff5d-11eb-a20e-ac1f6b442185")</f>
        <v>https://kanzpp.ru/api/getInfo/image/1ea968d0-ff5d-11eb-a20e-ac1f6b442185</v>
      </c>
      <c r="U2021" s="6"/>
      <c r="V2021" s="33" t="s">
        <v>35</v>
      </c>
    </row>
    <row r="2022" spans="2:22" ht="21" customHeight="1" outlineLevel="5" x14ac:dyDescent="0.2">
      <c r="B2022" s="69">
        <v>1471</v>
      </c>
      <c r="C2022" s="6" t="s">
        <v>6215</v>
      </c>
      <c r="D2022" s="6" t="s">
        <v>6216</v>
      </c>
      <c r="E2022" s="7" t="s">
        <v>6217</v>
      </c>
      <c r="F2022" s="13"/>
      <c r="G2022" s="14"/>
      <c r="H2022" s="15">
        <v>50</v>
      </c>
      <c r="I2022" s="14"/>
      <c r="J2022" s="15">
        <v>15</v>
      </c>
      <c r="K2022" s="5">
        <v>5</v>
      </c>
      <c r="L2022" s="16">
        <v>78.666666666666671</v>
      </c>
      <c r="M2022" s="12"/>
      <c r="N2022" s="14">
        <f>L2022*M2022</f>
        <v>0</v>
      </c>
      <c r="O2022" s="23">
        <f>0.042*M2022</f>
        <v>0</v>
      </c>
      <c r="P2022" s="24">
        <f>0.00038*M2022</f>
        <v>0</v>
      </c>
      <c r="Q2022" s="25"/>
      <c r="R2022" s="26" t="s">
        <v>6218</v>
      </c>
      <c r="S2022" s="26" t="s">
        <v>93</v>
      </c>
      <c r="T2022" s="6" t="str">
        <f>HYPERLINK("https://kanzpp.ru/api/getInfo/image/ca4d0075-ff5d-11eb-a20e-ac1f6b442185")</f>
        <v>https://kanzpp.ru/api/getInfo/image/ca4d0075-ff5d-11eb-a20e-ac1f6b442185</v>
      </c>
      <c r="U2022" s="6"/>
      <c r="V2022" s="33" t="s">
        <v>35</v>
      </c>
    </row>
    <row r="2023" spans="2:22" ht="21" customHeight="1" outlineLevel="5" x14ac:dyDescent="0.2">
      <c r="B2023" s="69">
        <v>1472</v>
      </c>
      <c r="C2023" s="6" t="s">
        <v>6219</v>
      </c>
      <c r="D2023" s="6" t="s">
        <v>6220</v>
      </c>
      <c r="E2023" s="7" t="s">
        <v>6221</v>
      </c>
      <c r="F2023" s="13"/>
      <c r="G2023" s="14"/>
      <c r="H2023" s="15">
        <v>50</v>
      </c>
      <c r="I2023" s="14"/>
      <c r="J2023" s="14" t="s">
        <v>144</v>
      </c>
      <c r="K2023" s="5">
        <v>5</v>
      </c>
      <c r="L2023" s="16">
        <v>78.666666666666671</v>
      </c>
      <c r="M2023" s="12"/>
      <c r="N2023" s="14">
        <f>L2023*M2023</f>
        <v>0</v>
      </c>
      <c r="O2023" s="23">
        <f>0.042*M2023</f>
        <v>0</v>
      </c>
      <c r="P2023" s="24">
        <f>0.00038*M2023</f>
        <v>0</v>
      </c>
      <c r="Q2023" s="25"/>
      <c r="R2023" s="26" t="s">
        <v>6222</v>
      </c>
      <c r="S2023" s="26" t="s">
        <v>93</v>
      </c>
      <c r="T2023" s="6" t="str">
        <f>HYPERLINK("https://kanzpp.ru/api/getInfo/image/a2c0da87-ff5d-11eb-a20e-ac1f6b442185")</f>
        <v>https://kanzpp.ru/api/getInfo/image/a2c0da87-ff5d-11eb-a20e-ac1f6b442185</v>
      </c>
      <c r="U2023" s="6"/>
      <c r="V2023" s="33" t="s">
        <v>35</v>
      </c>
    </row>
    <row r="2024" spans="2:22" ht="22.95" customHeight="1" outlineLevel="4" x14ac:dyDescent="0.2">
      <c r="B2024" s="82" t="s">
        <v>6223</v>
      </c>
      <c r="C2024" s="82"/>
      <c r="D2024" s="82"/>
      <c r="L2024">
        <v>0</v>
      </c>
    </row>
    <row r="2025" spans="2:22" ht="21" customHeight="1" outlineLevel="5" x14ac:dyDescent="0.2">
      <c r="B2025" s="69">
        <v>1473</v>
      </c>
      <c r="C2025" s="6" t="s">
        <v>6224</v>
      </c>
      <c r="D2025" s="6" t="s">
        <v>6225</v>
      </c>
      <c r="E2025" s="7" t="s">
        <v>6226</v>
      </c>
      <c r="F2025" s="13"/>
      <c r="G2025" s="14"/>
      <c r="H2025" s="15">
        <v>100</v>
      </c>
      <c r="I2025" s="14"/>
      <c r="J2025" s="14" t="s">
        <v>144</v>
      </c>
      <c r="K2025" s="5">
        <v>3</v>
      </c>
      <c r="L2025" s="16">
        <v>113.33333333333333</v>
      </c>
      <c r="M2025" s="12"/>
      <c r="N2025" s="14">
        <f>L2025*M2025</f>
        <v>0</v>
      </c>
      <c r="O2025" s="28">
        <f>0.11*M2025</f>
        <v>0</v>
      </c>
      <c r="P2025" s="24">
        <f>0.00086*M2025</f>
        <v>0</v>
      </c>
      <c r="Q2025" s="25"/>
      <c r="R2025" s="26" t="s">
        <v>6227</v>
      </c>
      <c r="S2025" s="26" t="s">
        <v>93</v>
      </c>
      <c r="T2025" s="6" t="str">
        <f>HYPERLINK("https://kanzpp.ru/api/getInfo/image/b893e2e6-98cc-11ed-a22e-00155d82e902")</f>
        <v>https://kanzpp.ru/api/getInfo/image/b893e2e6-98cc-11ed-a22e-00155d82e902</v>
      </c>
      <c r="U2025" s="6"/>
      <c r="V2025" s="33" t="s">
        <v>35</v>
      </c>
    </row>
    <row r="2026" spans="2:22" ht="21" customHeight="1" outlineLevel="5" x14ac:dyDescent="0.2">
      <c r="B2026" s="69">
        <v>1474</v>
      </c>
      <c r="C2026" s="6" t="s">
        <v>6228</v>
      </c>
      <c r="D2026" s="6" t="s">
        <v>6229</v>
      </c>
      <c r="E2026" s="7" t="s">
        <v>6230</v>
      </c>
      <c r="F2026" s="13"/>
      <c r="G2026" s="14"/>
      <c r="H2026" s="15">
        <v>100</v>
      </c>
      <c r="I2026" s="14"/>
      <c r="J2026" s="14" t="s">
        <v>144</v>
      </c>
      <c r="K2026" s="5">
        <v>3</v>
      </c>
      <c r="L2026" s="16">
        <v>113.33333333333333</v>
      </c>
      <c r="M2026" s="12"/>
      <c r="N2026" s="14">
        <f>L2026*M2026</f>
        <v>0</v>
      </c>
      <c r="O2026" s="23">
        <f>0.118*M2026</f>
        <v>0</v>
      </c>
      <c r="P2026" s="24">
        <f>0.00086*M2026</f>
        <v>0</v>
      </c>
      <c r="Q2026" s="25"/>
      <c r="R2026" s="26" t="s">
        <v>6231</v>
      </c>
      <c r="S2026" s="26" t="s">
        <v>93</v>
      </c>
      <c r="T2026" s="6" t="str">
        <f>HYPERLINK("https://kanzpp.ru/api/getInfo/image/998e111f-98cc-11ed-a22e-00155d82e902")</f>
        <v>https://kanzpp.ru/api/getInfo/image/998e111f-98cc-11ed-a22e-00155d82e902</v>
      </c>
      <c r="U2026" s="6"/>
      <c r="V2026" s="33" t="s">
        <v>35</v>
      </c>
    </row>
    <row r="2027" spans="2:22" ht="21" customHeight="1" outlineLevel="5" x14ac:dyDescent="0.2">
      <c r="B2027" s="69">
        <v>1475</v>
      </c>
      <c r="C2027" s="6" t="s">
        <v>6232</v>
      </c>
      <c r="D2027" s="6" t="s">
        <v>6233</v>
      </c>
      <c r="E2027" s="7" t="s">
        <v>6234</v>
      </c>
      <c r="F2027" s="13"/>
      <c r="G2027" s="14"/>
      <c r="H2027" s="15">
        <v>100</v>
      </c>
      <c r="I2027" s="14"/>
      <c r="J2027" s="14" t="s">
        <v>144</v>
      </c>
      <c r="K2027" s="5">
        <v>3</v>
      </c>
      <c r="L2027" s="16">
        <v>113.33333333333333</v>
      </c>
      <c r="M2027" s="12"/>
      <c r="N2027" s="14">
        <f>L2027*M2027</f>
        <v>0</v>
      </c>
      <c r="O2027" s="23">
        <f>0.107*M2027</f>
        <v>0</v>
      </c>
      <c r="P2027" s="31">
        <f>0.0019*M2027</f>
        <v>0</v>
      </c>
      <c r="Q2027" s="25"/>
      <c r="R2027" s="26" t="s">
        <v>6235</v>
      </c>
      <c r="S2027" s="26" t="s">
        <v>93</v>
      </c>
      <c r="T2027" s="6" t="str">
        <f>HYPERLINK("https://kanzpp.ru/api/getInfo/image/1e5f5a86-98c9-11ed-a22e-00155d82e902")</f>
        <v>https://kanzpp.ru/api/getInfo/image/1e5f5a86-98c9-11ed-a22e-00155d82e902</v>
      </c>
      <c r="U2027" s="6"/>
      <c r="V2027" s="33" t="s">
        <v>35</v>
      </c>
    </row>
    <row r="2028" spans="2:22" ht="21" customHeight="1" outlineLevel="5" x14ac:dyDescent="0.2">
      <c r="B2028" s="69">
        <v>1476</v>
      </c>
      <c r="C2028" s="6" t="s">
        <v>6236</v>
      </c>
      <c r="D2028" s="6" t="s">
        <v>6237</v>
      </c>
      <c r="E2028" s="7" t="s">
        <v>6238</v>
      </c>
      <c r="F2028" s="13"/>
      <c r="G2028" s="14"/>
      <c r="H2028" s="15">
        <v>100</v>
      </c>
      <c r="I2028" s="14"/>
      <c r="J2028" s="14" t="s">
        <v>144</v>
      </c>
      <c r="K2028" s="5">
        <v>3</v>
      </c>
      <c r="L2028" s="16">
        <v>113.33333333333333</v>
      </c>
      <c r="M2028" s="12"/>
      <c r="N2028" s="14">
        <f>L2028*M2028</f>
        <v>0</v>
      </c>
      <c r="O2028" s="23">
        <f>0.107*M2028</f>
        <v>0</v>
      </c>
      <c r="P2028" s="24">
        <f>0.00088*M2028</f>
        <v>0</v>
      </c>
      <c r="Q2028" s="25"/>
      <c r="R2028" s="26" t="s">
        <v>6239</v>
      </c>
      <c r="S2028" s="26" t="s">
        <v>93</v>
      </c>
      <c r="T2028" s="6" t="str">
        <f>HYPERLINK("https://kanzpp.ru/api/getInfo/image/da1d725e-98cc-11ed-a22e-00155d82e902")</f>
        <v>https://kanzpp.ru/api/getInfo/image/da1d725e-98cc-11ed-a22e-00155d82e902</v>
      </c>
      <c r="U2028" s="6"/>
      <c r="V2028" s="33" t="s">
        <v>35</v>
      </c>
    </row>
    <row r="2029" spans="2:22" ht="21" customHeight="1" outlineLevel="5" x14ac:dyDescent="0.2">
      <c r="B2029" s="69">
        <v>1477</v>
      </c>
      <c r="C2029" s="6" t="s">
        <v>6240</v>
      </c>
      <c r="D2029" s="6" t="s">
        <v>6241</v>
      </c>
      <c r="E2029" s="7" t="s">
        <v>6242</v>
      </c>
      <c r="F2029" s="13"/>
      <c r="G2029" s="14"/>
      <c r="H2029" s="15">
        <v>100</v>
      </c>
      <c r="I2029" s="14"/>
      <c r="J2029" s="14" t="s">
        <v>144</v>
      </c>
      <c r="K2029" s="5">
        <v>2</v>
      </c>
      <c r="L2029" s="16">
        <v>113.33333333333333</v>
      </c>
      <c r="M2029" s="12"/>
      <c r="N2029" s="14">
        <f>L2029*M2029</f>
        <v>0</v>
      </c>
      <c r="O2029" s="23">
        <f>0.111*M2029</f>
        <v>0</v>
      </c>
      <c r="P2029" s="24">
        <f>0.00084*M2029</f>
        <v>0</v>
      </c>
      <c r="Q2029" s="25"/>
      <c r="R2029" s="26" t="s">
        <v>6243</v>
      </c>
      <c r="S2029" s="26" t="s">
        <v>93</v>
      </c>
      <c r="T2029" s="6" t="str">
        <f>HYPERLINK("https://kanzpp.ru/api/getInfo/image/df608e12-98c8-11ed-a22e-00155d82e902")</f>
        <v>https://kanzpp.ru/api/getInfo/image/df608e12-98c8-11ed-a22e-00155d82e902</v>
      </c>
      <c r="U2029" s="6"/>
      <c r="V2029" s="33" t="s">
        <v>35</v>
      </c>
    </row>
    <row r="2030" spans="2:22" ht="22.95" customHeight="1" outlineLevel="4" x14ac:dyDescent="0.2">
      <c r="B2030" s="82" t="s">
        <v>6244</v>
      </c>
      <c r="C2030" s="82"/>
      <c r="D2030" s="82"/>
      <c r="L2030">
        <v>0</v>
      </c>
    </row>
    <row r="2031" spans="2:22" ht="21" customHeight="1" outlineLevel="5" x14ac:dyDescent="0.2">
      <c r="B2031" s="69">
        <v>1478</v>
      </c>
      <c r="C2031" s="6" t="s">
        <v>6245</v>
      </c>
      <c r="D2031" s="6" t="s">
        <v>6246</v>
      </c>
      <c r="E2031" s="7" t="s">
        <v>6247</v>
      </c>
      <c r="F2031" s="13"/>
      <c r="G2031" s="14"/>
      <c r="H2031" s="15">
        <v>50</v>
      </c>
      <c r="I2031" s="14"/>
      <c r="J2031" s="15">
        <v>136</v>
      </c>
      <c r="K2031" s="5">
        <v>3</v>
      </c>
      <c r="L2031" s="16">
        <v>132</v>
      </c>
      <c r="M2031" s="12"/>
      <c r="N2031" s="14">
        <f t="shared" ref="N2031:N2042" si="92">L2031*M2031</f>
        <v>0</v>
      </c>
      <c r="O2031" s="23">
        <f>0.083*M2031</f>
        <v>0</v>
      </c>
      <c r="P2031" s="24">
        <f>0.00152*M2031</f>
        <v>0</v>
      </c>
      <c r="Q2031" s="25"/>
      <c r="R2031" s="26" t="s">
        <v>6248</v>
      </c>
      <c r="S2031" s="26" t="s">
        <v>93</v>
      </c>
      <c r="T2031" s="6" t="str">
        <f>HYPERLINK("https://kanzpp.ru/api/getInfo/image/793bdd97-9662-11ed-a22d-00155d82e902")</f>
        <v>https://kanzpp.ru/api/getInfo/image/793bdd97-9662-11ed-a22d-00155d82e902</v>
      </c>
      <c r="U2031" s="6"/>
      <c r="V2031" s="33" t="s">
        <v>35</v>
      </c>
    </row>
    <row r="2032" spans="2:22" ht="21" customHeight="1" outlineLevel="5" x14ac:dyDescent="0.2">
      <c r="B2032" s="69">
        <v>1479</v>
      </c>
      <c r="C2032" s="6" t="s">
        <v>6249</v>
      </c>
      <c r="D2032" s="6" t="s">
        <v>6250</v>
      </c>
      <c r="E2032" s="7" t="s">
        <v>6251</v>
      </c>
      <c r="F2032" s="13"/>
      <c r="G2032" s="14"/>
      <c r="H2032" s="15">
        <v>50</v>
      </c>
      <c r="I2032" s="14"/>
      <c r="J2032" s="15">
        <v>190</v>
      </c>
      <c r="K2032" s="5">
        <v>3</v>
      </c>
      <c r="L2032" s="16">
        <v>132</v>
      </c>
      <c r="M2032" s="12"/>
      <c r="N2032" s="14">
        <f t="shared" si="92"/>
        <v>0</v>
      </c>
      <c r="O2032" s="28">
        <f>0.08*M2032</f>
        <v>0</v>
      </c>
      <c r="P2032" s="24">
        <f>0.00292*M2032</f>
        <v>0</v>
      </c>
      <c r="Q2032" s="25"/>
      <c r="R2032" s="26" t="s">
        <v>6252</v>
      </c>
      <c r="S2032" s="26" t="s">
        <v>93</v>
      </c>
      <c r="T2032" s="6" t="str">
        <f>HYPERLINK("https://kanzpp.ru/api/getInfo/image/ea6f9e48-ff5e-11eb-a20e-ac1f6b442185")</f>
        <v>https://kanzpp.ru/api/getInfo/image/ea6f9e48-ff5e-11eb-a20e-ac1f6b442185</v>
      </c>
      <c r="U2032" s="6"/>
      <c r="V2032" s="33" t="s">
        <v>35</v>
      </c>
    </row>
    <row r="2033" spans="2:22" ht="21" customHeight="1" outlineLevel="5" x14ac:dyDescent="0.2">
      <c r="B2033" s="69">
        <v>1480</v>
      </c>
      <c r="C2033" s="6" t="s">
        <v>6253</v>
      </c>
      <c r="D2033" s="6" t="s">
        <v>6254</v>
      </c>
      <c r="E2033" s="7" t="s">
        <v>6255</v>
      </c>
      <c r="F2033" s="13"/>
      <c r="G2033" s="14"/>
      <c r="H2033" s="15">
        <v>50</v>
      </c>
      <c r="I2033" s="14"/>
      <c r="J2033" s="15">
        <v>183</v>
      </c>
      <c r="K2033" s="5">
        <v>3</v>
      </c>
      <c r="L2033" s="16">
        <v>132</v>
      </c>
      <c r="M2033" s="12"/>
      <c r="N2033" s="14">
        <f t="shared" si="92"/>
        <v>0</v>
      </c>
      <c r="O2033" s="23">
        <f>0.098*M2033</f>
        <v>0</v>
      </c>
      <c r="P2033" s="24">
        <f>0.00131*M2033</f>
        <v>0</v>
      </c>
      <c r="Q2033" s="25"/>
      <c r="R2033" s="26" t="s">
        <v>6256</v>
      </c>
      <c r="S2033" s="26" t="s">
        <v>93</v>
      </c>
      <c r="T2033" s="6" t="str">
        <f>HYPERLINK("https://kanzpp.ru/api/getInfo/image/03d7f84e-9663-11ed-a22d-00155d82e902")</f>
        <v>https://kanzpp.ru/api/getInfo/image/03d7f84e-9663-11ed-a22d-00155d82e902</v>
      </c>
      <c r="U2033" s="6"/>
      <c r="V2033" s="33" t="s">
        <v>35</v>
      </c>
    </row>
    <row r="2034" spans="2:22" ht="21" customHeight="1" outlineLevel="5" x14ac:dyDescent="0.2">
      <c r="B2034" s="69">
        <v>1481</v>
      </c>
      <c r="C2034" s="6" t="s">
        <v>6257</v>
      </c>
      <c r="D2034" s="6" t="s">
        <v>6258</v>
      </c>
      <c r="E2034" s="7" t="s">
        <v>6259</v>
      </c>
      <c r="F2034" s="13"/>
      <c r="G2034" s="14"/>
      <c r="H2034" s="15">
        <v>50</v>
      </c>
      <c r="I2034" s="14"/>
      <c r="J2034" s="15">
        <v>582</v>
      </c>
      <c r="K2034" s="5">
        <v>3</v>
      </c>
      <c r="L2034" s="16">
        <v>132</v>
      </c>
      <c r="M2034" s="12"/>
      <c r="N2034" s="14">
        <f t="shared" si="92"/>
        <v>0</v>
      </c>
      <c r="O2034" s="23">
        <f>0.081*M2034</f>
        <v>0</v>
      </c>
      <c r="P2034" s="24">
        <f>0.00145*M2034</f>
        <v>0</v>
      </c>
      <c r="Q2034" s="25"/>
      <c r="R2034" s="26" t="s">
        <v>6260</v>
      </c>
      <c r="S2034" s="26" t="s">
        <v>93</v>
      </c>
      <c r="T2034" s="6" t="str">
        <f>HYPERLINK("https://kanzpp.ru/api/getInfo/image/3d7cd5b3-9664-11ed-a22d-00155d82e902")</f>
        <v>https://kanzpp.ru/api/getInfo/image/3d7cd5b3-9664-11ed-a22d-00155d82e902</v>
      </c>
      <c r="U2034" s="6"/>
      <c r="V2034" s="33" t="s">
        <v>35</v>
      </c>
    </row>
    <row r="2035" spans="2:22" ht="21" customHeight="1" outlineLevel="5" x14ac:dyDescent="0.2">
      <c r="B2035" s="69">
        <v>1482</v>
      </c>
      <c r="C2035" s="6" t="s">
        <v>6261</v>
      </c>
      <c r="D2035" s="6" t="s">
        <v>6262</v>
      </c>
      <c r="E2035" s="7" t="s">
        <v>6263</v>
      </c>
      <c r="F2035" s="13"/>
      <c r="G2035" s="14"/>
      <c r="H2035" s="15">
        <v>50</v>
      </c>
      <c r="I2035" s="14"/>
      <c r="J2035" s="14" t="s">
        <v>144</v>
      </c>
      <c r="K2035" s="5">
        <v>3</v>
      </c>
      <c r="L2035" s="16">
        <v>132</v>
      </c>
      <c r="M2035" s="12"/>
      <c r="N2035" s="14">
        <f t="shared" si="92"/>
        <v>0</v>
      </c>
      <c r="O2035" s="23">
        <f>0.078*M2035</f>
        <v>0</v>
      </c>
      <c r="P2035" s="24">
        <f>0.00177*M2035</f>
        <v>0</v>
      </c>
      <c r="Q2035" s="25"/>
      <c r="R2035" s="26" t="s">
        <v>6264</v>
      </c>
      <c r="S2035" s="26" t="s">
        <v>93</v>
      </c>
      <c r="T2035" s="6" t="str">
        <f>HYPERLINK("https://kanzpp.ru/api/getInfo/image/684128bc-9664-11ed-a22d-00155d82e902")</f>
        <v>https://kanzpp.ru/api/getInfo/image/684128bc-9664-11ed-a22d-00155d82e902</v>
      </c>
      <c r="U2035" s="6"/>
      <c r="V2035" s="33" t="s">
        <v>35</v>
      </c>
    </row>
    <row r="2036" spans="2:22" ht="21" customHeight="1" outlineLevel="5" x14ac:dyDescent="0.2">
      <c r="B2036" s="69">
        <v>1483</v>
      </c>
      <c r="C2036" s="6" t="s">
        <v>6265</v>
      </c>
      <c r="D2036" s="6" t="s">
        <v>6266</v>
      </c>
      <c r="E2036" s="7" t="s">
        <v>6267</v>
      </c>
      <c r="F2036" s="13"/>
      <c r="G2036" s="14"/>
      <c r="H2036" s="15">
        <v>50</v>
      </c>
      <c r="I2036" s="14"/>
      <c r="J2036" s="15">
        <v>1</v>
      </c>
      <c r="K2036" s="5">
        <v>1</v>
      </c>
      <c r="L2036" s="16">
        <v>132</v>
      </c>
      <c r="M2036" s="12"/>
      <c r="N2036" s="14">
        <f t="shared" si="92"/>
        <v>0</v>
      </c>
      <c r="O2036" s="27">
        <f>0.1*M2036</f>
        <v>0</v>
      </c>
      <c r="P2036" s="24">
        <f>0.00115*M2036</f>
        <v>0</v>
      </c>
      <c r="Q2036" s="25"/>
      <c r="R2036" s="26" t="s">
        <v>6268</v>
      </c>
      <c r="S2036" s="26" t="s">
        <v>93</v>
      </c>
      <c r="T2036" s="6" t="str">
        <f>HYPERLINK("https://kanzpp.ru/api/getInfo/image/11508039-9664-11ed-a22d-00155d82e902")</f>
        <v>https://kanzpp.ru/api/getInfo/image/11508039-9664-11ed-a22d-00155d82e902</v>
      </c>
      <c r="U2036" s="6"/>
      <c r="V2036" s="33" t="s">
        <v>35</v>
      </c>
    </row>
    <row r="2037" spans="2:22" ht="21" customHeight="1" outlineLevel="5" x14ac:dyDescent="0.2">
      <c r="B2037" s="69">
        <v>1484</v>
      </c>
      <c r="C2037" s="6" t="s">
        <v>6269</v>
      </c>
      <c r="D2037" s="6" t="s">
        <v>6270</v>
      </c>
      <c r="E2037" s="7" t="s">
        <v>6271</v>
      </c>
      <c r="F2037" s="13"/>
      <c r="G2037" s="14"/>
      <c r="H2037" s="15">
        <v>50</v>
      </c>
      <c r="I2037" s="14"/>
      <c r="J2037" s="15">
        <v>283</v>
      </c>
      <c r="K2037" s="5">
        <v>3</v>
      </c>
      <c r="L2037" s="16">
        <v>132</v>
      </c>
      <c r="M2037" s="12"/>
      <c r="N2037" s="14">
        <f t="shared" si="92"/>
        <v>0</v>
      </c>
      <c r="O2037" s="28">
        <f>0.08*M2037</f>
        <v>0</v>
      </c>
      <c r="P2037" s="24">
        <f>0.00292*M2037</f>
        <v>0</v>
      </c>
      <c r="Q2037" s="25"/>
      <c r="R2037" s="26" t="s">
        <v>6272</v>
      </c>
      <c r="S2037" s="26" t="s">
        <v>93</v>
      </c>
      <c r="T2037" s="6" t="str">
        <f>HYPERLINK("https://kanzpp.ru/api/getInfo/image/2ace71fe-ff5f-11eb-a20e-ac1f6b442185")</f>
        <v>https://kanzpp.ru/api/getInfo/image/2ace71fe-ff5f-11eb-a20e-ac1f6b442185</v>
      </c>
      <c r="U2037" s="6"/>
      <c r="V2037" s="33" t="s">
        <v>35</v>
      </c>
    </row>
    <row r="2038" spans="2:22" ht="21" customHeight="1" outlineLevel="5" x14ac:dyDescent="0.2">
      <c r="B2038" s="69">
        <v>1485</v>
      </c>
      <c r="C2038" s="6" t="s">
        <v>6273</v>
      </c>
      <c r="D2038" s="6" t="s">
        <v>6274</v>
      </c>
      <c r="E2038" s="7" t="s">
        <v>6275</v>
      </c>
      <c r="F2038" s="13"/>
      <c r="G2038" s="14"/>
      <c r="H2038" s="15">
        <v>50</v>
      </c>
      <c r="I2038" s="14"/>
      <c r="J2038" s="15">
        <v>26</v>
      </c>
      <c r="K2038" s="5">
        <v>3</v>
      </c>
      <c r="L2038" s="16">
        <v>132</v>
      </c>
      <c r="M2038" s="12"/>
      <c r="N2038" s="14">
        <f t="shared" si="92"/>
        <v>0</v>
      </c>
      <c r="O2038" s="23">
        <f>0.082*M2038</f>
        <v>0</v>
      </c>
      <c r="P2038" s="24">
        <f>0.00138*M2038</f>
        <v>0</v>
      </c>
      <c r="Q2038" s="25"/>
      <c r="R2038" s="26" t="s">
        <v>6276</v>
      </c>
      <c r="S2038" s="26" t="s">
        <v>93</v>
      </c>
      <c r="T2038" s="6" t="str">
        <f>HYPERLINK("https://kanzpp.ru/api/getInfo/image/bfc460d5-9663-11ed-a22d-00155d82e902")</f>
        <v>https://kanzpp.ru/api/getInfo/image/bfc460d5-9663-11ed-a22d-00155d82e902</v>
      </c>
      <c r="U2038" s="6"/>
      <c r="V2038" s="33" t="s">
        <v>35</v>
      </c>
    </row>
    <row r="2039" spans="2:22" ht="21" customHeight="1" outlineLevel="5" x14ac:dyDescent="0.2">
      <c r="B2039" s="69">
        <v>1486</v>
      </c>
      <c r="C2039" s="6" t="s">
        <v>6277</v>
      </c>
      <c r="D2039" s="6" t="s">
        <v>6278</v>
      </c>
      <c r="E2039" s="7" t="s">
        <v>6279</v>
      </c>
      <c r="F2039" s="13"/>
      <c r="G2039" s="14"/>
      <c r="H2039" s="15">
        <v>50</v>
      </c>
      <c r="I2039" s="14"/>
      <c r="J2039" s="15">
        <v>252</v>
      </c>
      <c r="K2039" s="5">
        <v>3</v>
      </c>
      <c r="L2039" s="16">
        <v>132</v>
      </c>
      <c r="M2039" s="12"/>
      <c r="N2039" s="14">
        <f t="shared" si="92"/>
        <v>0</v>
      </c>
      <c r="O2039" s="28">
        <f>0.08*M2039</f>
        <v>0</v>
      </c>
      <c r="P2039" s="24">
        <f>0.00292*M2039</f>
        <v>0</v>
      </c>
      <c r="Q2039" s="25"/>
      <c r="R2039" s="26" t="s">
        <v>6280</v>
      </c>
      <c r="S2039" s="26" t="s">
        <v>93</v>
      </c>
      <c r="T2039" s="6" t="str">
        <f>HYPERLINK("https://kanzpp.ru/api/getInfo/image/2904b73b-ff60-11eb-a20e-ac1f6b442185")</f>
        <v>https://kanzpp.ru/api/getInfo/image/2904b73b-ff60-11eb-a20e-ac1f6b442185</v>
      </c>
      <c r="U2039" s="6"/>
      <c r="V2039" s="33" t="s">
        <v>35</v>
      </c>
    </row>
    <row r="2040" spans="2:22" ht="21" customHeight="1" outlineLevel="5" x14ac:dyDescent="0.2">
      <c r="B2040" s="69">
        <v>1487</v>
      </c>
      <c r="C2040" s="6" t="s">
        <v>6281</v>
      </c>
      <c r="D2040" s="6" t="s">
        <v>6282</v>
      </c>
      <c r="E2040" s="7" t="s">
        <v>6283</v>
      </c>
      <c r="F2040" s="13"/>
      <c r="G2040" s="14"/>
      <c r="H2040" s="15">
        <v>50</v>
      </c>
      <c r="I2040" s="14"/>
      <c r="J2040" s="15">
        <v>248</v>
      </c>
      <c r="K2040" s="5">
        <v>3</v>
      </c>
      <c r="L2040" s="16">
        <v>132</v>
      </c>
      <c r="M2040" s="12"/>
      <c r="N2040" s="14">
        <f t="shared" si="92"/>
        <v>0</v>
      </c>
      <c r="O2040" s="28">
        <f>0.08*M2040</f>
        <v>0</v>
      </c>
      <c r="P2040" s="24">
        <f>0.00292*M2040</f>
        <v>0</v>
      </c>
      <c r="Q2040" s="25"/>
      <c r="R2040" s="26" t="s">
        <v>6284</v>
      </c>
      <c r="S2040" s="26" t="s">
        <v>93</v>
      </c>
      <c r="T2040" s="6" t="str">
        <f>HYPERLINK("https://kanzpp.ru/api/getInfo/image/82aab375-ff5f-11eb-a20e-ac1f6b442185")</f>
        <v>https://kanzpp.ru/api/getInfo/image/82aab375-ff5f-11eb-a20e-ac1f6b442185</v>
      </c>
      <c r="U2040" s="6"/>
      <c r="V2040" s="33" t="s">
        <v>35</v>
      </c>
    </row>
    <row r="2041" spans="2:22" ht="21" customHeight="1" outlineLevel="5" x14ac:dyDescent="0.2">
      <c r="B2041" s="69">
        <v>1488</v>
      </c>
      <c r="C2041" s="6" t="s">
        <v>6285</v>
      </c>
      <c r="D2041" s="6" t="s">
        <v>6286</v>
      </c>
      <c r="E2041" s="7" t="s">
        <v>6287</v>
      </c>
      <c r="F2041" s="13"/>
      <c r="G2041" s="14"/>
      <c r="H2041" s="15">
        <v>50</v>
      </c>
      <c r="I2041" s="14"/>
      <c r="J2041" s="15">
        <v>291</v>
      </c>
      <c r="K2041" s="5">
        <v>3</v>
      </c>
      <c r="L2041" s="16">
        <v>132</v>
      </c>
      <c r="M2041" s="12"/>
      <c r="N2041" s="14">
        <f t="shared" si="92"/>
        <v>0</v>
      </c>
      <c r="O2041" s="23">
        <f>0.086*M2041</f>
        <v>0</v>
      </c>
      <c r="P2041" s="24">
        <f>0.00134*M2041</f>
        <v>0</v>
      </c>
      <c r="Q2041" s="25"/>
      <c r="R2041" s="26" t="s">
        <v>6288</v>
      </c>
      <c r="S2041" s="26" t="s">
        <v>93</v>
      </c>
      <c r="T2041" s="6" t="str">
        <f>HYPERLINK("https://kanzpp.ru/api/getInfo/image/744f940c-9663-11ed-a22d-00155d82e902")</f>
        <v>https://kanzpp.ru/api/getInfo/image/744f940c-9663-11ed-a22d-00155d82e902</v>
      </c>
      <c r="U2041" s="6"/>
      <c r="V2041" s="33" t="s">
        <v>35</v>
      </c>
    </row>
    <row r="2042" spans="2:22" ht="21" customHeight="1" outlineLevel="5" x14ac:dyDescent="0.2">
      <c r="B2042" s="69">
        <v>1489</v>
      </c>
      <c r="C2042" s="6" t="s">
        <v>6289</v>
      </c>
      <c r="D2042" s="6" t="s">
        <v>6290</v>
      </c>
      <c r="E2042" s="7" t="s">
        <v>6291</v>
      </c>
      <c r="F2042" s="13"/>
      <c r="G2042" s="14"/>
      <c r="H2042" s="15">
        <v>50</v>
      </c>
      <c r="I2042" s="14"/>
      <c r="J2042" s="15">
        <v>217</v>
      </c>
      <c r="K2042" s="5">
        <v>3</v>
      </c>
      <c r="L2042" s="16">
        <v>132</v>
      </c>
      <c r="M2042" s="12"/>
      <c r="N2042" s="14">
        <f t="shared" si="92"/>
        <v>0</v>
      </c>
      <c r="O2042" s="28">
        <f>0.77*M2042</f>
        <v>0</v>
      </c>
      <c r="P2042" s="24">
        <f>0.00222*M2042</f>
        <v>0</v>
      </c>
      <c r="Q2042" s="25"/>
      <c r="R2042" s="26" t="s">
        <v>6292</v>
      </c>
      <c r="S2042" s="26" t="s">
        <v>93</v>
      </c>
      <c r="T2042" s="6" t="str">
        <f>HYPERLINK("https://kanzpp.ru/api/getInfo/image/5ab30cf9-9663-11ed-a22d-00155d82e902")</f>
        <v>https://kanzpp.ru/api/getInfo/image/5ab30cf9-9663-11ed-a22d-00155d82e902</v>
      </c>
      <c r="U2042" s="6"/>
      <c r="V2042" s="33" t="s">
        <v>35</v>
      </c>
    </row>
    <row r="2043" spans="2:22" ht="22.95" customHeight="1" outlineLevel="4" x14ac:dyDescent="0.2">
      <c r="B2043" s="82" t="s">
        <v>6293</v>
      </c>
      <c r="C2043" s="82"/>
      <c r="D2043" s="82"/>
      <c r="L2043">
        <v>0</v>
      </c>
    </row>
    <row r="2044" spans="2:22" ht="21" customHeight="1" outlineLevel="5" x14ac:dyDescent="0.2">
      <c r="B2044" s="69">
        <v>1490</v>
      </c>
      <c r="C2044" s="6" t="s">
        <v>6294</v>
      </c>
      <c r="D2044" s="6" t="s">
        <v>6295</v>
      </c>
      <c r="E2044" s="7" t="s">
        <v>6296</v>
      </c>
      <c r="F2044" s="13"/>
      <c r="G2044" s="14"/>
      <c r="H2044" s="15">
        <v>200</v>
      </c>
      <c r="I2044" s="14"/>
      <c r="J2044" s="14" t="s">
        <v>144</v>
      </c>
      <c r="K2044" s="5">
        <v>4</v>
      </c>
      <c r="L2044" s="16">
        <v>65.333333333333329</v>
      </c>
      <c r="M2044" s="12"/>
      <c r="N2044" s="14">
        <f t="shared" ref="N2044:N2049" si="93">L2044*M2044</f>
        <v>0</v>
      </c>
      <c r="O2044" s="23">
        <f>0.079*M2044</f>
        <v>0</v>
      </c>
      <c r="P2044" s="24">
        <f>0.00051*M2044</f>
        <v>0</v>
      </c>
      <c r="Q2044" s="25"/>
      <c r="R2044" s="26" t="s">
        <v>6297</v>
      </c>
      <c r="S2044" s="26" t="s">
        <v>93</v>
      </c>
      <c r="T2044" s="6" t="str">
        <f>HYPERLINK("https://kanzpp.ru/api/getInfo/image/c23b8669-1699-11ef-a25d-00155d82e908")</f>
        <v>https://kanzpp.ru/api/getInfo/image/c23b8669-1699-11ef-a25d-00155d82e908</v>
      </c>
      <c r="U2044" s="6"/>
      <c r="V2044" s="33" t="s">
        <v>35</v>
      </c>
    </row>
    <row r="2045" spans="2:22" ht="21" customHeight="1" outlineLevel="5" x14ac:dyDescent="0.2">
      <c r="B2045" s="69">
        <v>1491</v>
      </c>
      <c r="C2045" s="6" t="s">
        <v>6298</v>
      </c>
      <c r="D2045" s="6" t="s">
        <v>6299</v>
      </c>
      <c r="E2045" s="7" t="s">
        <v>6300</v>
      </c>
      <c r="F2045" s="13"/>
      <c r="G2045" s="14"/>
      <c r="H2045" s="15">
        <v>200</v>
      </c>
      <c r="I2045" s="14"/>
      <c r="J2045" s="14" t="s">
        <v>144</v>
      </c>
      <c r="K2045" s="5">
        <v>5</v>
      </c>
      <c r="L2045" s="16">
        <v>65.333333333333329</v>
      </c>
      <c r="M2045" s="12"/>
      <c r="N2045" s="14">
        <f t="shared" si="93"/>
        <v>0</v>
      </c>
      <c r="O2045" s="23">
        <f>0.071*M2045</f>
        <v>0</v>
      </c>
      <c r="P2045" s="31">
        <f>0.0011*M2045</f>
        <v>0</v>
      </c>
      <c r="Q2045" s="25"/>
      <c r="R2045" s="26" t="s">
        <v>6301</v>
      </c>
      <c r="S2045" s="26" t="s">
        <v>93</v>
      </c>
      <c r="T2045" s="6" t="str">
        <f>HYPERLINK("https://kanzpp.ru/api/getInfo/image/33507479-98c1-11ed-a22e-00155d82e902")</f>
        <v>https://kanzpp.ru/api/getInfo/image/33507479-98c1-11ed-a22e-00155d82e902</v>
      </c>
      <c r="U2045" s="6"/>
      <c r="V2045" s="33" t="s">
        <v>35</v>
      </c>
    </row>
    <row r="2046" spans="2:22" ht="21" customHeight="1" outlineLevel="5" x14ac:dyDescent="0.2">
      <c r="B2046" s="69">
        <v>1492</v>
      </c>
      <c r="C2046" s="6" t="s">
        <v>6302</v>
      </c>
      <c r="D2046" s="6" t="s">
        <v>6303</v>
      </c>
      <c r="E2046" s="7" t="s">
        <v>6304</v>
      </c>
      <c r="F2046" s="13"/>
      <c r="G2046" s="14"/>
      <c r="H2046" s="15">
        <v>200</v>
      </c>
      <c r="I2046" s="14"/>
      <c r="J2046" s="14" t="s">
        <v>144</v>
      </c>
      <c r="K2046" s="5">
        <v>5</v>
      </c>
      <c r="L2046" s="16">
        <v>65.333333333333329</v>
      </c>
      <c r="M2046" s="12"/>
      <c r="N2046" s="14">
        <f t="shared" si="93"/>
        <v>0</v>
      </c>
      <c r="O2046" s="23">
        <f>0.072*M2046</f>
        <v>0</v>
      </c>
      <c r="P2046" s="24">
        <f>0.00076*M2046</f>
        <v>0</v>
      </c>
      <c r="Q2046" s="25"/>
      <c r="R2046" s="26" t="s">
        <v>6305</v>
      </c>
      <c r="S2046" s="26" t="s">
        <v>93</v>
      </c>
      <c r="T2046" s="6" t="str">
        <f>HYPERLINK("https://kanzpp.ru/api/getInfo/image/38229d25-98c0-11ed-a22e-00155d82e902")</f>
        <v>https://kanzpp.ru/api/getInfo/image/38229d25-98c0-11ed-a22e-00155d82e902</v>
      </c>
      <c r="U2046" s="6"/>
      <c r="V2046" s="33" t="s">
        <v>35</v>
      </c>
    </row>
    <row r="2047" spans="2:22" ht="21" customHeight="1" outlineLevel="5" x14ac:dyDescent="0.2">
      <c r="B2047" s="69">
        <v>1493</v>
      </c>
      <c r="C2047" s="6" t="s">
        <v>6306</v>
      </c>
      <c r="D2047" s="6" t="s">
        <v>6307</v>
      </c>
      <c r="E2047" s="7" t="s">
        <v>6308</v>
      </c>
      <c r="F2047" s="13"/>
      <c r="G2047" s="14"/>
      <c r="H2047" s="15">
        <v>200</v>
      </c>
      <c r="I2047" s="14"/>
      <c r="J2047" s="14" t="s">
        <v>144</v>
      </c>
      <c r="K2047" s="5">
        <v>5</v>
      </c>
      <c r="L2047" s="16">
        <v>65.333333333333329</v>
      </c>
      <c r="M2047" s="12"/>
      <c r="N2047" s="14">
        <f t="shared" si="93"/>
        <v>0</v>
      </c>
      <c r="O2047" s="23">
        <f>0.072*M2047</f>
        <v>0</v>
      </c>
      <c r="P2047" s="24">
        <f>0.00019*M2047</f>
        <v>0</v>
      </c>
      <c r="Q2047" s="25"/>
      <c r="R2047" s="26" t="s">
        <v>6309</v>
      </c>
      <c r="S2047" s="26" t="s">
        <v>93</v>
      </c>
      <c r="T2047" s="6" t="str">
        <f>HYPERLINK("https://kanzpp.ru/api/getInfo/image/d00da416-98c0-11ed-a22e-00155d82e902")</f>
        <v>https://kanzpp.ru/api/getInfo/image/d00da416-98c0-11ed-a22e-00155d82e902</v>
      </c>
      <c r="U2047" s="6"/>
      <c r="V2047" s="33" t="s">
        <v>35</v>
      </c>
    </row>
    <row r="2048" spans="2:22" ht="21" customHeight="1" outlineLevel="5" x14ac:dyDescent="0.2">
      <c r="B2048" s="69">
        <v>1494</v>
      </c>
      <c r="C2048" s="6" t="s">
        <v>6310</v>
      </c>
      <c r="D2048" s="6" t="s">
        <v>6311</v>
      </c>
      <c r="E2048" s="7" t="s">
        <v>6312</v>
      </c>
      <c r="F2048" s="13"/>
      <c r="G2048" s="14"/>
      <c r="H2048" s="15">
        <v>200</v>
      </c>
      <c r="I2048" s="14"/>
      <c r="J2048" s="14" t="s">
        <v>144</v>
      </c>
      <c r="K2048" s="5">
        <v>5</v>
      </c>
      <c r="L2048" s="16">
        <v>65.333333333333329</v>
      </c>
      <c r="M2048" s="12"/>
      <c r="N2048" s="14">
        <f t="shared" si="93"/>
        <v>0</v>
      </c>
      <c r="O2048" s="23">
        <f>0.069*M2048</f>
        <v>0</v>
      </c>
      <c r="P2048" s="24">
        <f>0.00019*M2048</f>
        <v>0</v>
      </c>
      <c r="Q2048" s="25"/>
      <c r="R2048" s="26" t="s">
        <v>6313</v>
      </c>
      <c r="S2048" s="26" t="s">
        <v>93</v>
      </c>
      <c r="T2048" s="6" t="str">
        <f>HYPERLINK("https://kanzpp.ru/api/getInfo/image/ae24c4dc-98c0-11ed-a22e-00155d82e902")</f>
        <v>https://kanzpp.ru/api/getInfo/image/ae24c4dc-98c0-11ed-a22e-00155d82e902</v>
      </c>
      <c r="U2048" s="6"/>
      <c r="V2048" s="33" t="s">
        <v>35</v>
      </c>
    </row>
    <row r="2049" spans="2:22" ht="21" customHeight="1" outlineLevel="5" x14ac:dyDescent="0.2">
      <c r="B2049" s="69">
        <v>1495</v>
      </c>
      <c r="C2049" s="6" t="s">
        <v>6314</v>
      </c>
      <c r="D2049" s="6" t="s">
        <v>6315</v>
      </c>
      <c r="E2049" s="7" t="s">
        <v>6316</v>
      </c>
      <c r="F2049" s="13"/>
      <c r="G2049" s="14"/>
      <c r="H2049" s="15">
        <v>200</v>
      </c>
      <c r="I2049" s="14"/>
      <c r="J2049" s="15">
        <v>560</v>
      </c>
      <c r="K2049" s="5">
        <v>4</v>
      </c>
      <c r="L2049" s="16">
        <v>65.333333333333329</v>
      </c>
      <c r="M2049" s="12"/>
      <c r="N2049" s="14">
        <f t="shared" si="93"/>
        <v>0</v>
      </c>
      <c r="O2049" s="23">
        <f>0.082*M2049</f>
        <v>0</v>
      </c>
      <c r="P2049" s="24">
        <f>0.00167*M2049</f>
        <v>0</v>
      </c>
      <c r="Q2049" s="25"/>
      <c r="R2049" s="26" t="s">
        <v>6317</v>
      </c>
      <c r="S2049" s="26" t="s">
        <v>93</v>
      </c>
      <c r="T2049" s="6" t="str">
        <f>HYPERLINK("https://kanzpp.ru/api/getInfo/image/8ccfbf6a-1699-11ef-a25d-00155d82e908")</f>
        <v>https://kanzpp.ru/api/getInfo/image/8ccfbf6a-1699-11ef-a25d-00155d82e908</v>
      </c>
      <c r="U2049" s="6"/>
      <c r="V2049" s="33" t="s">
        <v>35</v>
      </c>
    </row>
    <row r="2050" spans="2:22" ht="22.95" customHeight="1" outlineLevel="4" x14ac:dyDescent="0.2">
      <c r="B2050" s="82" t="s">
        <v>6318</v>
      </c>
      <c r="C2050" s="82"/>
      <c r="D2050" s="82"/>
      <c r="L2050">
        <v>0</v>
      </c>
    </row>
    <row r="2051" spans="2:22" ht="21" customHeight="1" outlineLevel="5" x14ac:dyDescent="0.2">
      <c r="B2051" s="71">
        <v>1496</v>
      </c>
      <c r="C2051" s="37" t="s">
        <v>6319</v>
      </c>
      <c r="D2051" s="37" t="s">
        <v>6320</v>
      </c>
      <c r="E2051" s="38" t="s">
        <v>6321</v>
      </c>
      <c r="F2051" s="39"/>
      <c r="G2051" s="40"/>
      <c r="H2051" s="41">
        <v>100</v>
      </c>
      <c r="I2051" s="40"/>
      <c r="J2051" s="41">
        <v>2</v>
      </c>
      <c r="K2051" s="36">
        <v>2</v>
      </c>
      <c r="L2051" s="42">
        <f>(178.33*(1-O3/100))/0.75</f>
        <v>237.77333333333334</v>
      </c>
      <c r="M2051" s="12"/>
      <c r="N2051" s="40">
        <f>L2051*M2051</f>
        <v>0</v>
      </c>
      <c r="O2051" s="43">
        <f>0.096*M2051</f>
        <v>0</v>
      </c>
      <c r="P2051" s="47">
        <f>0.00145*M2051</f>
        <v>0</v>
      </c>
      <c r="Q2051" s="44"/>
      <c r="R2051" s="45" t="s">
        <v>6322</v>
      </c>
      <c r="S2051" s="45" t="s">
        <v>93</v>
      </c>
      <c r="T2051" s="37" t="str">
        <f>HYPERLINK("https://kanzpp.ru/api/getInfo/image/b2a9671b-591e-11ee-a245-00155d82e902")</f>
        <v>https://kanzpp.ru/api/getInfo/image/b2a9671b-591e-11ee-a245-00155d82e902</v>
      </c>
      <c r="U2051" s="37"/>
    </row>
    <row r="2052" spans="2:22" ht="21" customHeight="1" outlineLevel="5" x14ac:dyDescent="0.2">
      <c r="B2052" s="71">
        <v>1497</v>
      </c>
      <c r="C2052" s="37" t="s">
        <v>6323</v>
      </c>
      <c r="D2052" s="37" t="s">
        <v>6324</v>
      </c>
      <c r="E2052" s="38" t="s">
        <v>6325</v>
      </c>
      <c r="F2052" s="39"/>
      <c r="G2052" s="40"/>
      <c r="H2052" s="41">
        <v>100</v>
      </c>
      <c r="I2052" s="40"/>
      <c r="J2052" s="41">
        <v>34</v>
      </c>
      <c r="K2052" s="36">
        <v>4</v>
      </c>
      <c r="L2052" s="42">
        <f>(178.33*(1-O3/100))/0.75</f>
        <v>237.77333333333334</v>
      </c>
      <c r="M2052" s="12"/>
      <c r="N2052" s="40">
        <f>L2052*M2052</f>
        <v>0</v>
      </c>
      <c r="O2052" s="43">
        <f>0.096*M2052</f>
        <v>0</v>
      </c>
      <c r="P2052" s="47">
        <f>0.00145*M2052</f>
        <v>0</v>
      </c>
      <c r="Q2052" s="44"/>
      <c r="R2052" s="45" t="s">
        <v>6326</v>
      </c>
      <c r="S2052" s="45" t="s">
        <v>93</v>
      </c>
      <c r="T2052" s="37" t="str">
        <f>HYPERLINK("https://kanzpp.ru/api/getInfo/image/e5e13d5b-591f-11ee-a245-00155d82e902")</f>
        <v>https://kanzpp.ru/api/getInfo/image/e5e13d5b-591f-11ee-a245-00155d82e902</v>
      </c>
      <c r="U2052" s="37"/>
    </row>
    <row r="2053" spans="2:22" ht="21" customHeight="1" outlineLevel="5" x14ac:dyDescent="0.2">
      <c r="B2053" s="71">
        <v>1498</v>
      </c>
      <c r="C2053" s="37" t="s">
        <v>6327</v>
      </c>
      <c r="D2053" s="37" t="s">
        <v>6328</v>
      </c>
      <c r="E2053" s="38" t="s">
        <v>6329</v>
      </c>
      <c r="F2053" s="39"/>
      <c r="G2053" s="40"/>
      <c r="H2053" s="41">
        <v>100</v>
      </c>
      <c r="I2053" s="40"/>
      <c r="J2053" s="41">
        <v>1</v>
      </c>
      <c r="K2053" s="36">
        <v>1</v>
      </c>
      <c r="L2053" s="42">
        <f>(178.33*(1-O3/100))/0.75</f>
        <v>237.77333333333334</v>
      </c>
      <c r="M2053" s="12"/>
      <c r="N2053" s="40">
        <f>L2053*M2053</f>
        <v>0</v>
      </c>
      <c r="O2053" s="43">
        <f>0.096*M2053</f>
        <v>0</v>
      </c>
      <c r="P2053" s="47">
        <f>0.00145*M2053</f>
        <v>0</v>
      </c>
      <c r="Q2053" s="44"/>
      <c r="R2053" s="45" t="s">
        <v>6330</v>
      </c>
      <c r="S2053" s="45" t="s">
        <v>93</v>
      </c>
      <c r="T2053" s="37" t="str">
        <f>HYPERLINK("https://kanzpp.ru/api/getInfo/image/4fc962d2-591f-11ee-a245-00155d82e902")</f>
        <v>https://kanzpp.ru/api/getInfo/image/4fc962d2-591f-11ee-a245-00155d82e902</v>
      </c>
      <c r="U2053" s="37"/>
    </row>
    <row r="2054" spans="2:22" ht="22.95" customHeight="1" outlineLevel="3" x14ac:dyDescent="0.2">
      <c r="B2054" s="81" t="s">
        <v>6331</v>
      </c>
      <c r="C2054" s="81"/>
      <c r="D2054" s="81"/>
      <c r="L2054">
        <v>0</v>
      </c>
    </row>
    <row r="2055" spans="2:22" ht="22.95" customHeight="1" outlineLevel="4" x14ac:dyDescent="0.2">
      <c r="B2055" s="82" t="s">
        <v>6332</v>
      </c>
      <c r="C2055" s="82"/>
      <c r="D2055" s="82"/>
      <c r="L2055">
        <v>0</v>
      </c>
    </row>
    <row r="2056" spans="2:22" ht="21" customHeight="1" outlineLevel="5" x14ac:dyDescent="0.2">
      <c r="B2056" s="69">
        <v>1499</v>
      </c>
      <c r="C2056" s="6" t="s">
        <v>6333</v>
      </c>
      <c r="D2056" s="6" t="s">
        <v>6334</v>
      </c>
      <c r="E2056" s="7" t="s">
        <v>6335</v>
      </c>
      <c r="F2056" s="13"/>
      <c r="G2056" s="14"/>
      <c r="H2056" s="15">
        <v>50</v>
      </c>
      <c r="I2056" s="14"/>
      <c r="J2056" s="15">
        <v>352</v>
      </c>
      <c r="K2056" s="5">
        <v>4</v>
      </c>
      <c r="L2056" s="16">
        <v>78.666666666666671</v>
      </c>
      <c r="M2056" s="12"/>
      <c r="N2056" s="14">
        <f>L2056*M2056</f>
        <v>0</v>
      </c>
      <c r="O2056" s="23">
        <f>0.053*M2056</f>
        <v>0</v>
      </c>
      <c r="P2056" s="24">
        <f>0.00198*M2056</f>
        <v>0</v>
      </c>
      <c r="Q2056" s="25"/>
      <c r="R2056" s="26" t="s">
        <v>6336</v>
      </c>
      <c r="S2056" s="26" t="s">
        <v>93</v>
      </c>
      <c r="T2056" s="6" t="str">
        <f>HYPERLINK("https://kanzpp.ru/api/getInfo/image/f1f1dbf6-d4f4-11eb-a209-ac1f6b442185")</f>
        <v>https://kanzpp.ru/api/getInfo/image/f1f1dbf6-d4f4-11eb-a209-ac1f6b442185</v>
      </c>
      <c r="U2056" s="6"/>
      <c r="V2056" s="33" t="s">
        <v>35</v>
      </c>
    </row>
    <row r="2057" spans="2:22" ht="21" customHeight="1" outlineLevel="5" x14ac:dyDescent="0.2">
      <c r="B2057" s="69">
        <v>1500</v>
      </c>
      <c r="C2057" s="6" t="s">
        <v>6337</v>
      </c>
      <c r="D2057" s="6" t="s">
        <v>6338</v>
      </c>
      <c r="E2057" s="7" t="s">
        <v>6339</v>
      </c>
      <c r="F2057" s="13"/>
      <c r="G2057" s="14"/>
      <c r="H2057" s="15">
        <v>50</v>
      </c>
      <c r="I2057" s="14"/>
      <c r="J2057" s="15">
        <v>385</v>
      </c>
      <c r="K2057" s="5">
        <v>4</v>
      </c>
      <c r="L2057" s="16">
        <v>78.666666666666671</v>
      </c>
      <c r="M2057" s="12"/>
      <c r="N2057" s="14">
        <f>L2057*M2057</f>
        <v>0</v>
      </c>
      <c r="O2057" s="23">
        <f>0.053*M2057</f>
        <v>0</v>
      </c>
      <c r="P2057" s="24">
        <f>0.00198*M2057</f>
        <v>0</v>
      </c>
      <c r="Q2057" s="25"/>
      <c r="R2057" s="26" t="s">
        <v>6340</v>
      </c>
      <c r="S2057" s="26" t="s">
        <v>93</v>
      </c>
      <c r="T2057" s="6" t="str">
        <f>HYPERLINK("https://kanzpp.ru/api/getInfo/image/ed442a0b-d4f5-11eb-a209-ac1f6b442185")</f>
        <v>https://kanzpp.ru/api/getInfo/image/ed442a0b-d4f5-11eb-a209-ac1f6b442185</v>
      </c>
      <c r="U2057" s="6"/>
      <c r="V2057" s="33" t="s">
        <v>35</v>
      </c>
    </row>
    <row r="2058" spans="2:22" ht="22.95" customHeight="1" outlineLevel="4" x14ac:dyDescent="0.2">
      <c r="B2058" s="82" t="s">
        <v>6341</v>
      </c>
      <c r="C2058" s="82"/>
      <c r="D2058" s="82"/>
      <c r="L2058">
        <v>0</v>
      </c>
    </row>
    <row r="2059" spans="2:22" ht="21" customHeight="1" outlineLevel="5" x14ac:dyDescent="0.2">
      <c r="B2059" s="69">
        <v>1501</v>
      </c>
      <c r="C2059" s="6" t="s">
        <v>6342</v>
      </c>
      <c r="D2059" s="6" t="s">
        <v>6343</v>
      </c>
      <c r="E2059" s="7" t="s">
        <v>6344</v>
      </c>
      <c r="F2059" s="13"/>
      <c r="G2059" s="14"/>
      <c r="H2059" s="15">
        <v>200</v>
      </c>
      <c r="I2059" s="14"/>
      <c r="J2059" s="14" t="s">
        <v>144</v>
      </c>
      <c r="K2059" s="5">
        <v>4</v>
      </c>
      <c r="L2059" s="16">
        <v>52</v>
      </c>
      <c r="M2059" s="12"/>
      <c r="N2059" s="14">
        <f>L2059*M2059</f>
        <v>0</v>
      </c>
      <c r="O2059" s="28">
        <f>0.09*M2059</f>
        <v>0</v>
      </c>
      <c r="P2059" s="24">
        <f>0.00247*M2059</f>
        <v>0</v>
      </c>
      <c r="Q2059" s="25"/>
      <c r="R2059" s="26" t="s">
        <v>6345</v>
      </c>
      <c r="S2059" s="26" t="s">
        <v>93</v>
      </c>
      <c r="T2059" s="6" t="str">
        <f>HYPERLINK("https://kanzpp.ru/api/getInfo/image/0cd138f2-98c2-11ed-a22e-00155d82e902")</f>
        <v>https://kanzpp.ru/api/getInfo/image/0cd138f2-98c2-11ed-a22e-00155d82e902</v>
      </c>
      <c r="U2059" s="6"/>
      <c r="V2059" s="33" t="s">
        <v>35</v>
      </c>
    </row>
    <row r="2060" spans="2:22" ht="21" customHeight="1" outlineLevel="5" x14ac:dyDescent="0.2">
      <c r="B2060" s="69">
        <v>1502</v>
      </c>
      <c r="C2060" s="6" t="s">
        <v>6346</v>
      </c>
      <c r="D2060" s="6" t="s">
        <v>6347</v>
      </c>
      <c r="E2060" s="7" t="s">
        <v>6348</v>
      </c>
      <c r="F2060" s="13"/>
      <c r="G2060" s="14"/>
      <c r="H2060" s="15">
        <v>200</v>
      </c>
      <c r="I2060" s="14"/>
      <c r="J2060" s="14" t="s">
        <v>144</v>
      </c>
      <c r="K2060" s="5">
        <v>4</v>
      </c>
      <c r="L2060" s="16">
        <v>52</v>
      </c>
      <c r="M2060" s="12"/>
      <c r="N2060" s="14">
        <f>L2060*M2060</f>
        <v>0</v>
      </c>
      <c r="O2060" s="28">
        <f>0.09*M2060</f>
        <v>0</v>
      </c>
      <c r="P2060" s="24">
        <f>0.00286*M2060</f>
        <v>0</v>
      </c>
      <c r="Q2060" s="25"/>
      <c r="R2060" s="26" t="s">
        <v>6349</v>
      </c>
      <c r="S2060" s="26" t="s">
        <v>93</v>
      </c>
      <c r="T2060" s="6" t="str">
        <f>HYPERLINK("https://kanzpp.ru/api/getInfo/image/b5c03c42-98c2-11ed-a22e-00155d82e902")</f>
        <v>https://kanzpp.ru/api/getInfo/image/b5c03c42-98c2-11ed-a22e-00155d82e902</v>
      </c>
      <c r="U2060" s="6"/>
      <c r="V2060" s="33" t="s">
        <v>35</v>
      </c>
    </row>
    <row r="2061" spans="2:22" ht="21" customHeight="1" outlineLevel="5" x14ac:dyDescent="0.2">
      <c r="B2061" s="69">
        <v>1503</v>
      </c>
      <c r="C2061" s="6" t="s">
        <v>6350</v>
      </c>
      <c r="D2061" s="6" t="s">
        <v>6351</v>
      </c>
      <c r="E2061" s="7" t="s">
        <v>6352</v>
      </c>
      <c r="F2061" s="13"/>
      <c r="G2061" s="14"/>
      <c r="H2061" s="15">
        <v>200</v>
      </c>
      <c r="I2061" s="14"/>
      <c r="J2061" s="14" t="s">
        <v>144</v>
      </c>
      <c r="K2061" s="5">
        <v>4</v>
      </c>
      <c r="L2061" s="16">
        <v>52</v>
      </c>
      <c r="M2061" s="12"/>
      <c r="N2061" s="14">
        <f>L2061*M2061</f>
        <v>0</v>
      </c>
      <c r="O2061" s="23">
        <f>0.092*M2061</f>
        <v>0</v>
      </c>
      <c r="P2061" s="24">
        <f>0.00056*M2061</f>
        <v>0</v>
      </c>
      <c r="Q2061" s="25"/>
      <c r="R2061" s="26" t="s">
        <v>6353</v>
      </c>
      <c r="S2061" s="26" t="s">
        <v>93</v>
      </c>
      <c r="T2061" s="6" t="str">
        <f>HYPERLINK("https://kanzpp.ru/api/getInfo/image/530086f4-98c2-11ed-a22e-00155d82e902")</f>
        <v>https://kanzpp.ru/api/getInfo/image/530086f4-98c2-11ed-a22e-00155d82e902</v>
      </c>
      <c r="U2061" s="6"/>
      <c r="V2061" s="33" t="s">
        <v>35</v>
      </c>
    </row>
    <row r="2062" spans="2:22" ht="21" customHeight="1" outlineLevel="5" x14ac:dyDescent="0.2">
      <c r="B2062" s="69">
        <v>1504</v>
      </c>
      <c r="C2062" s="6" t="s">
        <v>6354</v>
      </c>
      <c r="D2062" s="6" t="s">
        <v>6355</v>
      </c>
      <c r="E2062" s="7" t="s">
        <v>6356</v>
      </c>
      <c r="F2062" s="13"/>
      <c r="G2062" s="14"/>
      <c r="H2062" s="15">
        <v>200</v>
      </c>
      <c r="I2062" s="14"/>
      <c r="J2062" s="14" t="s">
        <v>144</v>
      </c>
      <c r="K2062" s="5">
        <v>4</v>
      </c>
      <c r="L2062" s="16">
        <v>52</v>
      </c>
      <c r="M2062" s="12"/>
      <c r="N2062" s="14">
        <f>L2062*M2062</f>
        <v>0</v>
      </c>
      <c r="O2062" s="23">
        <f>0.092*M2062</f>
        <v>0</v>
      </c>
      <c r="P2062" s="24">
        <f>0.00091*M2062</f>
        <v>0</v>
      </c>
      <c r="Q2062" s="25"/>
      <c r="R2062" s="26" t="s">
        <v>6357</v>
      </c>
      <c r="S2062" s="26" t="s">
        <v>93</v>
      </c>
      <c r="T2062" s="6" t="str">
        <f>HYPERLINK("https://kanzpp.ru/api/getInfo/image/77b70ca0-98c2-11ed-a22e-00155d82e902")</f>
        <v>https://kanzpp.ru/api/getInfo/image/77b70ca0-98c2-11ed-a22e-00155d82e902</v>
      </c>
      <c r="U2062" s="6"/>
      <c r="V2062" s="33" t="s">
        <v>35</v>
      </c>
    </row>
    <row r="2063" spans="2:22" ht="22.95" customHeight="1" outlineLevel="4" x14ac:dyDescent="0.2">
      <c r="B2063" s="82" t="s">
        <v>6358</v>
      </c>
      <c r="C2063" s="82"/>
      <c r="D2063" s="82"/>
      <c r="L2063">
        <v>0</v>
      </c>
    </row>
    <row r="2064" spans="2:22" ht="21" customHeight="1" outlineLevel="5" x14ac:dyDescent="0.2">
      <c r="B2064" s="69">
        <v>1505</v>
      </c>
      <c r="C2064" s="6" t="s">
        <v>6359</v>
      </c>
      <c r="D2064" s="6" t="s">
        <v>6360</v>
      </c>
      <c r="E2064" s="7" t="s">
        <v>6361</v>
      </c>
      <c r="F2064" s="13"/>
      <c r="G2064" s="14"/>
      <c r="H2064" s="15">
        <v>100</v>
      </c>
      <c r="I2064" s="14"/>
      <c r="J2064" s="14" t="s">
        <v>144</v>
      </c>
      <c r="K2064" s="5">
        <v>4</v>
      </c>
      <c r="L2064" s="16">
        <v>92</v>
      </c>
      <c r="M2064" s="12"/>
      <c r="N2064" s="14">
        <f>L2064*M2064</f>
        <v>0</v>
      </c>
      <c r="O2064" s="23">
        <f>0.095*M2064</f>
        <v>0</v>
      </c>
      <c r="P2064" s="24">
        <f>0.00115*M2064</f>
        <v>0</v>
      </c>
      <c r="Q2064" s="25"/>
      <c r="R2064" s="26" t="s">
        <v>6362</v>
      </c>
      <c r="S2064" s="26" t="s">
        <v>93</v>
      </c>
      <c r="T2064" s="6" t="str">
        <f>HYPERLINK("https://kanzpp.ru/api/getInfo/image/ba12d5c0-b8c8-11ed-a230-00155d82e902")</f>
        <v>https://kanzpp.ru/api/getInfo/image/ba12d5c0-b8c8-11ed-a230-00155d82e902</v>
      </c>
      <c r="U2064" s="6"/>
      <c r="V2064" s="33" t="s">
        <v>35</v>
      </c>
    </row>
    <row r="2065" spans="2:22" ht="21" customHeight="1" outlineLevel="5" x14ac:dyDescent="0.2">
      <c r="B2065" s="69">
        <v>1506</v>
      </c>
      <c r="C2065" s="6" t="s">
        <v>6363</v>
      </c>
      <c r="D2065" s="6" t="s">
        <v>6364</v>
      </c>
      <c r="E2065" s="7" t="s">
        <v>6365</v>
      </c>
      <c r="F2065" s="13"/>
      <c r="G2065" s="14"/>
      <c r="H2065" s="15">
        <v>100</v>
      </c>
      <c r="I2065" s="14"/>
      <c r="J2065" s="15">
        <v>474</v>
      </c>
      <c r="K2065" s="5">
        <v>4</v>
      </c>
      <c r="L2065" s="16">
        <v>92</v>
      </c>
      <c r="M2065" s="12"/>
      <c r="N2065" s="14">
        <f>L2065*M2065</f>
        <v>0</v>
      </c>
      <c r="O2065" s="23">
        <f>0.096*M2065</f>
        <v>0</v>
      </c>
      <c r="P2065" s="24">
        <f>0.00145*M2065</f>
        <v>0</v>
      </c>
      <c r="Q2065" s="25"/>
      <c r="R2065" s="26" t="s">
        <v>6366</v>
      </c>
      <c r="S2065" s="26" t="s">
        <v>93</v>
      </c>
      <c r="T2065" s="6" t="str">
        <f>HYPERLINK("https://kanzpp.ru/api/getInfo/image/214eca87-b8c8-11ed-a230-00155d82e902")</f>
        <v>https://kanzpp.ru/api/getInfo/image/214eca87-b8c8-11ed-a230-00155d82e902</v>
      </c>
      <c r="U2065" s="6"/>
      <c r="V2065" s="33" t="s">
        <v>35</v>
      </c>
    </row>
    <row r="2066" spans="2:22" ht="21" customHeight="1" outlineLevel="5" x14ac:dyDescent="0.2">
      <c r="B2066" s="69">
        <v>1507</v>
      </c>
      <c r="C2066" s="6" t="s">
        <v>6367</v>
      </c>
      <c r="D2066" s="6" t="s">
        <v>6368</v>
      </c>
      <c r="E2066" s="7" t="s">
        <v>6369</v>
      </c>
      <c r="F2066" s="13"/>
      <c r="G2066" s="14"/>
      <c r="H2066" s="15">
        <v>100</v>
      </c>
      <c r="I2066" s="14"/>
      <c r="J2066" s="15">
        <v>191</v>
      </c>
      <c r="K2066" s="5">
        <v>4</v>
      </c>
      <c r="L2066" s="16">
        <v>92</v>
      </c>
      <c r="M2066" s="12"/>
      <c r="N2066" s="14">
        <f>L2066*M2066</f>
        <v>0</v>
      </c>
      <c r="O2066" s="23">
        <f>0.096*M2066</f>
        <v>0</v>
      </c>
      <c r="P2066" s="24">
        <f>0.00145*M2066</f>
        <v>0</v>
      </c>
      <c r="Q2066" s="25"/>
      <c r="R2066" s="26" t="s">
        <v>6370</v>
      </c>
      <c r="S2066" s="26" t="s">
        <v>93</v>
      </c>
      <c r="T2066" s="6" t="str">
        <f>HYPERLINK("https://kanzpp.ru/api/getInfo/image/da2f8fcf-b8c8-11ed-a230-00155d82e902")</f>
        <v>https://kanzpp.ru/api/getInfo/image/da2f8fcf-b8c8-11ed-a230-00155d82e902</v>
      </c>
      <c r="U2066" s="6"/>
      <c r="V2066" s="33" t="s">
        <v>35</v>
      </c>
    </row>
    <row r="2067" spans="2:22" ht="21" customHeight="1" outlineLevel="5" x14ac:dyDescent="0.2">
      <c r="B2067" s="69">
        <v>1508</v>
      </c>
      <c r="C2067" s="6" t="s">
        <v>6371</v>
      </c>
      <c r="D2067" s="6" t="s">
        <v>6372</v>
      </c>
      <c r="E2067" s="7" t="s">
        <v>6373</v>
      </c>
      <c r="F2067" s="13"/>
      <c r="G2067" s="14"/>
      <c r="H2067" s="15">
        <v>100</v>
      </c>
      <c r="I2067" s="14"/>
      <c r="J2067" s="15">
        <v>516</v>
      </c>
      <c r="K2067" s="5">
        <v>4</v>
      </c>
      <c r="L2067" s="16">
        <v>92</v>
      </c>
      <c r="M2067" s="12"/>
      <c r="N2067" s="14">
        <f>L2067*M2067</f>
        <v>0</v>
      </c>
      <c r="O2067" s="23">
        <f>0.096*M2067</f>
        <v>0</v>
      </c>
      <c r="P2067" s="24">
        <f>0.00145*M2067</f>
        <v>0</v>
      </c>
      <c r="Q2067" s="25"/>
      <c r="R2067" s="26" t="s">
        <v>6374</v>
      </c>
      <c r="S2067" s="26" t="s">
        <v>93</v>
      </c>
      <c r="T2067" s="6" t="str">
        <f>HYPERLINK("https://kanzpp.ru/api/getInfo/image/4f8793bc-b8c8-11ed-a230-00155d82e902")</f>
        <v>https://kanzpp.ru/api/getInfo/image/4f8793bc-b8c8-11ed-a230-00155d82e902</v>
      </c>
      <c r="U2067" s="6"/>
      <c r="V2067" s="33" t="s">
        <v>35</v>
      </c>
    </row>
    <row r="2068" spans="2:22" ht="21" customHeight="1" outlineLevel="5" x14ac:dyDescent="0.2">
      <c r="B2068" s="69">
        <v>1509</v>
      </c>
      <c r="C2068" s="6" t="s">
        <v>6375</v>
      </c>
      <c r="D2068" s="6" t="s">
        <v>6376</v>
      </c>
      <c r="E2068" s="7" t="s">
        <v>6377</v>
      </c>
      <c r="F2068" s="13"/>
      <c r="G2068" s="14"/>
      <c r="H2068" s="15">
        <v>100</v>
      </c>
      <c r="I2068" s="14"/>
      <c r="J2068" s="15">
        <v>5</v>
      </c>
      <c r="K2068" s="5">
        <v>4</v>
      </c>
      <c r="L2068" s="16">
        <v>92</v>
      </c>
      <c r="M2068" s="12"/>
      <c r="N2068" s="14">
        <f>L2068*M2068</f>
        <v>0</v>
      </c>
      <c r="O2068" s="23">
        <f>0.096*M2068</f>
        <v>0</v>
      </c>
      <c r="P2068" s="24">
        <f>0.00145*M2068</f>
        <v>0</v>
      </c>
      <c r="Q2068" s="25"/>
      <c r="R2068" s="26" t="s">
        <v>6378</v>
      </c>
      <c r="S2068" s="26" t="s">
        <v>93</v>
      </c>
      <c r="T2068" s="6" t="str">
        <f>HYPERLINK("https://kanzpp.ru/api/getInfo/image/dac622ee-b8c6-11ed-a230-00155d82e902")</f>
        <v>https://kanzpp.ru/api/getInfo/image/dac622ee-b8c6-11ed-a230-00155d82e902</v>
      </c>
      <c r="U2068" s="6"/>
      <c r="V2068" s="33" t="s">
        <v>35</v>
      </c>
    </row>
    <row r="2069" spans="2:22" ht="22.95" customHeight="1" outlineLevel="3" x14ac:dyDescent="0.2">
      <c r="B2069" s="81" t="s">
        <v>6379</v>
      </c>
      <c r="C2069" s="81"/>
      <c r="D2069" s="81"/>
      <c r="L2069">
        <v>0</v>
      </c>
    </row>
    <row r="2070" spans="2:22" ht="22.95" customHeight="1" outlineLevel="4" x14ac:dyDescent="0.2">
      <c r="B2070" s="82" t="s">
        <v>6380</v>
      </c>
      <c r="C2070" s="82"/>
      <c r="D2070" s="82"/>
      <c r="L2070">
        <v>0</v>
      </c>
    </row>
    <row r="2071" spans="2:22" ht="21" customHeight="1" outlineLevel="5" x14ac:dyDescent="0.2">
      <c r="B2071" s="69">
        <v>1510</v>
      </c>
      <c r="C2071" s="6" t="s">
        <v>6381</v>
      </c>
      <c r="D2071" s="6" t="s">
        <v>6382</v>
      </c>
      <c r="E2071" s="7" t="s">
        <v>6383</v>
      </c>
      <c r="F2071" s="13"/>
      <c r="G2071" s="14"/>
      <c r="H2071" s="15">
        <v>50</v>
      </c>
      <c r="I2071" s="14"/>
      <c r="J2071" s="14" t="s">
        <v>144</v>
      </c>
      <c r="K2071" s="5">
        <v>3</v>
      </c>
      <c r="L2071" s="16">
        <v>92</v>
      </c>
      <c r="M2071" s="12"/>
      <c r="N2071" s="14">
        <f>L2071*M2071</f>
        <v>0</v>
      </c>
      <c r="O2071" s="23">
        <f>0.053*M2071</f>
        <v>0</v>
      </c>
      <c r="P2071" s="24">
        <f>0.00038*M2071</f>
        <v>0</v>
      </c>
      <c r="Q2071" s="25"/>
      <c r="R2071" s="26" t="s">
        <v>6384</v>
      </c>
      <c r="S2071" s="26" t="s">
        <v>93</v>
      </c>
      <c r="T2071" s="6" t="str">
        <f>HYPERLINK("https://kanzpp.ru/api/getInfo/image/afcb8c7d-3357-11ed-a216-ac1f6b442185")</f>
        <v>https://kanzpp.ru/api/getInfo/image/afcb8c7d-3357-11ed-a216-ac1f6b442185</v>
      </c>
      <c r="U2071" s="6"/>
      <c r="V2071" s="33" t="s">
        <v>35</v>
      </c>
    </row>
    <row r="2072" spans="2:22" ht="21" customHeight="1" outlineLevel="5" x14ac:dyDescent="0.2">
      <c r="B2072" s="69">
        <v>1511</v>
      </c>
      <c r="C2072" s="6" t="s">
        <v>6385</v>
      </c>
      <c r="D2072" s="6" t="s">
        <v>6386</v>
      </c>
      <c r="E2072" s="7" t="s">
        <v>6387</v>
      </c>
      <c r="F2072" s="13"/>
      <c r="G2072" s="14"/>
      <c r="H2072" s="15">
        <v>50</v>
      </c>
      <c r="I2072" s="14"/>
      <c r="J2072" s="15">
        <v>464</v>
      </c>
      <c r="K2072" s="5">
        <v>3</v>
      </c>
      <c r="L2072" s="16">
        <v>92</v>
      </c>
      <c r="M2072" s="12"/>
      <c r="N2072" s="14">
        <f>L2072*M2072</f>
        <v>0</v>
      </c>
      <c r="O2072" s="23">
        <f>0.053*M2072</f>
        <v>0</v>
      </c>
      <c r="P2072" s="24">
        <f>0.00038*M2072</f>
        <v>0</v>
      </c>
      <c r="Q2072" s="25"/>
      <c r="R2072" s="26" t="s">
        <v>6388</v>
      </c>
      <c r="S2072" s="26" t="s">
        <v>93</v>
      </c>
      <c r="T2072" s="6" t="str">
        <f>HYPERLINK("https://kanzpp.ru/api/getInfo/image/883a680b-3356-11ed-a216-ac1f6b442185")</f>
        <v>https://kanzpp.ru/api/getInfo/image/883a680b-3356-11ed-a216-ac1f6b442185</v>
      </c>
      <c r="U2072" s="6"/>
      <c r="V2072" s="33" t="s">
        <v>35</v>
      </c>
    </row>
    <row r="2073" spans="2:22" ht="21" customHeight="1" outlineLevel="5" x14ac:dyDescent="0.2">
      <c r="B2073" s="69">
        <v>1512</v>
      </c>
      <c r="C2073" s="6" t="s">
        <v>6389</v>
      </c>
      <c r="D2073" s="6" t="s">
        <v>6390</v>
      </c>
      <c r="E2073" s="7" t="s">
        <v>6391</v>
      </c>
      <c r="F2073" s="13"/>
      <c r="G2073" s="14"/>
      <c r="H2073" s="15">
        <v>50</v>
      </c>
      <c r="I2073" s="14"/>
      <c r="J2073" s="14" t="s">
        <v>144</v>
      </c>
      <c r="K2073" s="5">
        <v>3</v>
      </c>
      <c r="L2073" s="16">
        <v>92</v>
      </c>
      <c r="M2073" s="12"/>
      <c r="N2073" s="14">
        <f>L2073*M2073</f>
        <v>0</v>
      </c>
      <c r="O2073" s="23">
        <f>0.053*M2073</f>
        <v>0</v>
      </c>
      <c r="P2073" s="24">
        <f>0.00038*M2073</f>
        <v>0</v>
      </c>
      <c r="Q2073" s="25"/>
      <c r="R2073" s="26" t="s">
        <v>6392</v>
      </c>
      <c r="S2073" s="26" t="s">
        <v>93</v>
      </c>
      <c r="T2073" s="6" t="str">
        <f>HYPERLINK("https://kanzpp.ru/api/getInfo/image/5579cd4e-3356-11ed-a216-ac1f6b442185")</f>
        <v>https://kanzpp.ru/api/getInfo/image/5579cd4e-3356-11ed-a216-ac1f6b442185</v>
      </c>
      <c r="U2073" s="6"/>
      <c r="V2073" s="33" t="s">
        <v>35</v>
      </c>
    </row>
    <row r="2074" spans="2:22" ht="21" customHeight="1" outlineLevel="5" x14ac:dyDescent="0.2">
      <c r="B2074" s="69">
        <v>1513</v>
      </c>
      <c r="C2074" s="6" t="s">
        <v>6393</v>
      </c>
      <c r="D2074" s="6" t="s">
        <v>6394</v>
      </c>
      <c r="E2074" s="7" t="s">
        <v>6395</v>
      </c>
      <c r="F2074" s="13"/>
      <c r="G2074" s="14"/>
      <c r="H2074" s="15">
        <v>50</v>
      </c>
      <c r="I2074" s="14"/>
      <c r="J2074" s="15">
        <v>543</v>
      </c>
      <c r="K2074" s="5">
        <v>3</v>
      </c>
      <c r="L2074" s="16">
        <v>92</v>
      </c>
      <c r="M2074" s="12"/>
      <c r="N2074" s="14">
        <f>L2074*M2074</f>
        <v>0</v>
      </c>
      <c r="O2074" s="28">
        <f>0.06*M2074</f>
        <v>0</v>
      </c>
      <c r="P2074" s="24">
        <f>0.00137*M2074</f>
        <v>0</v>
      </c>
      <c r="Q2074" s="25"/>
      <c r="R2074" s="26" t="s">
        <v>6396</v>
      </c>
      <c r="S2074" s="26" t="s">
        <v>93</v>
      </c>
      <c r="T2074" s="6" t="str">
        <f>HYPERLINK("https://kanzpp.ru/api/getInfo/image/40e864c4-e529-11ee-a25a-00155d82e908")</f>
        <v>https://kanzpp.ru/api/getInfo/image/40e864c4-e529-11ee-a25a-00155d82e908</v>
      </c>
      <c r="U2074" s="6"/>
      <c r="V2074" s="33" t="s">
        <v>35</v>
      </c>
    </row>
    <row r="2075" spans="2:22" ht="21" customHeight="1" outlineLevel="5" x14ac:dyDescent="0.2">
      <c r="B2075" s="69">
        <v>1514</v>
      </c>
      <c r="C2075" s="6" t="s">
        <v>6397</v>
      </c>
      <c r="D2075" s="6" t="s">
        <v>6398</v>
      </c>
      <c r="E2075" s="7" t="s">
        <v>6399</v>
      </c>
      <c r="F2075" s="13"/>
      <c r="G2075" s="14"/>
      <c r="H2075" s="15">
        <v>50</v>
      </c>
      <c r="I2075" s="14"/>
      <c r="J2075" s="15">
        <v>330</v>
      </c>
      <c r="K2075" s="5">
        <v>3</v>
      </c>
      <c r="L2075" s="16">
        <v>92</v>
      </c>
      <c r="M2075" s="12"/>
      <c r="N2075" s="14">
        <f>L2075*M2075</f>
        <v>0</v>
      </c>
      <c r="O2075" s="28">
        <f>0.06*M2075</f>
        <v>0</v>
      </c>
      <c r="P2075" s="24">
        <f>0.00096*M2075</f>
        <v>0</v>
      </c>
      <c r="Q2075" s="25"/>
      <c r="R2075" s="26" t="s">
        <v>6400</v>
      </c>
      <c r="S2075" s="26" t="s">
        <v>93</v>
      </c>
      <c r="T2075" s="6" t="str">
        <f>HYPERLINK("https://kanzpp.ru/api/getInfo/image/70eb23b3-e529-11ee-a25a-00155d82e908")</f>
        <v>https://kanzpp.ru/api/getInfo/image/70eb23b3-e529-11ee-a25a-00155d82e908</v>
      </c>
      <c r="U2075" s="6"/>
      <c r="V2075" s="33" t="s">
        <v>35</v>
      </c>
    </row>
    <row r="2076" spans="2:22" ht="22.95" customHeight="1" outlineLevel="4" x14ac:dyDescent="0.2">
      <c r="B2076" s="82" t="s">
        <v>6401</v>
      </c>
      <c r="C2076" s="82"/>
      <c r="D2076" s="82"/>
      <c r="L2076">
        <v>0</v>
      </c>
    </row>
    <row r="2077" spans="2:22" ht="21" customHeight="1" outlineLevel="5" x14ac:dyDescent="0.2">
      <c r="B2077" s="69">
        <v>1515</v>
      </c>
      <c r="C2077" s="6" t="s">
        <v>6402</v>
      </c>
      <c r="D2077" s="6" t="s">
        <v>6403</v>
      </c>
      <c r="E2077" s="7" t="s">
        <v>6404</v>
      </c>
      <c r="F2077" s="13"/>
      <c r="G2077" s="14"/>
      <c r="H2077" s="15">
        <v>200</v>
      </c>
      <c r="I2077" s="14"/>
      <c r="J2077" s="14" t="s">
        <v>144</v>
      </c>
      <c r="K2077" s="5">
        <v>4</v>
      </c>
      <c r="L2077" s="16">
        <v>78.666666666666671</v>
      </c>
      <c r="M2077" s="12"/>
      <c r="N2077" s="14">
        <f>L2077*M2077</f>
        <v>0</v>
      </c>
      <c r="O2077" s="23">
        <f>0.094*M2077</f>
        <v>0</v>
      </c>
      <c r="P2077" s="24">
        <f>0.00318*M2077</f>
        <v>0</v>
      </c>
      <c r="Q2077" s="25"/>
      <c r="R2077" s="26" t="s">
        <v>6405</v>
      </c>
      <c r="S2077" s="26" t="s">
        <v>93</v>
      </c>
      <c r="T2077" s="6" t="str">
        <f>HYPERLINK("https://kanzpp.ru/api/getInfo/image/5dea6b9e-98c6-11ed-a22e-00155d82e902")</f>
        <v>https://kanzpp.ru/api/getInfo/image/5dea6b9e-98c6-11ed-a22e-00155d82e902</v>
      </c>
      <c r="U2077" s="6"/>
      <c r="V2077" s="33" t="s">
        <v>35</v>
      </c>
    </row>
    <row r="2078" spans="2:22" ht="21" customHeight="1" outlineLevel="5" x14ac:dyDescent="0.2">
      <c r="B2078" s="69">
        <v>1516</v>
      </c>
      <c r="C2078" s="6" t="s">
        <v>6406</v>
      </c>
      <c r="D2078" s="6" t="s">
        <v>6407</v>
      </c>
      <c r="E2078" s="7" t="s">
        <v>6408</v>
      </c>
      <c r="F2078" s="13"/>
      <c r="G2078" s="14"/>
      <c r="H2078" s="15">
        <v>200</v>
      </c>
      <c r="I2078" s="14"/>
      <c r="J2078" s="14" t="s">
        <v>144</v>
      </c>
      <c r="K2078" s="5">
        <v>4</v>
      </c>
      <c r="L2078" s="16">
        <v>78.666666666666671</v>
      </c>
      <c r="M2078" s="12"/>
      <c r="N2078" s="14">
        <f>L2078*M2078</f>
        <v>0</v>
      </c>
      <c r="O2078" s="23">
        <f>0.091*M2078</f>
        <v>0</v>
      </c>
      <c r="P2078" s="24">
        <f>0.00172*M2078</f>
        <v>0</v>
      </c>
      <c r="Q2078" s="25"/>
      <c r="R2078" s="26" t="s">
        <v>6409</v>
      </c>
      <c r="S2078" s="26" t="s">
        <v>93</v>
      </c>
      <c r="T2078" s="6" t="str">
        <f>HYPERLINK("https://kanzpp.ru/api/getInfo/image/01f5f562-98c5-11ed-a22e-00155d82e902")</f>
        <v>https://kanzpp.ru/api/getInfo/image/01f5f562-98c5-11ed-a22e-00155d82e902</v>
      </c>
      <c r="U2078" s="6"/>
      <c r="V2078" s="33" t="s">
        <v>35</v>
      </c>
    </row>
    <row r="2079" spans="2:22" ht="21" customHeight="1" outlineLevel="5" x14ac:dyDescent="0.2">
      <c r="B2079" s="69">
        <v>1517</v>
      </c>
      <c r="C2079" s="6" t="s">
        <v>6410</v>
      </c>
      <c r="D2079" s="6" t="s">
        <v>6411</v>
      </c>
      <c r="E2079" s="7" t="s">
        <v>6412</v>
      </c>
      <c r="F2079" s="13"/>
      <c r="G2079" s="14"/>
      <c r="H2079" s="15">
        <v>200</v>
      </c>
      <c r="I2079" s="14"/>
      <c r="J2079" s="14" t="s">
        <v>144</v>
      </c>
      <c r="K2079" s="5">
        <v>4</v>
      </c>
      <c r="L2079" s="16">
        <v>78.666666666666671</v>
      </c>
      <c r="M2079" s="12"/>
      <c r="N2079" s="14">
        <f>L2079*M2079</f>
        <v>0</v>
      </c>
      <c r="O2079" s="23">
        <f>0.094*M2079</f>
        <v>0</v>
      </c>
      <c r="P2079" s="31">
        <f>0.0002*M2079</f>
        <v>0</v>
      </c>
      <c r="Q2079" s="25"/>
      <c r="R2079" s="26" t="s">
        <v>6413</v>
      </c>
      <c r="S2079" s="26" t="s">
        <v>93</v>
      </c>
      <c r="T2079" s="6" t="str">
        <f>HYPERLINK("https://kanzpp.ru/api/getInfo/image/14f93c7d-98c6-11ed-a22e-00155d82e902")</f>
        <v>https://kanzpp.ru/api/getInfo/image/14f93c7d-98c6-11ed-a22e-00155d82e902</v>
      </c>
      <c r="U2079" s="6"/>
      <c r="V2079" s="33" t="s">
        <v>35</v>
      </c>
    </row>
    <row r="2080" spans="2:22" ht="21" customHeight="1" outlineLevel="5" x14ac:dyDescent="0.2">
      <c r="B2080" s="69">
        <v>1518</v>
      </c>
      <c r="C2080" s="6" t="s">
        <v>6414</v>
      </c>
      <c r="D2080" s="6" t="s">
        <v>6415</v>
      </c>
      <c r="E2080" s="7" t="s">
        <v>6416</v>
      </c>
      <c r="F2080" s="13"/>
      <c r="G2080" s="14"/>
      <c r="H2080" s="15">
        <v>200</v>
      </c>
      <c r="I2080" s="14"/>
      <c r="J2080" s="14" t="s">
        <v>144</v>
      </c>
      <c r="K2080" s="5">
        <v>4</v>
      </c>
      <c r="L2080" s="16">
        <v>78.666666666666671</v>
      </c>
      <c r="M2080" s="12"/>
      <c r="N2080" s="14">
        <f>L2080*M2080</f>
        <v>0</v>
      </c>
      <c r="O2080" s="23">
        <f>0.088*M2080</f>
        <v>0</v>
      </c>
      <c r="P2080" s="24">
        <f>0.00018*M2080</f>
        <v>0</v>
      </c>
      <c r="Q2080" s="25"/>
      <c r="R2080" s="26" t="s">
        <v>6417</v>
      </c>
      <c r="S2080" s="26" t="s">
        <v>93</v>
      </c>
      <c r="T2080" s="6" t="str">
        <f>HYPERLINK("https://kanzpp.ru/api/getInfo/image/85bc0af3-98c5-11ed-a22e-00155d82e902")</f>
        <v>https://kanzpp.ru/api/getInfo/image/85bc0af3-98c5-11ed-a22e-00155d82e902</v>
      </c>
      <c r="U2080" s="6"/>
      <c r="V2080" s="33" t="s">
        <v>35</v>
      </c>
    </row>
    <row r="2081" spans="2:22" ht="21" customHeight="1" outlineLevel="5" x14ac:dyDescent="0.2">
      <c r="B2081" s="69">
        <v>1519</v>
      </c>
      <c r="C2081" s="6" t="s">
        <v>6418</v>
      </c>
      <c r="D2081" s="6" t="s">
        <v>6419</v>
      </c>
      <c r="E2081" s="7" t="s">
        <v>6420</v>
      </c>
      <c r="F2081" s="13"/>
      <c r="G2081" s="14"/>
      <c r="H2081" s="15">
        <v>200</v>
      </c>
      <c r="I2081" s="14"/>
      <c r="J2081" s="14" t="s">
        <v>144</v>
      </c>
      <c r="K2081" s="5">
        <v>4</v>
      </c>
      <c r="L2081" s="16">
        <v>78.666666666666671</v>
      </c>
      <c r="M2081" s="12"/>
      <c r="N2081" s="14">
        <f>L2081*M2081</f>
        <v>0</v>
      </c>
      <c r="O2081" s="23">
        <f>0.092*M2081</f>
        <v>0</v>
      </c>
      <c r="P2081" s="24">
        <f>0.00283*M2081</f>
        <v>0</v>
      </c>
      <c r="Q2081" s="25"/>
      <c r="R2081" s="26" t="s">
        <v>6421</v>
      </c>
      <c r="S2081" s="26" t="s">
        <v>93</v>
      </c>
      <c r="T2081" s="6" t="str">
        <f>HYPERLINK("https://kanzpp.ru/api/getInfo/image/37a34ae5-98c6-11ed-a22e-00155d82e902")</f>
        <v>https://kanzpp.ru/api/getInfo/image/37a34ae5-98c6-11ed-a22e-00155d82e902</v>
      </c>
      <c r="U2081" s="6"/>
      <c r="V2081" s="33" t="s">
        <v>35</v>
      </c>
    </row>
    <row r="2082" spans="2:22" ht="22.95" customHeight="1" outlineLevel="4" x14ac:dyDescent="0.2">
      <c r="B2082" s="82" t="s">
        <v>6422</v>
      </c>
      <c r="C2082" s="82"/>
      <c r="D2082" s="82"/>
      <c r="L2082">
        <v>0</v>
      </c>
    </row>
    <row r="2083" spans="2:22" ht="21" customHeight="1" outlineLevel="5" x14ac:dyDescent="0.2">
      <c r="B2083" s="69">
        <v>1520</v>
      </c>
      <c r="C2083" s="6" t="s">
        <v>6423</v>
      </c>
      <c r="D2083" s="6" t="s">
        <v>6424</v>
      </c>
      <c r="E2083" s="7" t="s">
        <v>6425</v>
      </c>
      <c r="F2083" s="13"/>
      <c r="G2083" s="14"/>
      <c r="H2083" s="15">
        <v>200</v>
      </c>
      <c r="I2083" s="14"/>
      <c r="J2083" s="14" t="s">
        <v>144</v>
      </c>
      <c r="K2083" s="5">
        <v>3</v>
      </c>
      <c r="L2083" s="16">
        <v>132</v>
      </c>
      <c r="M2083" s="12"/>
      <c r="N2083" s="14">
        <f>L2083*M2083</f>
        <v>0</v>
      </c>
      <c r="O2083" s="23">
        <f>0.081*M2083</f>
        <v>0</v>
      </c>
      <c r="P2083" s="24">
        <f>0.00323*M2083</f>
        <v>0</v>
      </c>
      <c r="Q2083" s="25"/>
      <c r="R2083" s="26" t="s">
        <v>6426</v>
      </c>
      <c r="S2083" s="26" t="s">
        <v>93</v>
      </c>
      <c r="T2083" s="6" t="str">
        <f>HYPERLINK("https://kanzpp.ru/api/getInfo/image/f477ae44-98c7-11ed-a22e-00155d82e902")</f>
        <v>https://kanzpp.ru/api/getInfo/image/f477ae44-98c7-11ed-a22e-00155d82e902</v>
      </c>
      <c r="U2083" s="6"/>
      <c r="V2083" s="33" t="s">
        <v>35</v>
      </c>
    </row>
    <row r="2084" spans="2:22" ht="21" customHeight="1" outlineLevel="5" x14ac:dyDescent="0.2">
      <c r="B2084" s="69">
        <v>1521</v>
      </c>
      <c r="C2084" s="6" t="s">
        <v>6427</v>
      </c>
      <c r="D2084" s="6" t="s">
        <v>6428</v>
      </c>
      <c r="E2084" s="7" t="s">
        <v>6429</v>
      </c>
      <c r="F2084" s="13"/>
      <c r="G2084" s="14"/>
      <c r="H2084" s="15">
        <v>200</v>
      </c>
      <c r="I2084" s="14"/>
      <c r="J2084" s="14" t="s">
        <v>144</v>
      </c>
      <c r="K2084" s="5">
        <v>3</v>
      </c>
      <c r="L2084" s="16">
        <v>132</v>
      </c>
      <c r="M2084" s="12"/>
      <c r="N2084" s="14">
        <f>L2084*M2084</f>
        <v>0</v>
      </c>
      <c r="O2084" s="23">
        <f>0.077*M2084</f>
        <v>0</v>
      </c>
      <c r="P2084" s="31">
        <f>0.0006*M2084</f>
        <v>0</v>
      </c>
      <c r="Q2084" s="25"/>
      <c r="R2084" s="26" t="s">
        <v>6430</v>
      </c>
      <c r="S2084" s="26" t="s">
        <v>93</v>
      </c>
      <c r="T2084" s="6" t="str">
        <f>HYPERLINK("https://kanzpp.ru/api/getInfo/image/15ebbb02-98c8-11ed-a22e-00155d82e902")</f>
        <v>https://kanzpp.ru/api/getInfo/image/15ebbb02-98c8-11ed-a22e-00155d82e902</v>
      </c>
      <c r="U2084" s="6"/>
      <c r="V2084" s="33" t="s">
        <v>35</v>
      </c>
    </row>
    <row r="2085" spans="2:22" ht="21" customHeight="1" outlineLevel="5" x14ac:dyDescent="0.2">
      <c r="B2085" s="69">
        <v>1522</v>
      </c>
      <c r="C2085" s="6" t="s">
        <v>6431</v>
      </c>
      <c r="D2085" s="6" t="s">
        <v>6432</v>
      </c>
      <c r="E2085" s="7" t="s">
        <v>6433</v>
      </c>
      <c r="F2085" s="13"/>
      <c r="G2085" s="14"/>
      <c r="H2085" s="15">
        <v>200</v>
      </c>
      <c r="I2085" s="14"/>
      <c r="J2085" s="14" t="s">
        <v>144</v>
      </c>
      <c r="K2085" s="5">
        <v>3</v>
      </c>
      <c r="L2085" s="16">
        <v>132</v>
      </c>
      <c r="M2085" s="12"/>
      <c r="N2085" s="14">
        <f>L2085*M2085</f>
        <v>0</v>
      </c>
      <c r="O2085" s="23">
        <f>0.077*M2085</f>
        <v>0</v>
      </c>
      <c r="P2085" s="24">
        <f>0.00591*M2085</f>
        <v>0</v>
      </c>
      <c r="Q2085" s="25"/>
      <c r="R2085" s="26" t="s">
        <v>6434</v>
      </c>
      <c r="S2085" s="26" t="s">
        <v>93</v>
      </c>
      <c r="T2085" s="6" t="str">
        <f>HYPERLINK("https://kanzpp.ru/api/getInfo/image/d206e712-98c7-11ed-a22e-00155d82e902")</f>
        <v>https://kanzpp.ru/api/getInfo/image/d206e712-98c7-11ed-a22e-00155d82e902</v>
      </c>
      <c r="U2085" s="6"/>
      <c r="V2085" s="33" t="s">
        <v>35</v>
      </c>
    </row>
    <row r="2086" spans="2:22" ht="21" customHeight="1" outlineLevel="5" x14ac:dyDescent="0.2">
      <c r="B2086" s="69">
        <v>1523</v>
      </c>
      <c r="C2086" s="6" t="s">
        <v>6435</v>
      </c>
      <c r="D2086" s="6" t="s">
        <v>6436</v>
      </c>
      <c r="E2086" s="7" t="s">
        <v>6437</v>
      </c>
      <c r="F2086" s="13"/>
      <c r="G2086" s="14"/>
      <c r="H2086" s="15">
        <v>200</v>
      </c>
      <c r="I2086" s="14"/>
      <c r="J2086" s="14" t="s">
        <v>144</v>
      </c>
      <c r="K2086" s="5">
        <v>3</v>
      </c>
      <c r="L2086" s="16">
        <v>132</v>
      </c>
      <c r="M2086" s="12"/>
      <c r="N2086" s="14">
        <f>L2086*M2086</f>
        <v>0</v>
      </c>
      <c r="O2086" s="23">
        <f>0.075*M2086</f>
        <v>0</v>
      </c>
      <c r="P2086" s="24">
        <f>0.00138*M2086</f>
        <v>0</v>
      </c>
      <c r="Q2086" s="25"/>
      <c r="R2086" s="26" t="s">
        <v>6438</v>
      </c>
      <c r="S2086" s="26" t="s">
        <v>93</v>
      </c>
      <c r="T2086" s="6" t="str">
        <f>HYPERLINK("https://kanzpp.ru/api/getInfo/image/b480fc32-98c7-11ed-a22e-00155d82e902")</f>
        <v>https://kanzpp.ru/api/getInfo/image/b480fc32-98c7-11ed-a22e-00155d82e902</v>
      </c>
      <c r="U2086" s="6"/>
      <c r="V2086" s="33" t="s">
        <v>35</v>
      </c>
    </row>
    <row r="2087" spans="2:22" ht="21" customHeight="1" outlineLevel="5" x14ac:dyDescent="0.2">
      <c r="B2087" s="69">
        <v>1524</v>
      </c>
      <c r="C2087" s="6" t="s">
        <v>6439</v>
      </c>
      <c r="D2087" s="6" t="s">
        <v>6440</v>
      </c>
      <c r="E2087" s="7" t="s">
        <v>6441</v>
      </c>
      <c r="F2087" s="13"/>
      <c r="G2087" s="14"/>
      <c r="H2087" s="15">
        <v>200</v>
      </c>
      <c r="I2087" s="14"/>
      <c r="J2087" s="14" t="s">
        <v>144</v>
      </c>
      <c r="K2087" s="5">
        <v>3</v>
      </c>
      <c r="L2087" s="16">
        <v>132</v>
      </c>
      <c r="M2087" s="12"/>
      <c r="N2087" s="14">
        <f>L2087*M2087</f>
        <v>0</v>
      </c>
      <c r="O2087" s="23">
        <f>0.068*M2087</f>
        <v>0</v>
      </c>
      <c r="P2087" s="24">
        <f>0.00017*M2087</f>
        <v>0</v>
      </c>
      <c r="Q2087" s="25"/>
      <c r="R2087" s="26" t="s">
        <v>6442</v>
      </c>
      <c r="S2087" s="26" t="s">
        <v>93</v>
      </c>
      <c r="T2087" s="6" t="str">
        <f>HYPERLINK("https://kanzpp.ru/api/getInfo/image/7bf1bb8a-98c7-11ed-a22e-00155d82e902")</f>
        <v>https://kanzpp.ru/api/getInfo/image/7bf1bb8a-98c7-11ed-a22e-00155d82e902</v>
      </c>
      <c r="U2087" s="6"/>
      <c r="V2087" s="33" t="s">
        <v>35</v>
      </c>
    </row>
    <row r="2088" spans="2:22" ht="22.95" customHeight="1" outlineLevel="3" x14ac:dyDescent="0.2">
      <c r="B2088" s="81" t="s">
        <v>6443</v>
      </c>
      <c r="C2088" s="81"/>
      <c r="D2088" s="81"/>
      <c r="L2088">
        <v>0</v>
      </c>
    </row>
    <row r="2089" spans="2:22" ht="22.95" customHeight="1" outlineLevel="4" x14ac:dyDescent="0.2">
      <c r="B2089" s="82" t="s">
        <v>6444</v>
      </c>
      <c r="C2089" s="82"/>
      <c r="D2089" s="82"/>
      <c r="L2089">
        <v>0</v>
      </c>
    </row>
    <row r="2090" spans="2:22" ht="21" customHeight="1" outlineLevel="5" x14ac:dyDescent="0.2">
      <c r="B2090" s="69">
        <v>1525</v>
      </c>
      <c r="C2090" s="6" t="s">
        <v>6445</v>
      </c>
      <c r="D2090" s="6" t="s">
        <v>6446</v>
      </c>
      <c r="E2090" s="7" t="s">
        <v>6447</v>
      </c>
      <c r="F2090" s="13"/>
      <c r="G2090" s="14"/>
      <c r="H2090" s="15">
        <v>45</v>
      </c>
      <c r="I2090" s="14"/>
      <c r="J2090" s="15">
        <v>488</v>
      </c>
      <c r="K2090" s="5">
        <v>4</v>
      </c>
      <c r="L2090" s="16">
        <v>145.33333333333334</v>
      </c>
      <c r="M2090" s="12"/>
      <c r="N2090" s="14">
        <f t="shared" ref="N2090:N2096" si="94">L2090*M2090</f>
        <v>0</v>
      </c>
      <c r="O2090" s="23">
        <f>0.042*M2090</f>
        <v>0</v>
      </c>
      <c r="P2090" s="24">
        <f>0.00224*M2090</f>
        <v>0</v>
      </c>
      <c r="Q2090" s="25"/>
      <c r="R2090" s="26" t="s">
        <v>6448</v>
      </c>
      <c r="S2090" s="26" t="s">
        <v>93</v>
      </c>
      <c r="T2090" s="6" t="str">
        <f>HYPERLINK("https://kanzpp.ru/api/getInfo/image/9af20646-2e74-11ed-a216-ac1f6b442185")</f>
        <v>https://kanzpp.ru/api/getInfo/image/9af20646-2e74-11ed-a216-ac1f6b442185</v>
      </c>
      <c r="U2090" s="6"/>
      <c r="V2090" s="33" t="s">
        <v>35</v>
      </c>
    </row>
    <row r="2091" spans="2:22" ht="21" customHeight="1" outlineLevel="5" x14ac:dyDescent="0.2">
      <c r="B2091" s="69">
        <v>1526</v>
      </c>
      <c r="C2091" s="6" t="s">
        <v>6449</v>
      </c>
      <c r="D2091" s="6" t="s">
        <v>6450</v>
      </c>
      <c r="E2091" s="7" t="s">
        <v>6451</v>
      </c>
      <c r="F2091" s="13"/>
      <c r="G2091" s="14"/>
      <c r="H2091" s="15">
        <v>45</v>
      </c>
      <c r="I2091" s="14"/>
      <c r="J2091" s="14" t="s">
        <v>144</v>
      </c>
      <c r="K2091" s="5">
        <v>4</v>
      </c>
      <c r="L2091" s="16">
        <v>145.33333333333334</v>
      </c>
      <c r="M2091" s="12"/>
      <c r="N2091" s="14">
        <f t="shared" si="94"/>
        <v>0</v>
      </c>
      <c r="O2091" s="23">
        <f>0.054*M2091</f>
        <v>0</v>
      </c>
      <c r="P2091" s="24">
        <f>0.00029*M2091</f>
        <v>0</v>
      </c>
      <c r="Q2091" s="25"/>
      <c r="R2091" s="26" t="s">
        <v>6452</v>
      </c>
      <c r="S2091" s="26" t="s">
        <v>93</v>
      </c>
      <c r="T2091" s="6" t="str">
        <f>HYPERLINK("https://kanzpp.ru/api/getInfo/image/80e4d6f1-2e74-11ed-a216-ac1f6b442185")</f>
        <v>https://kanzpp.ru/api/getInfo/image/80e4d6f1-2e74-11ed-a216-ac1f6b442185</v>
      </c>
      <c r="U2091" s="6"/>
      <c r="V2091" s="33" t="s">
        <v>35</v>
      </c>
    </row>
    <row r="2092" spans="2:22" ht="21" customHeight="1" outlineLevel="5" x14ac:dyDescent="0.2">
      <c r="B2092" s="69">
        <v>1527</v>
      </c>
      <c r="C2092" s="6" t="s">
        <v>6453</v>
      </c>
      <c r="D2092" s="6" t="s">
        <v>6454</v>
      </c>
      <c r="E2092" s="7" t="s">
        <v>6455</v>
      </c>
      <c r="F2092" s="13"/>
      <c r="G2092" s="14"/>
      <c r="H2092" s="15">
        <v>45</v>
      </c>
      <c r="I2092" s="14"/>
      <c r="J2092" s="14" t="s">
        <v>144</v>
      </c>
      <c r="K2092" s="5">
        <v>4</v>
      </c>
      <c r="L2092" s="16">
        <v>145.33333333333334</v>
      </c>
      <c r="M2092" s="12"/>
      <c r="N2092" s="14">
        <f t="shared" si="94"/>
        <v>0</v>
      </c>
      <c r="O2092" s="23">
        <f>0.042*M2092</f>
        <v>0</v>
      </c>
      <c r="P2092" s="24">
        <f>0.00224*M2092</f>
        <v>0</v>
      </c>
      <c r="Q2092" s="25"/>
      <c r="R2092" s="26" t="s">
        <v>6456</v>
      </c>
      <c r="S2092" s="26" t="s">
        <v>93</v>
      </c>
      <c r="T2092" s="6" t="str">
        <f>HYPERLINK("https://kanzpp.ru/api/getInfo/image/33701ed2-2e74-11ed-a216-ac1f6b442185")</f>
        <v>https://kanzpp.ru/api/getInfo/image/33701ed2-2e74-11ed-a216-ac1f6b442185</v>
      </c>
      <c r="U2092" s="6"/>
      <c r="V2092" s="33" t="s">
        <v>35</v>
      </c>
    </row>
    <row r="2093" spans="2:22" ht="21" customHeight="1" outlineLevel="5" x14ac:dyDescent="0.2">
      <c r="B2093" s="69">
        <v>1528</v>
      </c>
      <c r="C2093" s="6" t="s">
        <v>6457</v>
      </c>
      <c r="D2093" s="6" t="s">
        <v>6458</v>
      </c>
      <c r="E2093" s="7" t="s">
        <v>6459</v>
      </c>
      <c r="F2093" s="13"/>
      <c r="G2093" s="14"/>
      <c r="H2093" s="15">
        <v>45</v>
      </c>
      <c r="I2093" s="14"/>
      <c r="J2093" s="14" t="s">
        <v>144</v>
      </c>
      <c r="K2093" s="5">
        <v>4</v>
      </c>
      <c r="L2093" s="16">
        <v>145.33333333333334</v>
      </c>
      <c r="M2093" s="12"/>
      <c r="N2093" s="14">
        <f t="shared" si="94"/>
        <v>0</v>
      </c>
      <c r="O2093" s="23">
        <f>0.042*M2093</f>
        <v>0</v>
      </c>
      <c r="P2093" s="24">
        <f>0.00224*M2093</f>
        <v>0</v>
      </c>
      <c r="Q2093" s="25"/>
      <c r="R2093" s="26" t="s">
        <v>6460</v>
      </c>
      <c r="S2093" s="26" t="s">
        <v>93</v>
      </c>
      <c r="T2093" s="6" t="str">
        <f>HYPERLINK("https://kanzpp.ru/api/getInfo/image/61698c43-2e74-11ed-a216-ac1f6b442185")</f>
        <v>https://kanzpp.ru/api/getInfo/image/61698c43-2e74-11ed-a216-ac1f6b442185</v>
      </c>
      <c r="U2093" s="6"/>
      <c r="V2093" s="33" t="s">
        <v>35</v>
      </c>
    </row>
    <row r="2094" spans="2:22" ht="21" customHeight="1" outlineLevel="5" x14ac:dyDescent="0.2">
      <c r="B2094" s="69">
        <v>1529</v>
      </c>
      <c r="C2094" s="6" t="s">
        <v>6461</v>
      </c>
      <c r="D2094" s="6" t="s">
        <v>6462</v>
      </c>
      <c r="E2094" s="7" t="s">
        <v>6463</v>
      </c>
      <c r="F2094" s="13"/>
      <c r="G2094" s="14"/>
      <c r="H2094" s="15">
        <v>45</v>
      </c>
      <c r="I2094" s="14"/>
      <c r="J2094" s="14" t="s">
        <v>144</v>
      </c>
      <c r="K2094" s="5">
        <v>4</v>
      </c>
      <c r="L2094" s="16">
        <v>145.33333333333334</v>
      </c>
      <c r="M2094" s="12"/>
      <c r="N2094" s="14">
        <f t="shared" si="94"/>
        <v>0</v>
      </c>
      <c r="O2094" s="23">
        <f>0.057*M2094</f>
        <v>0</v>
      </c>
      <c r="P2094" s="24">
        <f>0.00049*M2094</f>
        <v>0</v>
      </c>
      <c r="Q2094" s="25"/>
      <c r="R2094" s="26" t="s">
        <v>6464</v>
      </c>
      <c r="S2094" s="26" t="s">
        <v>93</v>
      </c>
      <c r="T2094" s="6" t="str">
        <f>HYPERLINK("https://kanzpp.ru/api/getInfo/image/ed76141d-2e73-11ed-a216-ac1f6b442185")</f>
        <v>https://kanzpp.ru/api/getInfo/image/ed76141d-2e73-11ed-a216-ac1f6b442185</v>
      </c>
      <c r="U2094" s="6"/>
      <c r="V2094" s="33" t="s">
        <v>35</v>
      </c>
    </row>
    <row r="2095" spans="2:22" ht="21" customHeight="1" outlineLevel="5" x14ac:dyDescent="0.2">
      <c r="B2095" s="69">
        <v>1530</v>
      </c>
      <c r="C2095" s="6" t="s">
        <v>6465</v>
      </c>
      <c r="D2095" s="6" t="s">
        <v>6466</v>
      </c>
      <c r="E2095" s="7" t="s">
        <v>6467</v>
      </c>
      <c r="F2095" s="13"/>
      <c r="G2095" s="14"/>
      <c r="H2095" s="15">
        <v>45</v>
      </c>
      <c r="I2095" s="14"/>
      <c r="J2095" s="15">
        <v>88</v>
      </c>
      <c r="K2095" s="5">
        <v>4</v>
      </c>
      <c r="L2095" s="16">
        <v>145.33333333333334</v>
      </c>
      <c r="M2095" s="12"/>
      <c r="N2095" s="14">
        <f t="shared" si="94"/>
        <v>0</v>
      </c>
      <c r="O2095" s="23">
        <f>0.042*M2095</f>
        <v>0</v>
      </c>
      <c r="P2095" s="24">
        <f>0.00224*M2095</f>
        <v>0</v>
      </c>
      <c r="Q2095" s="25"/>
      <c r="R2095" s="26" t="s">
        <v>6468</v>
      </c>
      <c r="S2095" s="26" t="s">
        <v>93</v>
      </c>
      <c r="T2095" s="6" t="str">
        <f>HYPERLINK("https://kanzpp.ru/api/getInfo/image/ff25776c-2e74-11ed-a216-ac1f6b442185")</f>
        <v>https://kanzpp.ru/api/getInfo/image/ff25776c-2e74-11ed-a216-ac1f6b442185</v>
      </c>
      <c r="U2095" s="6"/>
      <c r="V2095" s="33" t="s">
        <v>35</v>
      </c>
    </row>
    <row r="2096" spans="2:22" ht="21" customHeight="1" outlineLevel="5" x14ac:dyDescent="0.2">
      <c r="B2096" s="69">
        <v>1531</v>
      </c>
      <c r="C2096" s="6" t="s">
        <v>6469</v>
      </c>
      <c r="D2096" s="6" t="s">
        <v>6470</v>
      </c>
      <c r="E2096" s="7" t="s">
        <v>6471</v>
      </c>
      <c r="F2096" s="13"/>
      <c r="G2096" s="14"/>
      <c r="H2096" s="15">
        <v>45</v>
      </c>
      <c r="I2096" s="14"/>
      <c r="J2096" s="15">
        <v>484</v>
      </c>
      <c r="K2096" s="5">
        <v>4</v>
      </c>
      <c r="L2096" s="16">
        <v>145.33333333333334</v>
      </c>
      <c r="M2096" s="12"/>
      <c r="N2096" s="14">
        <f t="shared" si="94"/>
        <v>0</v>
      </c>
      <c r="O2096" s="23">
        <f>0.042*M2096</f>
        <v>0</v>
      </c>
      <c r="P2096" s="24">
        <f>0.00224*M2096</f>
        <v>0</v>
      </c>
      <c r="Q2096" s="25"/>
      <c r="R2096" s="26" t="s">
        <v>6472</v>
      </c>
      <c r="S2096" s="26" t="s">
        <v>93</v>
      </c>
      <c r="T2096" s="6" t="str">
        <f>HYPERLINK("https://kanzpp.ru/api/getInfo/image/e620f333-2e74-11ed-a216-ac1f6b442185")</f>
        <v>https://kanzpp.ru/api/getInfo/image/e620f333-2e74-11ed-a216-ac1f6b442185</v>
      </c>
      <c r="U2096" s="6"/>
      <c r="V2096" s="33" t="s">
        <v>35</v>
      </c>
    </row>
    <row r="2097" spans="2:22" ht="22.95" customHeight="1" outlineLevel="3" x14ac:dyDescent="0.2">
      <c r="B2097" s="81" t="s">
        <v>6473</v>
      </c>
      <c r="C2097" s="81"/>
      <c r="D2097" s="81"/>
      <c r="L2097">
        <v>0</v>
      </c>
    </row>
    <row r="2098" spans="2:22" ht="21" customHeight="1" outlineLevel="4" x14ac:dyDescent="0.2">
      <c r="B2098" s="69">
        <v>1532</v>
      </c>
      <c r="C2098" s="6" t="s">
        <v>6474</v>
      </c>
      <c r="D2098" s="6" t="s">
        <v>6475</v>
      </c>
      <c r="E2098" s="7" t="s">
        <v>6476</v>
      </c>
      <c r="F2098" s="13"/>
      <c r="G2098" s="14"/>
      <c r="H2098" s="15">
        <v>50</v>
      </c>
      <c r="I2098" s="15">
        <v>1</v>
      </c>
      <c r="J2098" s="14" t="s">
        <v>144</v>
      </c>
      <c r="K2098" s="5">
        <v>1</v>
      </c>
      <c r="L2098" s="16">
        <v>145.33333333333334</v>
      </c>
      <c r="M2098" s="12"/>
      <c r="N2098" s="14">
        <f>L2098*M2098</f>
        <v>0</v>
      </c>
      <c r="O2098" s="23">
        <f>0.125*M2098</f>
        <v>0</v>
      </c>
      <c r="P2098" s="24">
        <f>0.00143*M2098</f>
        <v>0</v>
      </c>
      <c r="Q2098" s="25"/>
      <c r="R2098" s="26" t="s">
        <v>6477</v>
      </c>
      <c r="S2098" s="26" t="s">
        <v>93</v>
      </c>
      <c r="T2098" s="6" t="str">
        <f>HYPERLINK("https://kanzpp.ru/api/getInfo/image/ddd654de-251d-11ec-a20f-ac1f6b442185")</f>
        <v>https://kanzpp.ru/api/getInfo/image/ddd654de-251d-11ec-a20f-ac1f6b442185</v>
      </c>
      <c r="U2098" s="6"/>
      <c r="V2098" s="33" t="s">
        <v>35</v>
      </c>
    </row>
    <row r="2099" spans="2:22" ht="21" customHeight="1" outlineLevel="4" x14ac:dyDescent="0.2">
      <c r="B2099" s="69">
        <v>1533</v>
      </c>
      <c r="C2099" s="6" t="s">
        <v>6478</v>
      </c>
      <c r="D2099" s="6" t="s">
        <v>6479</v>
      </c>
      <c r="E2099" s="7" t="s">
        <v>6480</v>
      </c>
      <c r="F2099" s="13"/>
      <c r="G2099" s="14"/>
      <c r="H2099" s="15">
        <v>50</v>
      </c>
      <c r="I2099" s="15">
        <v>1</v>
      </c>
      <c r="J2099" s="15">
        <v>160</v>
      </c>
      <c r="K2099" s="5">
        <v>1</v>
      </c>
      <c r="L2099" s="16">
        <v>145.33333333333334</v>
      </c>
      <c r="M2099" s="12"/>
      <c r="N2099" s="14">
        <f>L2099*M2099</f>
        <v>0</v>
      </c>
      <c r="O2099" s="23">
        <f>0.105*M2099</f>
        <v>0</v>
      </c>
      <c r="P2099" s="24">
        <f>0.00083*M2099</f>
        <v>0</v>
      </c>
      <c r="Q2099" s="25"/>
      <c r="R2099" s="26" t="s">
        <v>6481</v>
      </c>
      <c r="S2099" s="26" t="s">
        <v>93</v>
      </c>
      <c r="T2099" s="6" t="str">
        <f>HYPERLINK("https://kanzpp.ru/api/getInfo/image/1fbcd2ed-251e-11ec-a20f-ac1f6b442185")</f>
        <v>https://kanzpp.ru/api/getInfo/image/1fbcd2ed-251e-11ec-a20f-ac1f6b442185</v>
      </c>
      <c r="U2099" s="6"/>
      <c r="V2099" s="33" t="s">
        <v>35</v>
      </c>
    </row>
    <row r="2100" spans="2:22" ht="21" customHeight="1" outlineLevel="4" x14ac:dyDescent="0.2">
      <c r="B2100" s="69">
        <v>1534</v>
      </c>
      <c r="C2100" s="6" t="s">
        <v>6482</v>
      </c>
      <c r="D2100" s="6" t="s">
        <v>6483</v>
      </c>
      <c r="E2100" s="7" t="s">
        <v>6484</v>
      </c>
      <c r="F2100" s="13"/>
      <c r="G2100" s="14"/>
      <c r="H2100" s="15">
        <v>50</v>
      </c>
      <c r="I2100" s="15">
        <v>1</v>
      </c>
      <c r="J2100" s="15">
        <v>146</v>
      </c>
      <c r="K2100" s="5">
        <v>1</v>
      </c>
      <c r="L2100" s="16">
        <v>145.33333333333334</v>
      </c>
      <c r="M2100" s="12"/>
      <c r="N2100" s="14">
        <f>L2100*M2100</f>
        <v>0</v>
      </c>
      <c r="O2100" s="23">
        <f>0.106*M2100</f>
        <v>0</v>
      </c>
      <c r="P2100" s="24">
        <f>0.00084*M2100</f>
        <v>0</v>
      </c>
      <c r="Q2100" s="25"/>
      <c r="R2100" s="26" t="s">
        <v>6485</v>
      </c>
      <c r="S2100" s="26" t="s">
        <v>93</v>
      </c>
      <c r="T2100" s="6" t="str">
        <f>HYPERLINK("https://kanzpp.ru/api/getInfo/image/5b4e23ed-251e-11ec-a20f-ac1f6b442185")</f>
        <v>https://kanzpp.ru/api/getInfo/image/5b4e23ed-251e-11ec-a20f-ac1f6b442185</v>
      </c>
      <c r="U2100" s="6"/>
      <c r="V2100" s="33" t="s">
        <v>35</v>
      </c>
    </row>
    <row r="2101" spans="2:22" ht="21" customHeight="1" outlineLevel="4" x14ac:dyDescent="0.2">
      <c r="B2101" s="69">
        <v>1535</v>
      </c>
      <c r="C2101" s="6" t="s">
        <v>6486</v>
      </c>
      <c r="D2101" s="6" t="s">
        <v>6487</v>
      </c>
      <c r="E2101" s="7" t="s">
        <v>6488</v>
      </c>
      <c r="F2101" s="13"/>
      <c r="G2101" s="14"/>
      <c r="H2101" s="15">
        <v>50</v>
      </c>
      <c r="I2101" s="15">
        <v>1</v>
      </c>
      <c r="J2101" s="15">
        <v>102</v>
      </c>
      <c r="K2101" s="5">
        <v>1</v>
      </c>
      <c r="L2101" s="16">
        <v>145.33333333333334</v>
      </c>
      <c r="M2101" s="12"/>
      <c r="N2101" s="14">
        <f>L2101*M2101</f>
        <v>0</v>
      </c>
      <c r="O2101" s="23">
        <f>0.105*M2101</f>
        <v>0</v>
      </c>
      <c r="P2101" s="24">
        <f>0.00098*M2101</f>
        <v>0</v>
      </c>
      <c r="Q2101" s="25"/>
      <c r="R2101" s="26" t="s">
        <v>6489</v>
      </c>
      <c r="S2101" s="26" t="s">
        <v>93</v>
      </c>
      <c r="T2101" s="6" t="str">
        <f>HYPERLINK("https://kanzpp.ru/api/getInfo/image/9608f32e-251e-11ec-a20f-ac1f6b442185")</f>
        <v>https://kanzpp.ru/api/getInfo/image/9608f32e-251e-11ec-a20f-ac1f6b442185</v>
      </c>
      <c r="U2101" s="6"/>
      <c r="V2101" s="33" t="s">
        <v>35</v>
      </c>
    </row>
    <row r="2102" spans="2:22" ht="22.95" customHeight="1" outlineLevel="3" x14ac:dyDescent="0.2">
      <c r="B2102" s="81" t="s">
        <v>6490</v>
      </c>
      <c r="C2102" s="81"/>
      <c r="D2102" s="81"/>
      <c r="L2102">
        <v>0</v>
      </c>
    </row>
    <row r="2103" spans="2:22" ht="22.95" customHeight="1" outlineLevel="4" x14ac:dyDescent="0.2">
      <c r="B2103" s="82" t="s">
        <v>6491</v>
      </c>
      <c r="C2103" s="82"/>
      <c r="D2103" s="82"/>
      <c r="L2103">
        <v>0</v>
      </c>
    </row>
    <row r="2104" spans="2:22" ht="21" customHeight="1" outlineLevel="5" x14ac:dyDescent="0.2">
      <c r="B2104" s="69">
        <v>1536</v>
      </c>
      <c r="C2104" s="6" t="s">
        <v>6492</v>
      </c>
      <c r="D2104" s="6" t="s">
        <v>6493</v>
      </c>
      <c r="E2104" s="7" t="s">
        <v>6494</v>
      </c>
      <c r="F2104" s="13"/>
      <c r="G2104" s="14"/>
      <c r="H2104" s="15">
        <v>50</v>
      </c>
      <c r="I2104" s="14"/>
      <c r="J2104" s="15">
        <v>212</v>
      </c>
      <c r="K2104" s="5">
        <v>2</v>
      </c>
      <c r="L2104" s="16">
        <v>212</v>
      </c>
      <c r="M2104" s="12"/>
      <c r="N2104" s="14">
        <f t="shared" ref="N2104:N2110" si="95">L2104*M2104</f>
        <v>0</v>
      </c>
      <c r="O2104" s="23">
        <f>0.137*M2104</f>
        <v>0</v>
      </c>
      <c r="P2104" s="24">
        <f>0.00408*M2104</f>
        <v>0</v>
      </c>
      <c r="Q2104" s="25"/>
      <c r="R2104" s="26" t="s">
        <v>6495</v>
      </c>
      <c r="S2104" s="26" t="s">
        <v>93</v>
      </c>
      <c r="T2104" s="6" t="str">
        <f>HYPERLINK("https://kanzpp.ru/api/getInfo/image/1d5f1eff-4ad0-11ed-a217-ac1f6b442185")</f>
        <v>https://kanzpp.ru/api/getInfo/image/1d5f1eff-4ad0-11ed-a217-ac1f6b442185</v>
      </c>
      <c r="U2104" s="6"/>
      <c r="V2104" s="33" t="s">
        <v>35</v>
      </c>
    </row>
    <row r="2105" spans="2:22" ht="21" customHeight="1" outlineLevel="5" x14ac:dyDescent="0.2">
      <c r="B2105" s="69">
        <v>1537</v>
      </c>
      <c r="C2105" s="6" t="s">
        <v>6496</v>
      </c>
      <c r="D2105" s="6" t="s">
        <v>6493</v>
      </c>
      <c r="E2105" s="7" t="s">
        <v>6494</v>
      </c>
      <c r="F2105" s="13"/>
      <c r="G2105" s="14"/>
      <c r="H2105" s="15">
        <v>50</v>
      </c>
      <c r="I2105" s="14"/>
      <c r="J2105" s="15">
        <v>30</v>
      </c>
      <c r="K2105" s="5">
        <v>1</v>
      </c>
      <c r="L2105" s="16">
        <v>212</v>
      </c>
      <c r="M2105" s="12"/>
      <c r="N2105" s="14">
        <f t="shared" si="95"/>
        <v>0</v>
      </c>
      <c r="O2105" s="23">
        <f>0.137*M2105</f>
        <v>0</v>
      </c>
      <c r="P2105" s="24">
        <f>0.00408*M2105</f>
        <v>0</v>
      </c>
      <c r="Q2105" s="25"/>
      <c r="R2105" s="26"/>
      <c r="S2105" s="26" t="s">
        <v>93</v>
      </c>
      <c r="T2105" s="6"/>
      <c r="U2105" s="6" t="s">
        <v>6495</v>
      </c>
      <c r="V2105" s="33" t="s">
        <v>35</v>
      </c>
    </row>
    <row r="2106" spans="2:22" ht="21" customHeight="1" outlineLevel="5" x14ac:dyDescent="0.2">
      <c r="B2106" s="69">
        <v>1538</v>
      </c>
      <c r="C2106" s="6" t="s">
        <v>6497</v>
      </c>
      <c r="D2106" s="6" t="s">
        <v>6498</v>
      </c>
      <c r="E2106" s="7" t="s">
        <v>6499</v>
      </c>
      <c r="F2106" s="13"/>
      <c r="G2106" s="14"/>
      <c r="H2106" s="15">
        <v>50</v>
      </c>
      <c r="I2106" s="14"/>
      <c r="J2106" s="15">
        <v>83</v>
      </c>
      <c r="K2106" s="5">
        <v>2</v>
      </c>
      <c r="L2106" s="16">
        <v>212</v>
      </c>
      <c r="M2106" s="12"/>
      <c r="N2106" s="14">
        <f t="shared" si="95"/>
        <v>0</v>
      </c>
      <c r="O2106" s="23">
        <f>0.147*M2106</f>
        <v>0</v>
      </c>
      <c r="P2106" s="24">
        <f>0.00417*M2106</f>
        <v>0</v>
      </c>
      <c r="Q2106" s="25"/>
      <c r="R2106" s="26" t="s">
        <v>6500</v>
      </c>
      <c r="S2106" s="26" t="s">
        <v>93</v>
      </c>
      <c r="T2106" s="6" t="str">
        <f>HYPERLINK("https://kanzpp.ru/api/getInfo/image/d40292f3-4acf-11ed-a217-ac1f6b442185")</f>
        <v>https://kanzpp.ru/api/getInfo/image/d40292f3-4acf-11ed-a217-ac1f6b442185</v>
      </c>
      <c r="U2106" s="6"/>
      <c r="V2106" s="33" t="s">
        <v>35</v>
      </c>
    </row>
    <row r="2107" spans="2:22" ht="21" customHeight="1" outlineLevel="5" x14ac:dyDescent="0.2">
      <c r="B2107" s="69">
        <v>1539</v>
      </c>
      <c r="C2107" s="6" t="s">
        <v>6501</v>
      </c>
      <c r="D2107" s="6" t="s">
        <v>6502</v>
      </c>
      <c r="E2107" s="7" t="s">
        <v>6503</v>
      </c>
      <c r="F2107" s="13"/>
      <c r="G2107" s="14"/>
      <c r="H2107" s="15">
        <v>50</v>
      </c>
      <c r="I2107" s="14"/>
      <c r="J2107" s="15">
        <v>433</v>
      </c>
      <c r="K2107" s="5">
        <v>2</v>
      </c>
      <c r="L2107" s="16">
        <v>212</v>
      </c>
      <c r="M2107" s="12"/>
      <c r="N2107" s="14">
        <f t="shared" si="95"/>
        <v>0</v>
      </c>
      <c r="O2107" s="23">
        <f>0.144*M2107</f>
        <v>0</v>
      </c>
      <c r="P2107" s="24">
        <f>0.00135*M2107</f>
        <v>0</v>
      </c>
      <c r="Q2107" s="25"/>
      <c r="R2107" s="26" t="s">
        <v>6504</v>
      </c>
      <c r="S2107" s="26" t="s">
        <v>93</v>
      </c>
      <c r="T2107" s="6" t="str">
        <f>HYPERLINK("https://kanzpp.ru/api/getInfo/image/6f56b24c-4ad0-11ed-a217-ac1f6b442185")</f>
        <v>https://kanzpp.ru/api/getInfo/image/6f56b24c-4ad0-11ed-a217-ac1f6b442185</v>
      </c>
      <c r="U2107" s="6"/>
      <c r="V2107" s="33" t="s">
        <v>35</v>
      </c>
    </row>
    <row r="2108" spans="2:22" ht="21" customHeight="1" outlineLevel="5" x14ac:dyDescent="0.2">
      <c r="B2108" s="69">
        <v>1540</v>
      </c>
      <c r="C2108" s="6" t="s">
        <v>6505</v>
      </c>
      <c r="D2108" s="6" t="s">
        <v>6502</v>
      </c>
      <c r="E2108" s="7" t="s">
        <v>6503</v>
      </c>
      <c r="F2108" s="13"/>
      <c r="G2108" s="14"/>
      <c r="H2108" s="15">
        <v>50</v>
      </c>
      <c r="I2108" s="14"/>
      <c r="J2108" s="15">
        <v>30</v>
      </c>
      <c r="K2108" s="5">
        <v>1</v>
      </c>
      <c r="L2108" s="16">
        <v>212</v>
      </c>
      <c r="M2108" s="12"/>
      <c r="N2108" s="14">
        <f t="shared" si="95"/>
        <v>0</v>
      </c>
      <c r="O2108" s="23">
        <f>0.144*M2108</f>
        <v>0</v>
      </c>
      <c r="P2108" s="24">
        <f>0.00135*M2108</f>
        <v>0</v>
      </c>
      <c r="Q2108" s="25"/>
      <c r="R2108" s="26"/>
      <c r="S2108" s="26" t="s">
        <v>93</v>
      </c>
      <c r="T2108" s="6"/>
      <c r="U2108" s="6" t="s">
        <v>6504</v>
      </c>
      <c r="V2108" s="33" t="s">
        <v>35</v>
      </c>
    </row>
    <row r="2109" spans="2:22" ht="21" customHeight="1" outlineLevel="5" x14ac:dyDescent="0.2">
      <c r="B2109" s="69">
        <v>1541</v>
      </c>
      <c r="C2109" s="6" t="s">
        <v>6506</v>
      </c>
      <c r="D2109" s="6" t="s">
        <v>6507</v>
      </c>
      <c r="E2109" s="7" t="s">
        <v>6508</v>
      </c>
      <c r="F2109" s="13"/>
      <c r="G2109" s="14"/>
      <c r="H2109" s="15">
        <v>50</v>
      </c>
      <c r="I2109" s="14"/>
      <c r="J2109" s="15">
        <v>320</v>
      </c>
      <c r="K2109" s="5">
        <v>2</v>
      </c>
      <c r="L2109" s="16">
        <v>212</v>
      </c>
      <c r="M2109" s="12"/>
      <c r="N2109" s="14">
        <f t="shared" si="95"/>
        <v>0</v>
      </c>
      <c r="O2109" s="28">
        <f>0.14*M2109</f>
        <v>0</v>
      </c>
      <c r="P2109" s="24">
        <f>0.00383*M2109</f>
        <v>0</v>
      </c>
      <c r="Q2109" s="25"/>
      <c r="R2109" s="26" t="s">
        <v>6509</v>
      </c>
      <c r="S2109" s="26" t="s">
        <v>93</v>
      </c>
      <c r="T2109" s="6" t="str">
        <f>HYPERLINK("https://kanzpp.ru/api/getInfo/image/49b66c0e-4ad0-11ed-a217-ac1f6b442185")</f>
        <v>https://kanzpp.ru/api/getInfo/image/49b66c0e-4ad0-11ed-a217-ac1f6b442185</v>
      </c>
      <c r="U2109" s="6"/>
      <c r="V2109" s="33" t="s">
        <v>35</v>
      </c>
    </row>
    <row r="2110" spans="2:22" ht="21" customHeight="1" outlineLevel="5" x14ac:dyDescent="0.2">
      <c r="B2110" s="69">
        <v>1542</v>
      </c>
      <c r="C2110" s="6" t="s">
        <v>6510</v>
      </c>
      <c r="D2110" s="6" t="s">
        <v>6507</v>
      </c>
      <c r="E2110" s="7" t="s">
        <v>6508</v>
      </c>
      <c r="F2110" s="13"/>
      <c r="G2110" s="14"/>
      <c r="H2110" s="15">
        <v>50</v>
      </c>
      <c r="I2110" s="14"/>
      <c r="J2110" s="15">
        <v>30</v>
      </c>
      <c r="K2110" s="5">
        <v>1</v>
      </c>
      <c r="L2110" s="16">
        <v>212</v>
      </c>
      <c r="M2110" s="12"/>
      <c r="N2110" s="14">
        <f t="shared" si="95"/>
        <v>0</v>
      </c>
      <c r="O2110" s="28">
        <f>0.14*M2110</f>
        <v>0</v>
      </c>
      <c r="P2110" s="24">
        <f>0.00383*M2110</f>
        <v>0</v>
      </c>
      <c r="Q2110" s="25"/>
      <c r="R2110" s="26"/>
      <c r="S2110" s="26" t="s">
        <v>93</v>
      </c>
      <c r="T2110" s="6"/>
      <c r="U2110" s="6" t="s">
        <v>6509</v>
      </c>
      <c r="V2110" s="33" t="s">
        <v>35</v>
      </c>
    </row>
    <row r="2111" spans="2:22" ht="22.95" customHeight="1" outlineLevel="3" x14ac:dyDescent="0.2">
      <c r="B2111" s="81" t="s">
        <v>6511</v>
      </c>
      <c r="C2111" s="81"/>
      <c r="D2111" s="81"/>
      <c r="L2111">
        <v>0</v>
      </c>
    </row>
    <row r="2112" spans="2:22" ht="22.95" customHeight="1" outlineLevel="4" x14ac:dyDescent="0.2">
      <c r="B2112" s="82" t="s">
        <v>6512</v>
      </c>
      <c r="C2112" s="82"/>
      <c r="D2112" s="82"/>
      <c r="L2112">
        <v>0</v>
      </c>
    </row>
    <row r="2113" spans="2:22" ht="21" customHeight="1" outlineLevel="5" x14ac:dyDescent="0.2">
      <c r="B2113" s="69">
        <v>1543</v>
      </c>
      <c r="C2113" s="6" t="s">
        <v>6513</v>
      </c>
      <c r="D2113" s="6" t="s">
        <v>6514</v>
      </c>
      <c r="E2113" s="7" t="s">
        <v>6515</v>
      </c>
      <c r="F2113" s="13"/>
      <c r="G2113" s="14"/>
      <c r="H2113" s="15">
        <v>50</v>
      </c>
      <c r="I2113" s="14"/>
      <c r="J2113" s="15">
        <v>449</v>
      </c>
      <c r="K2113" s="5">
        <v>3</v>
      </c>
      <c r="L2113" s="16">
        <v>145.33333333333334</v>
      </c>
      <c r="M2113" s="12"/>
      <c r="N2113" s="14">
        <f>L2113*M2113</f>
        <v>0</v>
      </c>
      <c r="O2113" s="23">
        <f>0.119*M2113</f>
        <v>0</v>
      </c>
      <c r="P2113" s="24">
        <f>0.00133*M2113</f>
        <v>0</v>
      </c>
      <c r="Q2113" s="25"/>
      <c r="R2113" s="26" t="s">
        <v>6516</v>
      </c>
      <c r="S2113" s="26" t="s">
        <v>93</v>
      </c>
      <c r="T2113" s="6" t="str">
        <f>HYPERLINK("https://kanzpp.ru/api/getInfo/image/367b43fd-5921-11ee-a245-00155d82e902")</f>
        <v>https://kanzpp.ru/api/getInfo/image/367b43fd-5921-11ee-a245-00155d82e902</v>
      </c>
      <c r="U2113" s="6"/>
      <c r="V2113" s="33" t="s">
        <v>35</v>
      </c>
    </row>
    <row r="2114" spans="2:22" ht="21" customHeight="1" outlineLevel="5" x14ac:dyDescent="0.2">
      <c r="B2114" s="69">
        <v>1544</v>
      </c>
      <c r="C2114" s="6" t="s">
        <v>6517</v>
      </c>
      <c r="D2114" s="6" t="s">
        <v>6518</v>
      </c>
      <c r="E2114" s="7" t="s">
        <v>6519</v>
      </c>
      <c r="F2114" s="13"/>
      <c r="G2114" s="14"/>
      <c r="H2114" s="15">
        <v>50</v>
      </c>
      <c r="I2114" s="14"/>
      <c r="J2114" s="15">
        <v>271</v>
      </c>
      <c r="K2114" s="5">
        <v>3</v>
      </c>
      <c r="L2114" s="16">
        <v>145.33333333333334</v>
      </c>
      <c r="M2114" s="12"/>
      <c r="N2114" s="14">
        <f>L2114*M2114</f>
        <v>0</v>
      </c>
      <c r="O2114" s="23">
        <f>0.111*M2114</f>
        <v>0</v>
      </c>
      <c r="P2114" s="24">
        <f>0.00126*M2114</f>
        <v>0</v>
      </c>
      <c r="Q2114" s="25"/>
      <c r="R2114" s="26" t="s">
        <v>6520</v>
      </c>
      <c r="S2114" s="26" t="s">
        <v>93</v>
      </c>
      <c r="T2114" s="6" t="str">
        <f>HYPERLINK("https://kanzpp.ru/api/getInfo/image/96a90759-5921-11ee-a245-00155d82e902")</f>
        <v>https://kanzpp.ru/api/getInfo/image/96a90759-5921-11ee-a245-00155d82e902</v>
      </c>
      <c r="U2114" s="6"/>
      <c r="V2114" s="33" t="s">
        <v>35</v>
      </c>
    </row>
    <row r="2115" spans="2:22" ht="22.95" customHeight="1" outlineLevel="4" x14ac:dyDescent="0.2">
      <c r="B2115" s="82" t="s">
        <v>6521</v>
      </c>
      <c r="C2115" s="82"/>
      <c r="D2115" s="82"/>
      <c r="L2115">
        <v>0</v>
      </c>
    </row>
    <row r="2116" spans="2:22" ht="21" customHeight="1" outlineLevel="5" x14ac:dyDescent="0.2">
      <c r="B2116" s="69">
        <v>1545</v>
      </c>
      <c r="C2116" s="6" t="s">
        <v>6522</v>
      </c>
      <c r="D2116" s="6" t="s">
        <v>6523</v>
      </c>
      <c r="E2116" s="7" t="s">
        <v>6524</v>
      </c>
      <c r="F2116" s="13"/>
      <c r="G2116" s="14"/>
      <c r="H2116" s="15">
        <v>200</v>
      </c>
      <c r="I2116" s="14"/>
      <c r="J2116" s="15">
        <v>517</v>
      </c>
      <c r="K2116" s="5">
        <v>4</v>
      </c>
      <c r="L2116" s="16">
        <v>132</v>
      </c>
      <c r="M2116" s="12"/>
      <c r="N2116" s="14">
        <f>L2116*M2116</f>
        <v>0</v>
      </c>
      <c r="O2116" s="23">
        <f>0.108*M2116</f>
        <v>0</v>
      </c>
      <c r="P2116" s="24">
        <f>0.00232*M2116</f>
        <v>0</v>
      </c>
      <c r="Q2116" s="25"/>
      <c r="R2116" s="26" t="s">
        <v>6525</v>
      </c>
      <c r="S2116" s="26" t="s">
        <v>93</v>
      </c>
      <c r="T2116" s="6" t="str">
        <f>HYPERLINK("https://kanzpp.ru/api/getInfo/image/b7befc26-591b-11ee-a245-00155d82e902")</f>
        <v>https://kanzpp.ru/api/getInfo/image/b7befc26-591b-11ee-a245-00155d82e902</v>
      </c>
      <c r="U2116" s="6"/>
      <c r="V2116" s="33" t="s">
        <v>35</v>
      </c>
    </row>
    <row r="2117" spans="2:22" ht="21" customHeight="1" outlineLevel="5" x14ac:dyDescent="0.2">
      <c r="B2117" s="69">
        <v>1546</v>
      </c>
      <c r="C2117" s="6" t="s">
        <v>6526</v>
      </c>
      <c r="D2117" s="6" t="s">
        <v>6527</v>
      </c>
      <c r="E2117" s="7" t="s">
        <v>6528</v>
      </c>
      <c r="F2117" s="13"/>
      <c r="G2117" s="14"/>
      <c r="H2117" s="15">
        <v>200</v>
      </c>
      <c r="I2117" s="14"/>
      <c r="J2117" s="15">
        <v>4</v>
      </c>
      <c r="K2117" s="5">
        <v>4</v>
      </c>
      <c r="L2117" s="16">
        <v>132</v>
      </c>
      <c r="M2117" s="12"/>
      <c r="N2117" s="14">
        <f>L2117*M2117</f>
        <v>0</v>
      </c>
      <c r="O2117" s="27">
        <f>0.1*M2117</f>
        <v>0</v>
      </c>
      <c r="P2117" s="24">
        <f>0.00212*M2117</f>
        <v>0</v>
      </c>
      <c r="Q2117" s="25"/>
      <c r="R2117" s="26" t="s">
        <v>6529</v>
      </c>
      <c r="S2117" s="26" t="s">
        <v>93</v>
      </c>
      <c r="T2117" s="6" t="str">
        <f>HYPERLINK("https://kanzpp.ru/api/getInfo/image/4f374db9-591d-11ee-a245-00155d82e902")</f>
        <v>https://kanzpp.ru/api/getInfo/image/4f374db9-591d-11ee-a245-00155d82e902</v>
      </c>
      <c r="U2117" s="6"/>
      <c r="V2117" s="33" t="s">
        <v>35</v>
      </c>
    </row>
    <row r="2118" spans="2:22" ht="21" customHeight="1" outlineLevel="5" x14ac:dyDescent="0.2">
      <c r="B2118" s="69">
        <v>1547</v>
      </c>
      <c r="C2118" s="6" t="s">
        <v>6530</v>
      </c>
      <c r="D2118" s="6" t="s">
        <v>6531</v>
      </c>
      <c r="E2118" s="7" t="s">
        <v>6532</v>
      </c>
      <c r="F2118" s="13"/>
      <c r="G2118" s="14"/>
      <c r="H2118" s="15">
        <v>200</v>
      </c>
      <c r="I2118" s="14"/>
      <c r="J2118" s="15">
        <v>1</v>
      </c>
      <c r="K2118" s="5">
        <v>1</v>
      </c>
      <c r="L2118" s="16">
        <v>132</v>
      </c>
      <c r="M2118" s="12"/>
      <c r="N2118" s="14">
        <f>L2118*M2118</f>
        <v>0</v>
      </c>
      <c r="O2118" s="27">
        <f>0.1*M2118</f>
        <v>0</v>
      </c>
      <c r="P2118" s="24">
        <f>0.00212*M2118</f>
        <v>0</v>
      </c>
      <c r="Q2118" s="25"/>
      <c r="R2118" s="26" t="s">
        <v>6533</v>
      </c>
      <c r="S2118" s="26" t="s">
        <v>93</v>
      </c>
      <c r="T2118" s="6" t="str">
        <f>HYPERLINK("https://kanzpp.ru/api/getInfo/image/168d8c09-591d-11ee-a245-00155d82e902")</f>
        <v>https://kanzpp.ru/api/getInfo/image/168d8c09-591d-11ee-a245-00155d82e902</v>
      </c>
      <c r="U2118" s="6"/>
      <c r="V2118" s="33" t="s">
        <v>35</v>
      </c>
    </row>
    <row r="2119" spans="2:22" ht="21" customHeight="1" outlineLevel="5" x14ac:dyDescent="0.2">
      <c r="B2119" s="69">
        <v>1548</v>
      </c>
      <c r="C2119" s="6" t="s">
        <v>6534</v>
      </c>
      <c r="D2119" s="6" t="s">
        <v>6535</v>
      </c>
      <c r="E2119" s="7" t="s">
        <v>6536</v>
      </c>
      <c r="F2119" s="13"/>
      <c r="G2119" s="14"/>
      <c r="H2119" s="15">
        <v>200</v>
      </c>
      <c r="I2119" s="14"/>
      <c r="J2119" s="15">
        <v>1</v>
      </c>
      <c r="K2119" s="5">
        <v>1</v>
      </c>
      <c r="L2119" s="16">
        <v>132</v>
      </c>
      <c r="M2119" s="12"/>
      <c r="N2119" s="14">
        <f>L2119*M2119</f>
        <v>0</v>
      </c>
      <c r="O2119" s="27">
        <f>0.1*M2119</f>
        <v>0</v>
      </c>
      <c r="P2119" s="24">
        <f>0.00212*M2119</f>
        <v>0</v>
      </c>
      <c r="Q2119" s="25"/>
      <c r="R2119" s="26" t="s">
        <v>6537</v>
      </c>
      <c r="S2119" s="26" t="s">
        <v>93</v>
      </c>
      <c r="T2119" s="6" t="str">
        <f>HYPERLINK("https://kanzpp.ru/api/getInfo/image/68ccc95f-591d-11ee-a245-00155d82e902")</f>
        <v>https://kanzpp.ru/api/getInfo/image/68ccc95f-591d-11ee-a245-00155d82e902</v>
      </c>
      <c r="U2119" s="6"/>
      <c r="V2119" s="33" t="s">
        <v>35</v>
      </c>
    </row>
    <row r="2120" spans="2:22" ht="22.95" customHeight="1" outlineLevel="2" x14ac:dyDescent="0.2">
      <c r="B2120" s="80" t="s">
        <v>6538</v>
      </c>
      <c r="C2120" s="80"/>
      <c r="D2120" s="80"/>
      <c r="L2120">
        <v>0</v>
      </c>
    </row>
    <row r="2121" spans="2:22" ht="22.95" customHeight="1" outlineLevel="3" x14ac:dyDescent="0.2">
      <c r="B2121" s="81" t="s">
        <v>6539</v>
      </c>
      <c r="C2121" s="81"/>
      <c r="D2121" s="81"/>
      <c r="L2121">
        <v>0</v>
      </c>
    </row>
    <row r="2122" spans="2:22" ht="22.95" customHeight="1" outlineLevel="4" x14ac:dyDescent="0.2">
      <c r="B2122" s="82" t="s">
        <v>6540</v>
      </c>
      <c r="C2122" s="82"/>
      <c r="D2122" s="82"/>
      <c r="L2122">
        <v>0</v>
      </c>
    </row>
    <row r="2123" spans="2:22" ht="21" customHeight="1" outlineLevel="5" x14ac:dyDescent="0.2">
      <c r="B2123" s="69">
        <v>1549</v>
      </c>
      <c r="C2123" s="6" t="s">
        <v>6541</v>
      </c>
      <c r="D2123" s="6" t="s">
        <v>6542</v>
      </c>
      <c r="E2123" s="7" t="s">
        <v>6543</v>
      </c>
      <c r="F2123" s="13" t="s">
        <v>6544</v>
      </c>
      <c r="G2123" s="14"/>
      <c r="H2123" s="15">
        <v>40</v>
      </c>
      <c r="I2123" s="14"/>
      <c r="J2123" s="15">
        <v>199</v>
      </c>
      <c r="K2123" s="5">
        <v>3</v>
      </c>
      <c r="L2123" s="16">
        <v>132</v>
      </c>
      <c r="M2123" s="12"/>
      <c r="N2123" s="14">
        <f>L2123*M2123</f>
        <v>0</v>
      </c>
      <c r="O2123" s="23">
        <f>0.068*M2123</f>
        <v>0</v>
      </c>
      <c r="P2123" s="24">
        <f>0.00057*M2123</f>
        <v>0</v>
      </c>
      <c r="Q2123" s="25"/>
      <c r="R2123" s="26" t="s">
        <v>6545</v>
      </c>
      <c r="S2123" s="26" t="s">
        <v>29</v>
      </c>
      <c r="T2123" s="6" t="str">
        <f>HYPERLINK("https://kanzpp.ru/api/getInfo/image/b2e9969f-03de-11eb-a255-ac1f6b442184")</f>
        <v>https://kanzpp.ru/api/getInfo/image/b2e9969f-03de-11eb-a255-ac1f6b442184</v>
      </c>
      <c r="U2123" s="6"/>
      <c r="V2123" s="33" t="s">
        <v>35</v>
      </c>
    </row>
    <row r="2124" spans="2:22" ht="21" customHeight="1" outlineLevel="5" x14ac:dyDescent="0.2">
      <c r="B2124" s="69">
        <v>1550</v>
      </c>
      <c r="C2124" s="6" t="s">
        <v>6546</v>
      </c>
      <c r="D2124" s="6" t="s">
        <v>6547</v>
      </c>
      <c r="E2124" s="7" t="s">
        <v>6548</v>
      </c>
      <c r="F2124" s="13" t="s">
        <v>6544</v>
      </c>
      <c r="G2124" s="14"/>
      <c r="H2124" s="15">
        <v>40</v>
      </c>
      <c r="I2124" s="14"/>
      <c r="J2124" s="15">
        <v>81</v>
      </c>
      <c r="K2124" s="5">
        <v>3</v>
      </c>
      <c r="L2124" s="16">
        <v>132</v>
      </c>
      <c r="M2124" s="12"/>
      <c r="N2124" s="14">
        <f>L2124*M2124</f>
        <v>0</v>
      </c>
      <c r="O2124" s="23">
        <f>0.068*M2124</f>
        <v>0</v>
      </c>
      <c r="P2124" s="24">
        <f>0.00057*M2124</f>
        <v>0</v>
      </c>
      <c r="Q2124" s="25"/>
      <c r="R2124" s="26" t="s">
        <v>6549</v>
      </c>
      <c r="S2124" s="26" t="s">
        <v>29</v>
      </c>
      <c r="T2124" s="6" t="str">
        <f>HYPERLINK("https://kanzpp.ru/api/getInfo/image/8edfd6ca-03de-11eb-a255-ac1f6b442184")</f>
        <v>https://kanzpp.ru/api/getInfo/image/8edfd6ca-03de-11eb-a255-ac1f6b442184</v>
      </c>
      <c r="U2124" s="6"/>
      <c r="V2124" s="33" t="s">
        <v>35</v>
      </c>
    </row>
    <row r="2125" spans="2:22" ht="21" customHeight="1" outlineLevel="5" x14ac:dyDescent="0.2">
      <c r="B2125" s="69">
        <v>1551</v>
      </c>
      <c r="C2125" s="6" t="s">
        <v>6550</v>
      </c>
      <c r="D2125" s="6" t="s">
        <v>6551</v>
      </c>
      <c r="E2125" s="7" t="s">
        <v>6552</v>
      </c>
      <c r="F2125" s="13" t="s">
        <v>6544</v>
      </c>
      <c r="G2125" s="14"/>
      <c r="H2125" s="15">
        <v>40</v>
      </c>
      <c r="I2125" s="14"/>
      <c r="J2125" s="15">
        <v>178</v>
      </c>
      <c r="K2125" s="5">
        <v>4</v>
      </c>
      <c r="L2125" s="16">
        <v>132</v>
      </c>
      <c r="M2125" s="12"/>
      <c r="N2125" s="14">
        <f>L2125*M2125</f>
        <v>0</v>
      </c>
      <c r="O2125" s="23">
        <f>0.068*M2125</f>
        <v>0</v>
      </c>
      <c r="P2125" s="24">
        <f>0.00017*M2125</f>
        <v>0</v>
      </c>
      <c r="Q2125" s="25"/>
      <c r="R2125" s="26" t="s">
        <v>6553</v>
      </c>
      <c r="S2125" s="26" t="s">
        <v>29</v>
      </c>
      <c r="T2125" s="6" t="str">
        <f>HYPERLINK("https://kanzpp.ru/api/getInfo/image/aa5afbe1-03dd-11eb-a255-ac1f6b442184")</f>
        <v>https://kanzpp.ru/api/getInfo/image/aa5afbe1-03dd-11eb-a255-ac1f6b442184</v>
      </c>
      <c r="U2125" s="6"/>
      <c r="V2125" s="33" t="s">
        <v>35</v>
      </c>
    </row>
    <row r="2126" spans="2:22" ht="22.95" customHeight="1" outlineLevel="3" x14ac:dyDescent="0.2">
      <c r="B2126" s="81" t="s">
        <v>6554</v>
      </c>
      <c r="C2126" s="81"/>
      <c r="D2126" s="81"/>
      <c r="L2126">
        <v>0</v>
      </c>
    </row>
    <row r="2127" spans="2:22" ht="22.95" customHeight="1" outlineLevel="4" x14ac:dyDescent="0.2">
      <c r="B2127" s="82" t="s">
        <v>6555</v>
      </c>
      <c r="C2127" s="82"/>
      <c r="D2127" s="82"/>
      <c r="L2127">
        <v>0</v>
      </c>
    </row>
    <row r="2128" spans="2:22" ht="21" customHeight="1" outlineLevel="5" x14ac:dyDescent="0.2">
      <c r="B2128" s="69">
        <v>1552</v>
      </c>
      <c r="C2128" s="6" t="s">
        <v>6556</v>
      </c>
      <c r="D2128" s="6" t="s">
        <v>6557</v>
      </c>
      <c r="E2128" s="7" t="s">
        <v>6558</v>
      </c>
      <c r="F2128" s="13" t="s">
        <v>6544</v>
      </c>
      <c r="G2128" s="14"/>
      <c r="H2128" s="15">
        <v>50</v>
      </c>
      <c r="I2128" s="15">
        <v>1</v>
      </c>
      <c r="J2128" s="15">
        <v>12</v>
      </c>
      <c r="K2128" s="5">
        <v>10</v>
      </c>
      <c r="L2128" s="16">
        <v>94.933333333333337</v>
      </c>
      <c r="M2128" s="12"/>
      <c r="N2128" s="14">
        <f>L2128*M2128</f>
        <v>0</v>
      </c>
      <c r="O2128" s="28">
        <f>0.03*M2128</f>
        <v>0</v>
      </c>
      <c r="P2128" s="24">
        <f>0.00054*M2128</f>
        <v>0</v>
      </c>
      <c r="Q2128" s="25"/>
      <c r="R2128" s="26" t="s">
        <v>6559</v>
      </c>
      <c r="S2128" s="26" t="s">
        <v>29</v>
      </c>
      <c r="T2128" s="6" t="str">
        <f>HYPERLINK("https://kanzpp.ru/api/getInfo/image/b6e00bc5-07db-11e8-951c-5cf3fc4a2490")</f>
        <v>https://kanzpp.ru/api/getInfo/image/b6e00bc5-07db-11e8-951c-5cf3fc4a2490</v>
      </c>
      <c r="U2128" s="6"/>
      <c r="V2128" s="33" t="s">
        <v>35</v>
      </c>
    </row>
    <row r="2129" spans="2:22" ht="21" customHeight="1" outlineLevel="5" x14ac:dyDescent="0.2">
      <c r="B2129" s="69">
        <v>1553</v>
      </c>
      <c r="C2129" s="6" t="s">
        <v>6560</v>
      </c>
      <c r="D2129" s="6" t="s">
        <v>6561</v>
      </c>
      <c r="E2129" s="7" t="s">
        <v>6562</v>
      </c>
      <c r="F2129" s="13" t="s">
        <v>6544</v>
      </c>
      <c r="G2129" s="14"/>
      <c r="H2129" s="15">
        <v>50</v>
      </c>
      <c r="I2129" s="15">
        <v>1</v>
      </c>
      <c r="J2129" s="14" t="s">
        <v>144</v>
      </c>
      <c r="K2129" s="5">
        <v>10</v>
      </c>
      <c r="L2129" s="16">
        <v>94.933333333333337</v>
      </c>
      <c r="M2129" s="12"/>
      <c r="N2129" s="14">
        <f>L2129*M2129</f>
        <v>0</v>
      </c>
      <c r="O2129" s="28">
        <f>0.03*M2129</f>
        <v>0</v>
      </c>
      <c r="P2129" s="24">
        <f>0.00054*M2129</f>
        <v>0</v>
      </c>
      <c r="Q2129" s="25"/>
      <c r="R2129" s="26" t="s">
        <v>6563</v>
      </c>
      <c r="S2129" s="26" t="s">
        <v>29</v>
      </c>
      <c r="T2129" s="6" t="str">
        <f>HYPERLINK("https://kanzpp.ru/api/getInfo/image/d194a5a5-07db-11e8-951c-5cf3fc4a2490")</f>
        <v>https://kanzpp.ru/api/getInfo/image/d194a5a5-07db-11e8-951c-5cf3fc4a2490</v>
      </c>
      <c r="U2129" s="6"/>
      <c r="V2129" s="33" t="s">
        <v>35</v>
      </c>
    </row>
    <row r="2130" spans="2:22" ht="21" customHeight="1" outlineLevel="5" x14ac:dyDescent="0.2">
      <c r="B2130" s="69">
        <v>1554</v>
      </c>
      <c r="C2130" s="6" t="s">
        <v>6564</v>
      </c>
      <c r="D2130" s="6" t="s">
        <v>6565</v>
      </c>
      <c r="E2130" s="7" t="s">
        <v>6566</v>
      </c>
      <c r="F2130" s="13" t="s">
        <v>6544</v>
      </c>
      <c r="G2130" s="14"/>
      <c r="H2130" s="15">
        <v>50</v>
      </c>
      <c r="I2130" s="15">
        <v>1</v>
      </c>
      <c r="J2130" s="15">
        <v>837</v>
      </c>
      <c r="K2130" s="5">
        <v>10</v>
      </c>
      <c r="L2130" s="16">
        <v>94.933333333333337</v>
      </c>
      <c r="M2130" s="12"/>
      <c r="N2130" s="14">
        <f>L2130*M2130</f>
        <v>0</v>
      </c>
      <c r="O2130" s="28">
        <f>0.03*M2130</f>
        <v>0</v>
      </c>
      <c r="P2130" s="24">
        <f>0.00054*M2130</f>
        <v>0</v>
      </c>
      <c r="Q2130" s="25"/>
      <c r="R2130" s="26" t="s">
        <v>6567</v>
      </c>
      <c r="S2130" s="26" t="s">
        <v>29</v>
      </c>
      <c r="T2130" s="6" t="str">
        <f>HYPERLINK("https://kanzpp.ru/api/getInfo/image/f52bd0a4-9191-11e8-a208-ac1f6b442184")</f>
        <v>https://kanzpp.ru/api/getInfo/image/f52bd0a4-9191-11e8-a208-ac1f6b442184</v>
      </c>
      <c r="U2130" s="6"/>
      <c r="V2130" s="33" t="s">
        <v>35</v>
      </c>
    </row>
    <row r="2131" spans="2:22" ht="21" customHeight="1" outlineLevel="5" x14ac:dyDescent="0.2">
      <c r="B2131" s="69">
        <v>1555</v>
      </c>
      <c r="C2131" s="6" t="s">
        <v>6568</v>
      </c>
      <c r="D2131" s="6" t="s">
        <v>6569</v>
      </c>
      <c r="E2131" s="7" t="s">
        <v>6570</v>
      </c>
      <c r="F2131" s="13" t="s">
        <v>6544</v>
      </c>
      <c r="G2131" s="14"/>
      <c r="H2131" s="15">
        <v>50</v>
      </c>
      <c r="I2131" s="15">
        <v>1</v>
      </c>
      <c r="J2131" s="14" t="s">
        <v>144</v>
      </c>
      <c r="K2131" s="5">
        <v>10</v>
      </c>
      <c r="L2131" s="16">
        <v>94.933333333333337</v>
      </c>
      <c r="M2131" s="12"/>
      <c r="N2131" s="14">
        <f>L2131*M2131</f>
        <v>0</v>
      </c>
      <c r="O2131" s="28">
        <f>0.03*M2131</f>
        <v>0</v>
      </c>
      <c r="P2131" s="31">
        <f>0.0007*M2131</f>
        <v>0</v>
      </c>
      <c r="Q2131" s="25"/>
      <c r="R2131" s="26" t="s">
        <v>6571</v>
      </c>
      <c r="S2131" s="26" t="s">
        <v>29</v>
      </c>
      <c r="T2131" s="6" t="str">
        <f>HYPERLINK("https://kanzpp.ru/api/getInfo/image/6f42de8e-4c8b-11e5-a57f-5cf3fc4a2490")</f>
        <v>https://kanzpp.ru/api/getInfo/image/6f42de8e-4c8b-11e5-a57f-5cf3fc4a2490</v>
      </c>
      <c r="U2131" s="6"/>
      <c r="V2131" s="33" t="s">
        <v>35</v>
      </c>
    </row>
    <row r="2132" spans="2:22" ht="22.95" customHeight="1" outlineLevel="4" x14ac:dyDescent="0.2">
      <c r="B2132" s="82" t="s">
        <v>6572</v>
      </c>
      <c r="C2132" s="82"/>
      <c r="D2132" s="82"/>
      <c r="L2132">
        <v>0</v>
      </c>
    </row>
    <row r="2133" spans="2:22" ht="21" customHeight="1" outlineLevel="5" x14ac:dyDescent="0.2">
      <c r="B2133" s="69">
        <v>1556</v>
      </c>
      <c r="C2133" s="6" t="s">
        <v>6573</v>
      </c>
      <c r="D2133" s="6" t="s">
        <v>6574</v>
      </c>
      <c r="E2133" s="7" t="s">
        <v>6575</v>
      </c>
      <c r="F2133" s="13" t="s">
        <v>6544</v>
      </c>
      <c r="G2133" s="14"/>
      <c r="H2133" s="15">
        <v>50</v>
      </c>
      <c r="I2133" s="14"/>
      <c r="J2133" s="15">
        <v>333</v>
      </c>
      <c r="K2133" s="5">
        <v>6</v>
      </c>
      <c r="L2133" s="16">
        <v>73.333333333333329</v>
      </c>
      <c r="M2133" s="12"/>
      <c r="N2133" s="14">
        <f>L2133*M2133</f>
        <v>0</v>
      </c>
      <c r="O2133" s="23">
        <f>0.042*M2133</f>
        <v>0</v>
      </c>
      <c r="P2133" s="24">
        <f>0.00028*M2133</f>
        <v>0</v>
      </c>
      <c r="Q2133" s="25"/>
      <c r="R2133" s="26" t="s">
        <v>6576</v>
      </c>
      <c r="S2133" s="26" t="s">
        <v>29</v>
      </c>
      <c r="T2133" s="6" t="str">
        <f>HYPERLINK("https://kanzpp.ru/api/getInfo/image/334efd21-a3a8-11ed-a22f-00155d82e902")</f>
        <v>https://kanzpp.ru/api/getInfo/image/334efd21-a3a8-11ed-a22f-00155d82e902</v>
      </c>
      <c r="U2133" s="6"/>
      <c r="V2133" s="33" t="s">
        <v>35</v>
      </c>
    </row>
    <row r="2134" spans="2:22" ht="21" customHeight="1" outlineLevel="5" x14ac:dyDescent="0.2">
      <c r="B2134" s="71">
        <v>1557</v>
      </c>
      <c r="C2134" s="37" t="s">
        <v>6577</v>
      </c>
      <c r="D2134" s="37" t="s">
        <v>6578</v>
      </c>
      <c r="E2134" s="38" t="s">
        <v>6579</v>
      </c>
      <c r="F2134" s="39" t="s">
        <v>6544</v>
      </c>
      <c r="G2134" s="40"/>
      <c r="H2134" s="41">
        <v>50</v>
      </c>
      <c r="I2134" s="40"/>
      <c r="J2134" s="41">
        <v>26</v>
      </c>
      <c r="K2134" s="36">
        <v>6</v>
      </c>
      <c r="L2134" s="42">
        <f>(106*(1-O3/100))/0.75</f>
        <v>141.33333333333334</v>
      </c>
      <c r="M2134" s="12"/>
      <c r="N2134" s="40">
        <f>L2134*M2134</f>
        <v>0</v>
      </c>
      <c r="O2134" s="48">
        <f>0.04*M2134</f>
        <v>0</v>
      </c>
      <c r="P2134" s="47">
        <f>0.00023*M2134</f>
        <v>0</v>
      </c>
      <c r="Q2134" s="44"/>
      <c r="R2134" s="45" t="s">
        <v>6580</v>
      </c>
      <c r="S2134" s="45" t="s">
        <v>29</v>
      </c>
      <c r="T2134" s="37" t="str">
        <f>HYPERLINK("https://kanzpp.ru/api/getInfo/image/24b86ba6-a3a7-11ed-a22f-00155d82e902")</f>
        <v>https://kanzpp.ru/api/getInfo/image/24b86ba6-a3a7-11ed-a22f-00155d82e902</v>
      </c>
      <c r="U2134" s="37"/>
    </row>
    <row r="2135" spans="2:22" ht="21" customHeight="1" outlineLevel="5" x14ac:dyDescent="0.2">
      <c r="B2135" s="69">
        <v>1558</v>
      </c>
      <c r="C2135" s="6" t="s">
        <v>6581</v>
      </c>
      <c r="D2135" s="6" t="s">
        <v>6582</v>
      </c>
      <c r="E2135" s="7" t="s">
        <v>6583</v>
      </c>
      <c r="F2135" s="13" t="s">
        <v>6544</v>
      </c>
      <c r="G2135" s="14"/>
      <c r="H2135" s="15">
        <v>50</v>
      </c>
      <c r="I2135" s="14"/>
      <c r="J2135" s="15">
        <v>247</v>
      </c>
      <c r="K2135" s="5">
        <v>6</v>
      </c>
      <c r="L2135" s="16">
        <v>73.333333333333329</v>
      </c>
      <c r="M2135" s="12"/>
      <c r="N2135" s="14">
        <f>L2135*M2135</f>
        <v>0</v>
      </c>
      <c r="O2135" s="23">
        <f>0.042*M2135</f>
        <v>0</v>
      </c>
      <c r="P2135" s="24">
        <f>0.00015*M2135</f>
        <v>0</v>
      </c>
      <c r="Q2135" s="25"/>
      <c r="R2135" s="26" t="s">
        <v>6584</v>
      </c>
      <c r="S2135" s="26" t="s">
        <v>29</v>
      </c>
      <c r="T2135" s="6" t="str">
        <f>HYPERLINK("https://kanzpp.ru/api/getInfo/image/e4245e72-a3a6-11ed-a22f-00155d82e902")</f>
        <v>https://kanzpp.ru/api/getInfo/image/e4245e72-a3a6-11ed-a22f-00155d82e902</v>
      </c>
      <c r="U2135" s="6"/>
      <c r="V2135" s="33" t="s">
        <v>35</v>
      </c>
    </row>
    <row r="2136" spans="2:22" ht="21" customHeight="1" outlineLevel="5" x14ac:dyDescent="0.2">
      <c r="B2136" s="71">
        <v>1559</v>
      </c>
      <c r="C2136" s="37" t="s">
        <v>6585</v>
      </c>
      <c r="D2136" s="37" t="s">
        <v>6586</v>
      </c>
      <c r="E2136" s="38" t="s">
        <v>6587</v>
      </c>
      <c r="F2136" s="39" t="s">
        <v>6544</v>
      </c>
      <c r="G2136" s="40"/>
      <c r="H2136" s="41">
        <v>50</v>
      </c>
      <c r="I2136" s="40"/>
      <c r="J2136" s="41">
        <v>68</v>
      </c>
      <c r="K2136" s="36">
        <v>6</v>
      </c>
      <c r="L2136" s="42">
        <f>(106*(1-O3/100))/0.75</f>
        <v>141.33333333333334</v>
      </c>
      <c r="M2136" s="12"/>
      <c r="N2136" s="40">
        <f>L2136*M2136</f>
        <v>0</v>
      </c>
      <c r="O2136" s="43">
        <f>0.043*M2136</f>
        <v>0</v>
      </c>
      <c r="P2136" s="47">
        <f>0.00053*M2136</f>
        <v>0</v>
      </c>
      <c r="Q2136" s="44"/>
      <c r="R2136" s="45" t="s">
        <v>6588</v>
      </c>
      <c r="S2136" s="45" t="s">
        <v>29</v>
      </c>
      <c r="T2136" s="37" t="str">
        <f>HYPERLINK("https://kanzpp.ru/api/getInfo/image/8c5e3058-a3a7-11ed-a22f-00155d82e902")</f>
        <v>https://kanzpp.ru/api/getInfo/image/8c5e3058-a3a7-11ed-a22f-00155d82e902</v>
      </c>
      <c r="U2136" s="37"/>
    </row>
    <row r="2137" spans="2:22" ht="22.95" customHeight="1" outlineLevel="4" x14ac:dyDescent="0.2">
      <c r="B2137" s="82" t="s">
        <v>6589</v>
      </c>
      <c r="C2137" s="82"/>
      <c r="D2137" s="82"/>
      <c r="L2137">
        <v>0</v>
      </c>
    </row>
    <row r="2138" spans="2:22" ht="21" customHeight="1" outlineLevel="5" x14ac:dyDescent="0.2">
      <c r="B2138" s="69">
        <v>1560</v>
      </c>
      <c r="C2138" s="6" t="s">
        <v>6590</v>
      </c>
      <c r="D2138" s="6" t="s">
        <v>6591</v>
      </c>
      <c r="E2138" s="7" t="s">
        <v>6592</v>
      </c>
      <c r="F2138" s="13" t="s">
        <v>6544</v>
      </c>
      <c r="G2138" s="14"/>
      <c r="H2138" s="15">
        <v>36</v>
      </c>
      <c r="I2138" s="14"/>
      <c r="J2138" s="15">
        <v>140</v>
      </c>
      <c r="K2138" s="5">
        <v>3</v>
      </c>
      <c r="L2138" s="16">
        <v>132</v>
      </c>
      <c r="M2138" s="12"/>
      <c r="N2138" s="14">
        <f t="shared" ref="N2138:N2145" si="96">L2138*M2138</f>
        <v>0</v>
      </c>
      <c r="O2138" s="23">
        <f t="shared" ref="O2138:O2145" si="97">0.042*M2138</f>
        <v>0</v>
      </c>
      <c r="P2138" s="24">
        <f t="shared" ref="P2138:P2145" si="98">0.00064*M2138</f>
        <v>0</v>
      </c>
      <c r="Q2138" s="25"/>
      <c r="R2138" s="26" t="s">
        <v>6593</v>
      </c>
      <c r="S2138" s="26" t="s">
        <v>29</v>
      </c>
      <c r="T2138" s="6" t="str">
        <f>HYPERLINK("https://kanzpp.ru/api/getInfo/image/3aa6de22-e574-11ec-a213-ac1f6b442185")</f>
        <v>https://kanzpp.ru/api/getInfo/image/3aa6de22-e574-11ec-a213-ac1f6b442185</v>
      </c>
      <c r="U2138" s="6"/>
      <c r="V2138" s="33" t="s">
        <v>35</v>
      </c>
    </row>
    <row r="2139" spans="2:22" ht="21" customHeight="1" outlineLevel="5" x14ac:dyDescent="0.2">
      <c r="B2139" s="69">
        <v>1561</v>
      </c>
      <c r="C2139" s="6" t="s">
        <v>6594</v>
      </c>
      <c r="D2139" s="6" t="s">
        <v>6595</v>
      </c>
      <c r="E2139" s="7" t="s">
        <v>6596</v>
      </c>
      <c r="F2139" s="13" t="s">
        <v>6544</v>
      </c>
      <c r="G2139" s="14"/>
      <c r="H2139" s="15">
        <v>36</v>
      </c>
      <c r="I2139" s="14"/>
      <c r="J2139" s="15">
        <v>199</v>
      </c>
      <c r="K2139" s="5">
        <v>3</v>
      </c>
      <c r="L2139" s="16">
        <v>145.33333333333334</v>
      </c>
      <c r="M2139" s="12"/>
      <c r="N2139" s="14">
        <f t="shared" si="96"/>
        <v>0</v>
      </c>
      <c r="O2139" s="23">
        <f t="shared" si="97"/>
        <v>0</v>
      </c>
      <c r="P2139" s="24">
        <f t="shared" si="98"/>
        <v>0</v>
      </c>
      <c r="Q2139" s="25"/>
      <c r="R2139" s="26" t="s">
        <v>6597</v>
      </c>
      <c r="S2139" s="26" t="s">
        <v>29</v>
      </c>
      <c r="T2139" s="6" t="str">
        <f>HYPERLINK("https://kanzpp.ru/api/getInfo/image/a57b495b-e574-11ec-a213-ac1f6b442185")</f>
        <v>https://kanzpp.ru/api/getInfo/image/a57b495b-e574-11ec-a213-ac1f6b442185</v>
      </c>
      <c r="U2139" s="6"/>
      <c r="V2139" s="33" t="s">
        <v>35</v>
      </c>
    </row>
    <row r="2140" spans="2:22" ht="21" customHeight="1" outlineLevel="5" x14ac:dyDescent="0.2">
      <c r="B2140" s="69">
        <v>1562</v>
      </c>
      <c r="C2140" s="6" t="s">
        <v>6598</v>
      </c>
      <c r="D2140" s="6" t="s">
        <v>6599</v>
      </c>
      <c r="E2140" s="7" t="s">
        <v>6600</v>
      </c>
      <c r="F2140" s="13" t="s">
        <v>6544</v>
      </c>
      <c r="G2140" s="14"/>
      <c r="H2140" s="15">
        <v>36</v>
      </c>
      <c r="I2140" s="14"/>
      <c r="J2140" s="15">
        <v>327</v>
      </c>
      <c r="K2140" s="5">
        <v>3</v>
      </c>
      <c r="L2140" s="16">
        <v>145.33333333333334</v>
      </c>
      <c r="M2140" s="12"/>
      <c r="N2140" s="14">
        <f t="shared" si="96"/>
        <v>0</v>
      </c>
      <c r="O2140" s="23">
        <f t="shared" si="97"/>
        <v>0</v>
      </c>
      <c r="P2140" s="24">
        <f t="shared" si="98"/>
        <v>0</v>
      </c>
      <c r="Q2140" s="25"/>
      <c r="R2140" s="26" t="s">
        <v>6601</v>
      </c>
      <c r="S2140" s="26" t="s">
        <v>29</v>
      </c>
      <c r="T2140" s="6" t="str">
        <f>HYPERLINK("https://kanzpp.ru/api/getInfo/image/0f151049-e575-11ec-a213-ac1f6b442185")</f>
        <v>https://kanzpp.ru/api/getInfo/image/0f151049-e575-11ec-a213-ac1f6b442185</v>
      </c>
      <c r="U2140" s="6"/>
      <c r="V2140" s="33" t="s">
        <v>35</v>
      </c>
    </row>
    <row r="2141" spans="2:22" ht="21" customHeight="1" outlineLevel="5" x14ac:dyDescent="0.2">
      <c r="B2141" s="69">
        <v>1563</v>
      </c>
      <c r="C2141" s="6" t="s">
        <v>6602</v>
      </c>
      <c r="D2141" s="6" t="s">
        <v>6603</v>
      </c>
      <c r="E2141" s="7" t="s">
        <v>6604</v>
      </c>
      <c r="F2141" s="13" t="s">
        <v>6544</v>
      </c>
      <c r="G2141" s="14"/>
      <c r="H2141" s="15">
        <v>36</v>
      </c>
      <c r="I2141" s="14"/>
      <c r="J2141" s="15">
        <v>144</v>
      </c>
      <c r="K2141" s="5">
        <v>3</v>
      </c>
      <c r="L2141" s="16">
        <v>132</v>
      </c>
      <c r="M2141" s="12"/>
      <c r="N2141" s="14">
        <f t="shared" si="96"/>
        <v>0</v>
      </c>
      <c r="O2141" s="23">
        <f t="shared" si="97"/>
        <v>0</v>
      </c>
      <c r="P2141" s="24">
        <f t="shared" si="98"/>
        <v>0</v>
      </c>
      <c r="Q2141" s="25"/>
      <c r="R2141" s="26" t="s">
        <v>6605</v>
      </c>
      <c r="S2141" s="26" t="s">
        <v>29</v>
      </c>
      <c r="T2141" s="6" t="str">
        <f>HYPERLINK("https://kanzpp.ru/api/getInfo/image/e978cc4b-e574-11ec-a213-ac1f6b442185")</f>
        <v>https://kanzpp.ru/api/getInfo/image/e978cc4b-e574-11ec-a213-ac1f6b442185</v>
      </c>
      <c r="U2141" s="6"/>
      <c r="V2141" s="33" t="s">
        <v>35</v>
      </c>
    </row>
    <row r="2142" spans="2:22" ht="21" customHeight="1" outlineLevel="5" x14ac:dyDescent="0.2">
      <c r="B2142" s="69">
        <v>1564</v>
      </c>
      <c r="C2142" s="6" t="s">
        <v>6606</v>
      </c>
      <c r="D2142" s="6" t="s">
        <v>6607</v>
      </c>
      <c r="E2142" s="7" t="s">
        <v>6608</v>
      </c>
      <c r="F2142" s="13" t="s">
        <v>6544</v>
      </c>
      <c r="G2142" s="14"/>
      <c r="H2142" s="15">
        <v>36</v>
      </c>
      <c r="I2142" s="14"/>
      <c r="J2142" s="15">
        <v>68</v>
      </c>
      <c r="K2142" s="5">
        <v>3</v>
      </c>
      <c r="L2142" s="16">
        <v>145.33333333333334</v>
      </c>
      <c r="M2142" s="12"/>
      <c r="N2142" s="14">
        <f t="shared" si="96"/>
        <v>0</v>
      </c>
      <c r="O2142" s="23">
        <f t="shared" si="97"/>
        <v>0</v>
      </c>
      <c r="P2142" s="24">
        <f t="shared" si="98"/>
        <v>0</v>
      </c>
      <c r="Q2142" s="25"/>
      <c r="R2142" s="26" t="s">
        <v>6609</v>
      </c>
      <c r="S2142" s="26" t="s">
        <v>29</v>
      </c>
      <c r="T2142" s="6" t="str">
        <f>HYPERLINK("https://kanzpp.ru/api/getInfo/image/7e2aaf38-e574-11ec-a213-ac1f6b442185")</f>
        <v>https://kanzpp.ru/api/getInfo/image/7e2aaf38-e574-11ec-a213-ac1f6b442185</v>
      </c>
      <c r="U2142" s="6"/>
      <c r="V2142" s="33" t="s">
        <v>35</v>
      </c>
    </row>
    <row r="2143" spans="2:22" ht="21" customHeight="1" outlineLevel="5" x14ac:dyDescent="0.2">
      <c r="B2143" s="69">
        <v>1565</v>
      </c>
      <c r="C2143" s="6" t="s">
        <v>6610</v>
      </c>
      <c r="D2143" s="6" t="s">
        <v>6611</v>
      </c>
      <c r="E2143" s="7" t="s">
        <v>6612</v>
      </c>
      <c r="F2143" s="13" t="s">
        <v>6544</v>
      </c>
      <c r="G2143" s="14"/>
      <c r="H2143" s="15">
        <v>36</v>
      </c>
      <c r="I2143" s="14"/>
      <c r="J2143" s="15">
        <v>221</v>
      </c>
      <c r="K2143" s="5">
        <v>3</v>
      </c>
      <c r="L2143" s="16">
        <v>145.33333333333334</v>
      </c>
      <c r="M2143" s="12"/>
      <c r="N2143" s="14">
        <f t="shared" si="96"/>
        <v>0</v>
      </c>
      <c r="O2143" s="23">
        <f t="shared" si="97"/>
        <v>0</v>
      </c>
      <c r="P2143" s="24">
        <f t="shared" si="98"/>
        <v>0</v>
      </c>
      <c r="Q2143" s="25"/>
      <c r="R2143" s="26" t="s">
        <v>6613</v>
      </c>
      <c r="S2143" s="26" t="s">
        <v>29</v>
      </c>
      <c r="T2143" s="6" t="str">
        <f>HYPERLINK("https://kanzpp.ru/api/getInfo/image/0d70a936-e574-11ec-a213-ac1f6b442185")</f>
        <v>https://kanzpp.ru/api/getInfo/image/0d70a936-e574-11ec-a213-ac1f6b442185</v>
      </c>
      <c r="U2143" s="6"/>
      <c r="V2143" s="33" t="s">
        <v>35</v>
      </c>
    </row>
    <row r="2144" spans="2:22" ht="21" customHeight="1" outlineLevel="5" x14ac:dyDescent="0.2">
      <c r="B2144" s="69">
        <v>1566</v>
      </c>
      <c r="C2144" s="6" t="s">
        <v>6614</v>
      </c>
      <c r="D2144" s="6" t="s">
        <v>6615</v>
      </c>
      <c r="E2144" s="7" t="s">
        <v>6616</v>
      </c>
      <c r="F2144" s="13" t="s">
        <v>6544</v>
      </c>
      <c r="G2144" s="14"/>
      <c r="H2144" s="15">
        <v>36</v>
      </c>
      <c r="I2144" s="14"/>
      <c r="J2144" s="15">
        <v>137</v>
      </c>
      <c r="K2144" s="5">
        <v>3</v>
      </c>
      <c r="L2144" s="16">
        <v>145.33333333333334</v>
      </c>
      <c r="M2144" s="12"/>
      <c r="N2144" s="14">
        <f t="shared" si="96"/>
        <v>0</v>
      </c>
      <c r="O2144" s="23">
        <f t="shared" si="97"/>
        <v>0</v>
      </c>
      <c r="P2144" s="24">
        <f t="shared" si="98"/>
        <v>0</v>
      </c>
      <c r="Q2144" s="25"/>
      <c r="R2144" s="26" t="s">
        <v>6617</v>
      </c>
      <c r="S2144" s="26" t="s">
        <v>29</v>
      </c>
      <c r="T2144" s="6" t="str">
        <f>HYPERLINK("https://kanzpp.ru/api/getInfo/image/cf69c94f-e573-11ec-a213-ac1f6b442185")</f>
        <v>https://kanzpp.ru/api/getInfo/image/cf69c94f-e573-11ec-a213-ac1f6b442185</v>
      </c>
      <c r="U2144" s="6"/>
      <c r="V2144" s="33" t="s">
        <v>35</v>
      </c>
    </row>
    <row r="2145" spans="2:22" ht="21" customHeight="1" outlineLevel="5" x14ac:dyDescent="0.2">
      <c r="B2145" s="69">
        <v>1567</v>
      </c>
      <c r="C2145" s="6" t="s">
        <v>6618</v>
      </c>
      <c r="D2145" s="6" t="s">
        <v>6619</v>
      </c>
      <c r="E2145" s="7" t="s">
        <v>6620</v>
      </c>
      <c r="F2145" s="13" t="s">
        <v>6544</v>
      </c>
      <c r="G2145" s="14"/>
      <c r="H2145" s="15">
        <v>36</v>
      </c>
      <c r="I2145" s="14"/>
      <c r="J2145" s="15">
        <v>33</v>
      </c>
      <c r="K2145" s="5">
        <v>3</v>
      </c>
      <c r="L2145" s="16">
        <v>145.33333333333334</v>
      </c>
      <c r="M2145" s="12"/>
      <c r="N2145" s="14">
        <f t="shared" si="96"/>
        <v>0</v>
      </c>
      <c r="O2145" s="23">
        <f t="shared" si="97"/>
        <v>0</v>
      </c>
      <c r="P2145" s="24">
        <f t="shared" si="98"/>
        <v>0</v>
      </c>
      <c r="Q2145" s="25"/>
      <c r="R2145" s="26" t="s">
        <v>6621</v>
      </c>
      <c r="S2145" s="26" t="s">
        <v>29</v>
      </c>
      <c r="T2145" s="6" t="str">
        <f>HYPERLINK("https://kanzpp.ru/api/getInfo/image/5a4a6a8f-e575-11ec-a213-ac1f6b442185")</f>
        <v>https://kanzpp.ru/api/getInfo/image/5a4a6a8f-e575-11ec-a213-ac1f6b442185</v>
      </c>
      <c r="U2145" s="6"/>
      <c r="V2145" s="33" t="s">
        <v>35</v>
      </c>
    </row>
    <row r="2146" spans="2:22" ht="22.95" customHeight="1" outlineLevel="4" x14ac:dyDescent="0.2">
      <c r="B2146" s="82" t="s">
        <v>6622</v>
      </c>
      <c r="C2146" s="82"/>
      <c r="D2146" s="82"/>
      <c r="L2146">
        <v>0</v>
      </c>
    </row>
    <row r="2147" spans="2:22" ht="21" customHeight="1" outlineLevel="5" x14ac:dyDescent="0.2">
      <c r="B2147" s="69">
        <v>1568</v>
      </c>
      <c r="C2147" s="6" t="s">
        <v>6623</v>
      </c>
      <c r="D2147" s="6" t="s">
        <v>6624</v>
      </c>
      <c r="E2147" s="7" t="s">
        <v>6625</v>
      </c>
      <c r="F2147" s="13" t="s">
        <v>6544</v>
      </c>
      <c r="G2147" s="14"/>
      <c r="H2147" s="15">
        <v>50</v>
      </c>
      <c r="I2147" s="14"/>
      <c r="J2147" s="15">
        <v>153</v>
      </c>
      <c r="K2147" s="5">
        <v>3</v>
      </c>
      <c r="L2147" s="16">
        <v>145.33333333333334</v>
      </c>
      <c r="M2147" s="12"/>
      <c r="N2147" s="14">
        <f>L2147*M2147</f>
        <v>0</v>
      </c>
      <c r="O2147" s="23">
        <f>0.046*M2147</f>
        <v>0</v>
      </c>
      <c r="P2147" s="24">
        <f>0.00006*M2147</f>
        <v>0</v>
      </c>
      <c r="Q2147" s="25"/>
      <c r="R2147" s="26" t="s">
        <v>6626</v>
      </c>
      <c r="S2147" s="26" t="s">
        <v>29</v>
      </c>
      <c r="T2147" s="6" t="str">
        <f>HYPERLINK("https://kanzpp.ru/api/getInfo/image/e7ff279d-2297-11ec-a20f-ac1f6b442185")</f>
        <v>https://kanzpp.ru/api/getInfo/image/e7ff279d-2297-11ec-a20f-ac1f6b442185</v>
      </c>
      <c r="U2147" s="6"/>
      <c r="V2147" s="33" t="s">
        <v>35</v>
      </c>
    </row>
    <row r="2148" spans="2:22" ht="21" customHeight="1" outlineLevel="5" x14ac:dyDescent="0.2">
      <c r="B2148" s="69">
        <v>1569</v>
      </c>
      <c r="C2148" s="6" t="s">
        <v>6627</v>
      </c>
      <c r="D2148" s="6" t="s">
        <v>6628</v>
      </c>
      <c r="E2148" s="7" t="s">
        <v>6629</v>
      </c>
      <c r="F2148" s="13" t="s">
        <v>6544</v>
      </c>
      <c r="G2148" s="14"/>
      <c r="H2148" s="15">
        <v>50</v>
      </c>
      <c r="I2148" s="14"/>
      <c r="J2148" s="15">
        <v>116</v>
      </c>
      <c r="K2148" s="5">
        <v>3</v>
      </c>
      <c r="L2148" s="16">
        <v>145.33333333333334</v>
      </c>
      <c r="M2148" s="12"/>
      <c r="N2148" s="14">
        <f>L2148*M2148</f>
        <v>0</v>
      </c>
      <c r="O2148" s="23">
        <f>0.044*M2148</f>
        <v>0</v>
      </c>
      <c r="P2148" s="24">
        <f>0.00036*M2148</f>
        <v>0</v>
      </c>
      <c r="Q2148" s="25"/>
      <c r="R2148" s="26" t="s">
        <v>6630</v>
      </c>
      <c r="S2148" s="26" t="s">
        <v>29</v>
      </c>
      <c r="T2148" s="6" t="str">
        <f>HYPERLINK("https://kanzpp.ru/api/getInfo/image/9806dd71-2298-11ec-a20f-ac1f6b442185")</f>
        <v>https://kanzpp.ru/api/getInfo/image/9806dd71-2298-11ec-a20f-ac1f6b442185</v>
      </c>
      <c r="U2148" s="6"/>
      <c r="V2148" s="33" t="s">
        <v>35</v>
      </c>
    </row>
    <row r="2149" spans="2:22" ht="21" customHeight="1" outlineLevel="5" x14ac:dyDescent="0.2">
      <c r="B2149" s="69">
        <v>1570</v>
      </c>
      <c r="C2149" s="6" t="s">
        <v>6631</v>
      </c>
      <c r="D2149" s="6" t="s">
        <v>6632</v>
      </c>
      <c r="E2149" s="7" t="s">
        <v>6633</v>
      </c>
      <c r="F2149" s="13" t="s">
        <v>6544</v>
      </c>
      <c r="G2149" s="14"/>
      <c r="H2149" s="15">
        <v>50</v>
      </c>
      <c r="I2149" s="14"/>
      <c r="J2149" s="15">
        <v>189</v>
      </c>
      <c r="K2149" s="5">
        <v>3</v>
      </c>
      <c r="L2149" s="16">
        <v>145.33333333333334</v>
      </c>
      <c r="M2149" s="12"/>
      <c r="N2149" s="14">
        <f>L2149*M2149</f>
        <v>0</v>
      </c>
      <c r="O2149" s="28">
        <f>0.04*M2149</f>
        <v>0</v>
      </c>
      <c r="P2149" s="24">
        <f>0.00029*M2149</f>
        <v>0</v>
      </c>
      <c r="Q2149" s="25"/>
      <c r="R2149" s="26" t="s">
        <v>6634</v>
      </c>
      <c r="S2149" s="26" t="s">
        <v>29</v>
      </c>
      <c r="T2149" s="6" t="str">
        <f>HYPERLINK("https://kanzpp.ru/api/getInfo/image/3a405eed-2298-11ec-a20f-ac1f6b442185")</f>
        <v>https://kanzpp.ru/api/getInfo/image/3a405eed-2298-11ec-a20f-ac1f6b442185</v>
      </c>
      <c r="U2149" s="6"/>
      <c r="V2149" s="33" t="s">
        <v>35</v>
      </c>
    </row>
    <row r="2150" spans="2:22" ht="22.95" customHeight="1" outlineLevel="4" x14ac:dyDescent="0.2">
      <c r="B2150" s="82" t="s">
        <v>6635</v>
      </c>
      <c r="C2150" s="82"/>
      <c r="D2150" s="82"/>
      <c r="L2150">
        <v>0</v>
      </c>
    </row>
    <row r="2151" spans="2:22" ht="21" customHeight="1" outlineLevel="5" x14ac:dyDescent="0.2">
      <c r="B2151" s="69">
        <v>1571</v>
      </c>
      <c r="C2151" s="6" t="s">
        <v>6636</v>
      </c>
      <c r="D2151" s="6" t="s">
        <v>6637</v>
      </c>
      <c r="E2151" s="7" t="s">
        <v>6638</v>
      </c>
      <c r="F2151" s="13" t="s">
        <v>6544</v>
      </c>
      <c r="G2151" s="14"/>
      <c r="H2151" s="15">
        <v>40</v>
      </c>
      <c r="I2151" s="14"/>
      <c r="J2151" s="15">
        <v>254</v>
      </c>
      <c r="K2151" s="5">
        <v>5</v>
      </c>
      <c r="L2151" s="16">
        <v>41.160000000000004</v>
      </c>
      <c r="M2151" s="12"/>
      <c r="N2151" s="14">
        <f>L2151*M2151</f>
        <v>0</v>
      </c>
      <c r="O2151" s="23">
        <f>0.058*M2151</f>
        <v>0</v>
      </c>
      <c r="P2151" s="24">
        <f>0.00025*M2151</f>
        <v>0</v>
      </c>
      <c r="Q2151" s="25"/>
      <c r="R2151" s="26" t="s">
        <v>6639</v>
      </c>
      <c r="S2151" s="26" t="s">
        <v>29</v>
      </c>
      <c r="T2151" s="6" t="str">
        <f>HYPERLINK("https://kanzpp.ru/api/getInfo/image/c40c08a5-02b3-11ed-a213-ac1f6b442185")</f>
        <v>https://kanzpp.ru/api/getInfo/image/c40c08a5-02b3-11ed-a213-ac1f6b442185</v>
      </c>
      <c r="U2151" s="6"/>
      <c r="V2151" s="33" t="s">
        <v>35</v>
      </c>
    </row>
    <row r="2152" spans="2:22" ht="21" customHeight="1" outlineLevel="5" x14ac:dyDescent="0.2">
      <c r="B2152" s="69">
        <v>1572</v>
      </c>
      <c r="C2152" s="6" t="s">
        <v>6640</v>
      </c>
      <c r="D2152" s="6" t="s">
        <v>6641</v>
      </c>
      <c r="E2152" s="7" t="s">
        <v>6642</v>
      </c>
      <c r="F2152" s="13" t="s">
        <v>6544</v>
      </c>
      <c r="G2152" s="14"/>
      <c r="H2152" s="15">
        <v>40</v>
      </c>
      <c r="I2152" s="14"/>
      <c r="J2152" s="15">
        <v>165</v>
      </c>
      <c r="K2152" s="5">
        <v>5</v>
      </c>
      <c r="L2152" s="16">
        <v>41.160000000000004</v>
      </c>
      <c r="M2152" s="12"/>
      <c r="N2152" s="14">
        <f>L2152*M2152</f>
        <v>0</v>
      </c>
      <c r="O2152" s="23">
        <f>0.058*M2152</f>
        <v>0</v>
      </c>
      <c r="P2152" s="24">
        <f>0.00025*M2152</f>
        <v>0</v>
      </c>
      <c r="Q2152" s="25"/>
      <c r="R2152" s="26" t="s">
        <v>6643</v>
      </c>
      <c r="S2152" s="26" t="s">
        <v>29</v>
      </c>
      <c r="T2152" s="6" t="str">
        <f>HYPERLINK("https://kanzpp.ru/api/getInfo/image/0b72ef13-02b4-11ed-a213-ac1f6b442185")</f>
        <v>https://kanzpp.ru/api/getInfo/image/0b72ef13-02b4-11ed-a213-ac1f6b442185</v>
      </c>
      <c r="U2152" s="6"/>
      <c r="V2152" s="33" t="s">
        <v>35</v>
      </c>
    </row>
    <row r="2153" spans="2:22" ht="22.95" customHeight="1" outlineLevel="3" x14ac:dyDescent="0.2">
      <c r="B2153" s="81" t="s">
        <v>6644</v>
      </c>
      <c r="C2153" s="81"/>
      <c r="D2153" s="81"/>
      <c r="L2153">
        <v>0</v>
      </c>
    </row>
    <row r="2154" spans="2:22" ht="22.95" customHeight="1" outlineLevel="4" x14ac:dyDescent="0.2">
      <c r="B2154" s="82" t="s">
        <v>6645</v>
      </c>
      <c r="C2154" s="82"/>
      <c r="D2154" s="82"/>
      <c r="L2154">
        <v>0</v>
      </c>
    </row>
    <row r="2155" spans="2:22" ht="21" customHeight="1" outlineLevel="5" x14ac:dyDescent="0.2">
      <c r="B2155" s="69">
        <v>1573</v>
      </c>
      <c r="C2155" s="6" t="s">
        <v>6646</v>
      </c>
      <c r="D2155" s="6" t="s">
        <v>6647</v>
      </c>
      <c r="E2155" s="7" t="s">
        <v>6648</v>
      </c>
      <c r="F2155" s="13" t="s">
        <v>6544</v>
      </c>
      <c r="G2155" s="14"/>
      <c r="H2155" s="15">
        <v>25</v>
      </c>
      <c r="I2155" s="14"/>
      <c r="J2155" s="15">
        <v>11</v>
      </c>
      <c r="K2155" s="5">
        <v>4</v>
      </c>
      <c r="L2155" s="16">
        <v>148.26666666666668</v>
      </c>
      <c r="M2155" s="12"/>
      <c r="N2155" s="14">
        <f>L2155*M2155</f>
        <v>0</v>
      </c>
      <c r="O2155" s="28">
        <f>0.07*M2155</f>
        <v>0</v>
      </c>
      <c r="P2155" s="24">
        <f>0.00059*M2155</f>
        <v>0</v>
      </c>
      <c r="Q2155" s="25"/>
      <c r="R2155" s="26" t="s">
        <v>6649</v>
      </c>
      <c r="S2155" s="26" t="s">
        <v>29</v>
      </c>
      <c r="T2155" s="6" t="str">
        <f>HYPERLINK("https://kanzpp.ru/api/getInfo/image/f96e6c81-de7b-11ed-a233-00155d82e902")</f>
        <v>https://kanzpp.ru/api/getInfo/image/f96e6c81-de7b-11ed-a233-00155d82e902</v>
      </c>
      <c r="U2155" s="6"/>
      <c r="V2155" s="33" t="s">
        <v>35</v>
      </c>
    </row>
    <row r="2156" spans="2:22" ht="21" customHeight="1" outlineLevel="5" x14ac:dyDescent="0.2">
      <c r="B2156" s="69">
        <v>1574</v>
      </c>
      <c r="C2156" s="6" t="s">
        <v>6650</v>
      </c>
      <c r="D2156" s="6" t="s">
        <v>6651</v>
      </c>
      <c r="E2156" s="7" t="s">
        <v>6652</v>
      </c>
      <c r="F2156" s="13" t="s">
        <v>6544</v>
      </c>
      <c r="G2156" s="14"/>
      <c r="H2156" s="15">
        <v>25</v>
      </c>
      <c r="I2156" s="14"/>
      <c r="J2156" s="15">
        <v>14</v>
      </c>
      <c r="K2156" s="5">
        <v>4</v>
      </c>
      <c r="L2156" s="16">
        <v>148.26666666666668</v>
      </c>
      <c r="M2156" s="12"/>
      <c r="N2156" s="14">
        <f>L2156*M2156</f>
        <v>0</v>
      </c>
      <c r="O2156" s="23">
        <f>0.063*M2156</f>
        <v>0</v>
      </c>
      <c r="P2156" s="24">
        <f>0.00028*M2156</f>
        <v>0</v>
      </c>
      <c r="Q2156" s="25"/>
      <c r="R2156" s="26" t="s">
        <v>6653</v>
      </c>
      <c r="S2156" s="26" t="s">
        <v>29</v>
      </c>
      <c r="T2156" s="6" t="str">
        <f>HYPERLINK("https://kanzpp.ru/api/getInfo/image/41d54c84-de7c-11ed-a233-00155d82e902")</f>
        <v>https://kanzpp.ru/api/getInfo/image/41d54c84-de7c-11ed-a233-00155d82e902</v>
      </c>
      <c r="U2156" s="6"/>
      <c r="V2156" s="33" t="s">
        <v>35</v>
      </c>
    </row>
    <row r="2157" spans="2:22" ht="22.95" customHeight="1" outlineLevel="3" x14ac:dyDescent="0.2">
      <c r="B2157" s="81" t="s">
        <v>6654</v>
      </c>
      <c r="C2157" s="81"/>
      <c r="D2157" s="81"/>
      <c r="L2157">
        <v>0</v>
      </c>
    </row>
    <row r="2158" spans="2:22" ht="22.95" customHeight="1" outlineLevel="4" x14ac:dyDescent="0.2">
      <c r="B2158" s="82" t="s">
        <v>6655</v>
      </c>
      <c r="C2158" s="82"/>
      <c r="D2158" s="82"/>
      <c r="L2158">
        <v>0</v>
      </c>
    </row>
    <row r="2159" spans="2:22" ht="21" customHeight="1" outlineLevel="5" x14ac:dyDescent="0.2">
      <c r="B2159" s="69">
        <v>1575</v>
      </c>
      <c r="C2159" s="6" t="s">
        <v>6656</v>
      </c>
      <c r="D2159" s="6" t="s">
        <v>6657</v>
      </c>
      <c r="E2159" s="7" t="s">
        <v>6658</v>
      </c>
      <c r="F2159" s="13" t="s">
        <v>6544</v>
      </c>
      <c r="G2159" s="14"/>
      <c r="H2159" s="15">
        <v>50</v>
      </c>
      <c r="I2159" s="14"/>
      <c r="J2159" s="15">
        <v>301</v>
      </c>
      <c r="K2159" s="5">
        <v>5</v>
      </c>
      <c r="L2159" s="16">
        <v>78.666666666666671</v>
      </c>
      <c r="M2159" s="12"/>
      <c r="N2159" s="14">
        <f t="shared" ref="N2159:N2165" si="99">L2159*M2159</f>
        <v>0</v>
      </c>
      <c r="O2159" s="23">
        <f>0.045*M2159</f>
        <v>0</v>
      </c>
      <c r="P2159" s="24">
        <f>0.00034*M2159</f>
        <v>0</v>
      </c>
      <c r="Q2159" s="25"/>
      <c r="R2159" s="26" t="s">
        <v>6659</v>
      </c>
      <c r="S2159" s="26" t="s">
        <v>29</v>
      </c>
      <c r="T2159" s="6" t="str">
        <f>HYPERLINK("https://kanzpp.ru/api/getInfo/image/790d23b5-bc17-11ed-a230-00155d82e902")</f>
        <v>https://kanzpp.ru/api/getInfo/image/790d23b5-bc17-11ed-a230-00155d82e902</v>
      </c>
      <c r="U2159" s="6"/>
      <c r="V2159" s="33" t="s">
        <v>35</v>
      </c>
    </row>
    <row r="2160" spans="2:22" ht="21" customHeight="1" outlineLevel="5" x14ac:dyDescent="0.2">
      <c r="B2160" s="69">
        <v>1576</v>
      </c>
      <c r="C2160" s="6" t="s">
        <v>6660</v>
      </c>
      <c r="D2160" s="6" t="s">
        <v>6661</v>
      </c>
      <c r="E2160" s="7" t="s">
        <v>6662</v>
      </c>
      <c r="F2160" s="13" t="s">
        <v>6544</v>
      </c>
      <c r="G2160" s="14"/>
      <c r="H2160" s="15">
        <v>50</v>
      </c>
      <c r="I2160" s="14"/>
      <c r="J2160" s="15">
        <v>391</v>
      </c>
      <c r="K2160" s="5">
        <v>5</v>
      </c>
      <c r="L2160" s="16">
        <v>78.666666666666671</v>
      </c>
      <c r="M2160" s="12"/>
      <c r="N2160" s="14">
        <f t="shared" si="99"/>
        <v>0</v>
      </c>
      <c r="O2160" s="23">
        <f>0.016*M2160</f>
        <v>0</v>
      </c>
      <c r="P2160" s="24">
        <f>0.00038*M2160</f>
        <v>0</v>
      </c>
      <c r="Q2160" s="25"/>
      <c r="R2160" s="26" t="s">
        <v>6663</v>
      </c>
      <c r="S2160" s="26" t="s">
        <v>29</v>
      </c>
      <c r="T2160" s="6" t="str">
        <f>HYPERLINK("https://kanzpp.ru/api/getInfo/image/e169928b-bc16-11ed-a230-00155d82e902")</f>
        <v>https://kanzpp.ru/api/getInfo/image/e169928b-bc16-11ed-a230-00155d82e902</v>
      </c>
      <c r="U2160" s="6"/>
      <c r="V2160" s="33" t="s">
        <v>35</v>
      </c>
    </row>
    <row r="2161" spans="2:22" ht="21" customHeight="1" outlineLevel="5" x14ac:dyDescent="0.2">
      <c r="B2161" s="69">
        <v>1577</v>
      </c>
      <c r="C2161" s="6" t="s">
        <v>6664</v>
      </c>
      <c r="D2161" s="6" t="s">
        <v>6665</v>
      </c>
      <c r="E2161" s="7" t="s">
        <v>6666</v>
      </c>
      <c r="F2161" s="13" t="s">
        <v>6544</v>
      </c>
      <c r="G2161" s="14"/>
      <c r="H2161" s="15">
        <v>50</v>
      </c>
      <c r="I2161" s="14"/>
      <c r="J2161" s="15">
        <v>622</v>
      </c>
      <c r="K2161" s="5">
        <v>5</v>
      </c>
      <c r="L2161" s="16">
        <v>78.666666666666671</v>
      </c>
      <c r="M2161" s="12"/>
      <c r="N2161" s="14">
        <f t="shared" si="99"/>
        <v>0</v>
      </c>
      <c r="O2161" s="23">
        <f>0.042*M2161</f>
        <v>0</v>
      </c>
      <c r="P2161" s="31">
        <f>0.0003*M2161</f>
        <v>0</v>
      </c>
      <c r="Q2161" s="25"/>
      <c r="R2161" s="26" t="s">
        <v>6667</v>
      </c>
      <c r="S2161" s="26" t="s">
        <v>29</v>
      </c>
      <c r="T2161" s="6" t="str">
        <f>HYPERLINK("https://kanzpp.ru/api/getInfo/image/3805dcef-bc16-11ed-a230-00155d82e902")</f>
        <v>https://kanzpp.ru/api/getInfo/image/3805dcef-bc16-11ed-a230-00155d82e902</v>
      </c>
      <c r="U2161" s="6"/>
      <c r="V2161" s="33" t="s">
        <v>35</v>
      </c>
    </row>
    <row r="2162" spans="2:22" ht="21" customHeight="1" outlineLevel="5" x14ac:dyDescent="0.2">
      <c r="B2162" s="69">
        <v>1578</v>
      </c>
      <c r="C2162" s="6" t="s">
        <v>6668</v>
      </c>
      <c r="D2162" s="6" t="s">
        <v>6669</v>
      </c>
      <c r="E2162" s="7" t="s">
        <v>6670</v>
      </c>
      <c r="F2162" s="13" t="s">
        <v>6544</v>
      </c>
      <c r="G2162" s="14"/>
      <c r="H2162" s="15">
        <v>50</v>
      </c>
      <c r="I2162" s="14"/>
      <c r="J2162" s="15">
        <v>437</v>
      </c>
      <c r="K2162" s="5">
        <v>5</v>
      </c>
      <c r="L2162" s="16">
        <v>78.666666666666671</v>
      </c>
      <c r="M2162" s="12"/>
      <c r="N2162" s="14">
        <f t="shared" si="99"/>
        <v>0</v>
      </c>
      <c r="O2162" s="23">
        <f>0.043*M2162</f>
        <v>0</v>
      </c>
      <c r="P2162" s="24">
        <f>0.00028*M2162</f>
        <v>0</v>
      </c>
      <c r="Q2162" s="25"/>
      <c r="R2162" s="26" t="s">
        <v>6671</v>
      </c>
      <c r="S2162" s="26" t="s">
        <v>29</v>
      </c>
      <c r="T2162" s="6" t="str">
        <f>HYPERLINK("https://kanzpp.ru/api/getInfo/image/07514812-bc17-11ed-a230-00155d82e902")</f>
        <v>https://kanzpp.ru/api/getInfo/image/07514812-bc17-11ed-a230-00155d82e902</v>
      </c>
      <c r="U2162" s="6"/>
      <c r="V2162" s="33" t="s">
        <v>35</v>
      </c>
    </row>
    <row r="2163" spans="2:22" ht="21" customHeight="1" outlineLevel="5" x14ac:dyDescent="0.2">
      <c r="B2163" s="69">
        <v>1579</v>
      </c>
      <c r="C2163" s="6" t="s">
        <v>6672</v>
      </c>
      <c r="D2163" s="6" t="s">
        <v>6673</v>
      </c>
      <c r="E2163" s="7" t="s">
        <v>6674</v>
      </c>
      <c r="F2163" s="13" t="s">
        <v>6544</v>
      </c>
      <c r="G2163" s="14"/>
      <c r="H2163" s="15">
        <v>50</v>
      </c>
      <c r="I2163" s="14"/>
      <c r="J2163" s="15">
        <v>2</v>
      </c>
      <c r="K2163" s="5">
        <v>2</v>
      </c>
      <c r="L2163" s="16">
        <v>78.666666666666671</v>
      </c>
      <c r="M2163" s="12"/>
      <c r="N2163" s="14">
        <f t="shared" si="99"/>
        <v>0</v>
      </c>
      <c r="O2163" s="23">
        <f>0.039*M2163</f>
        <v>0</v>
      </c>
      <c r="P2163" s="24">
        <f>0.00057*M2163</f>
        <v>0</v>
      </c>
      <c r="Q2163" s="25"/>
      <c r="R2163" s="26" t="s">
        <v>6675</v>
      </c>
      <c r="S2163" s="26" t="s">
        <v>29</v>
      </c>
      <c r="T2163" s="6" t="str">
        <f>HYPERLINK("https://kanzpp.ru/api/getInfo/image/1e856db3-bc18-11ed-a230-00155d82e902")</f>
        <v>https://kanzpp.ru/api/getInfo/image/1e856db3-bc18-11ed-a230-00155d82e902</v>
      </c>
      <c r="U2163" s="6"/>
      <c r="V2163" s="33" t="s">
        <v>35</v>
      </c>
    </row>
    <row r="2164" spans="2:22" ht="21" customHeight="1" outlineLevel="5" x14ac:dyDescent="0.2">
      <c r="B2164" s="69">
        <v>1580</v>
      </c>
      <c r="C2164" s="6" t="s">
        <v>6676</v>
      </c>
      <c r="D2164" s="6" t="s">
        <v>6677</v>
      </c>
      <c r="E2164" s="7" t="s">
        <v>6678</v>
      </c>
      <c r="F2164" s="13" t="s">
        <v>6544</v>
      </c>
      <c r="G2164" s="14"/>
      <c r="H2164" s="15">
        <v>50</v>
      </c>
      <c r="I2164" s="14"/>
      <c r="J2164" s="15">
        <v>489</v>
      </c>
      <c r="K2164" s="5">
        <v>5</v>
      </c>
      <c r="L2164" s="16">
        <v>78.666666666666671</v>
      </c>
      <c r="M2164" s="12"/>
      <c r="N2164" s="14">
        <f t="shared" si="99"/>
        <v>0</v>
      </c>
      <c r="O2164" s="23">
        <f>0.041*M2164</f>
        <v>0</v>
      </c>
      <c r="P2164" s="24">
        <f>0.00049*M2164</f>
        <v>0</v>
      </c>
      <c r="Q2164" s="25"/>
      <c r="R2164" s="26" t="s">
        <v>6679</v>
      </c>
      <c r="S2164" s="26" t="s">
        <v>29</v>
      </c>
      <c r="T2164" s="6" t="str">
        <f>HYPERLINK("https://kanzpp.ru/api/getInfo/image/2cea4b3a-bc17-11ed-a230-00155d82e902")</f>
        <v>https://kanzpp.ru/api/getInfo/image/2cea4b3a-bc17-11ed-a230-00155d82e902</v>
      </c>
      <c r="U2164" s="6"/>
      <c r="V2164" s="33" t="s">
        <v>35</v>
      </c>
    </row>
    <row r="2165" spans="2:22" ht="21" customHeight="1" outlineLevel="5" x14ac:dyDescent="0.2">
      <c r="B2165" s="69">
        <v>1581</v>
      </c>
      <c r="C2165" s="6" t="s">
        <v>6680</v>
      </c>
      <c r="D2165" s="6" t="s">
        <v>6681</v>
      </c>
      <c r="E2165" s="7" t="s">
        <v>6682</v>
      </c>
      <c r="F2165" s="13" t="s">
        <v>6544</v>
      </c>
      <c r="G2165" s="14"/>
      <c r="H2165" s="15">
        <v>50</v>
      </c>
      <c r="I2165" s="14"/>
      <c r="J2165" s="15">
        <v>272</v>
      </c>
      <c r="K2165" s="5">
        <v>5</v>
      </c>
      <c r="L2165" s="16">
        <v>78.666666666666671</v>
      </c>
      <c r="M2165" s="12"/>
      <c r="N2165" s="14">
        <f t="shared" si="99"/>
        <v>0</v>
      </c>
      <c r="O2165" s="23">
        <f>0.046*M2165</f>
        <v>0</v>
      </c>
      <c r="P2165" s="24">
        <f>0.00007*M2165</f>
        <v>0</v>
      </c>
      <c r="Q2165" s="25"/>
      <c r="R2165" s="26" t="s">
        <v>6683</v>
      </c>
      <c r="S2165" s="26" t="s">
        <v>29</v>
      </c>
      <c r="T2165" s="6" t="str">
        <f>HYPERLINK("https://kanzpp.ru/api/getInfo/image/b44ee50a-bc16-11ed-a230-00155d82e902")</f>
        <v>https://kanzpp.ru/api/getInfo/image/b44ee50a-bc16-11ed-a230-00155d82e902</v>
      </c>
      <c r="U2165" s="6"/>
      <c r="V2165" s="33" t="s">
        <v>35</v>
      </c>
    </row>
    <row r="2166" spans="2:22" ht="22.95" customHeight="1" outlineLevel="4" x14ac:dyDescent="0.2">
      <c r="B2166" s="82" t="s">
        <v>6684</v>
      </c>
      <c r="C2166" s="82"/>
      <c r="D2166" s="82"/>
      <c r="L2166">
        <v>0</v>
      </c>
    </row>
    <row r="2167" spans="2:22" ht="21" customHeight="1" outlineLevel="5" x14ac:dyDescent="0.2">
      <c r="B2167" s="69">
        <v>1582</v>
      </c>
      <c r="C2167" s="6" t="s">
        <v>6685</v>
      </c>
      <c r="D2167" s="6" t="s">
        <v>6686</v>
      </c>
      <c r="E2167" s="7" t="s">
        <v>6687</v>
      </c>
      <c r="F2167" s="13" t="s">
        <v>6544</v>
      </c>
      <c r="G2167" s="14"/>
      <c r="H2167" s="15">
        <v>25</v>
      </c>
      <c r="I2167" s="14"/>
      <c r="J2167" s="15">
        <v>72</v>
      </c>
      <c r="K2167" s="5">
        <v>3</v>
      </c>
      <c r="L2167" s="16">
        <v>185.33333333333334</v>
      </c>
      <c r="M2167" s="12"/>
      <c r="N2167" s="14">
        <f>L2167*M2167</f>
        <v>0</v>
      </c>
      <c r="O2167" s="23">
        <f>0.123*M2167</f>
        <v>0</v>
      </c>
      <c r="P2167" s="31">
        <f>0.0015*M2167</f>
        <v>0</v>
      </c>
      <c r="Q2167" s="25"/>
      <c r="R2167" s="26" t="s">
        <v>6688</v>
      </c>
      <c r="S2167" s="26" t="s">
        <v>29</v>
      </c>
      <c r="T2167" s="6" t="str">
        <f>HYPERLINK("https://kanzpp.ru/api/getInfo/image/b6fad53a-285b-11ed-a216-ac1f6b442185")</f>
        <v>https://kanzpp.ru/api/getInfo/image/b6fad53a-285b-11ed-a216-ac1f6b442185</v>
      </c>
      <c r="U2167" s="6"/>
      <c r="V2167" s="33" t="s">
        <v>35</v>
      </c>
    </row>
    <row r="2168" spans="2:22" ht="21" customHeight="1" outlineLevel="5" x14ac:dyDescent="0.2">
      <c r="B2168" s="69">
        <v>1583</v>
      </c>
      <c r="C2168" s="6" t="s">
        <v>6689</v>
      </c>
      <c r="D2168" s="6" t="s">
        <v>6690</v>
      </c>
      <c r="E2168" s="7" t="s">
        <v>6691</v>
      </c>
      <c r="F2168" s="13" t="s">
        <v>6544</v>
      </c>
      <c r="G2168" s="14"/>
      <c r="H2168" s="15">
        <v>25</v>
      </c>
      <c r="I2168" s="14"/>
      <c r="J2168" s="15">
        <v>41</v>
      </c>
      <c r="K2168" s="5">
        <v>3</v>
      </c>
      <c r="L2168" s="16">
        <v>185.33333333333334</v>
      </c>
      <c r="M2168" s="12"/>
      <c r="N2168" s="14">
        <f>L2168*M2168</f>
        <v>0</v>
      </c>
      <c r="O2168" s="28">
        <f>0.09*M2168</f>
        <v>0</v>
      </c>
      <c r="P2168" s="24">
        <f>0.00039*M2168</f>
        <v>0</v>
      </c>
      <c r="Q2168" s="25"/>
      <c r="R2168" s="26" t="s">
        <v>6692</v>
      </c>
      <c r="S2168" s="26" t="s">
        <v>29</v>
      </c>
      <c r="T2168" s="6" t="str">
        <f>HYPERLINK("https://kanzpp.ru/api/getInfo/image/1a508d5f-285c-11ed-a216-ac1f6b442185")</f>
        <v>https://kanzpp.ru/api/getInfo/image/1a508d5f-285c-11ed-a216-ac1f6b442185</v>
      </c>
      <c r="U2168" s="6"/>
      <c r="V2168" s="33" t="s">
        <v>35</v>
      </c>
    </row>
    <row r="2169" spans="2:22" ht="21" customHeight="1" outlineLevel="5" x14ac:dyDescent="0.2">
      <c r="B2169" s="69">
        <v>1584</v>
      </c>
      <c r="C2169" s="6" t="s">
        <v>6693</v>
      </c>
      <c r="D2169" s="6" t="s">
        <v>6694</v>
      </c>
      <c r="E2169" s="7" t="s">
        <v>6695</v>
      </c>
      <c r="F2169" s="13" t="s">
        <v>6544</v>
      </c>
      <c r="G2169" s="14"/>
      <c r="H2169" s="15">
        <v>25</v>
      </c>
      <c r="I2169" s="14"/>
      <c r="J2169" s="15">
        <v>182</v>
      </c>
      <c r="K2169" s="5">
        <v>3</v>
      </c>
      <c r="L2169" s="16">
        <v>185.33333333333334</v>
      </c>
      <c r="M2169" s="12"/>
      <c r="N2169" s="14">
        <f>L2169*M2169</f>
        <v>0</v>
      </c>
      <c r="O2169" s="23">
        <f>0.097*M2169</f>
        <v>0</v>
      </c>
      <c r="P2169" s="24">
        <f>0.00083*M2169</f>
        <v>0</v>
      </c>
      <c r="Q2169" s="25"/>
      <c r="R2169" s="26" t="s">
        <v>6696</v>
      </c>
      <c r="S2169" s="26" t="s">
        <v>29</v>
      </c>
      <c r="T2169" s="6" t="str">
        <f>HYPERLINK("https://kanzpp.ru/api/getInfo/image/3cdea43c-285c-11ed-a216-ac1f6b442185")</f>
        <v>https://kanzpp.ru/api/getInfo/image/3cdea43c-285c-11ed-a216-ac1f6b442185</v>
      </c>
      <c r="U2169" s="6"/>
      <c r="V2169" s="33" t="s">
        <v>35</v>
      </c>
    </row>
    <row r="2170" spans="2:22" ht="21" customHeight="1" outlineLevel="5" x14ac:dyDescent="0.2">
      <c r="B2170" s="69">
        <v>1585</v>
      </c>
      <c r="C2170" s="6" t="s">
        <v>6697</v>
      </c>
      <c r="D2170" s="6" t="s">
        <v>6698</v>
      </c>
      <c r="E2170" s="7" t="s">
        <v>6699</v>
      </c>
      <c r="F2170" s="13" t="s">
        <v>6544</v>
      </c>
      <c r="G2170" s="14"/>
      <c r="H2170" s="15">
        <v>25</v>
      </c>
      <c r="I2170" s="14"/>
      <c r="J2170" s="15">
        <v>86</v>
      </c>
      <c r="K2170" s="5">
        <v>3</v>
      </c>
      <c r="L2170" s="16">
        <v>185.33333333333334</v>
      </c>
      <c r="M2170" s="12"/>
      <c r="N2170" s="14">
        <f>L2170*M2170</f>
        <v>0</v>
      </c>
      <c r="O2170" s="28">
        <f>0.09*M2170</f>
        <v>0</v>
      </c>
      <c r="P2170" s="24">
        <f>0.00045*M2170</f>
        <v>0</v>
      </c>
      <c r="Q2170" s="25"/>
      <c r="R2170" s="26" t="s">
        <v>6700</v>
      </c>
      <c r="S2170" s="26" t="s">
        <v>29</v>
      </c>
      <c r="T2170" s="6" t="str">
        <f>HYPERLINK("https://kanzpp.ru/api/getInfo/image/69c82cc8-285c-11ed-a216-ac1f6b442185")</f>
        <v>https://kanzpp.ru/api/getInfo/image/69c82cc8-285c-11ed-a216-ac1f6b442185</v>
      </c>
      <c r="U2170" s="6"/>
      <c r="V2170" s="33" t="s">
        <v>35</v>
      </c>
    </row>
    <row r="2171" spans="2:22" ht="22.95" customHeight="1" outlineLevel="4" x14ac:dyDescent="0.2">
      <c r="B2171" s="82" t="s">
        <v>6701</v>
      </c>
      <c r="C2171" s="82"/>
      <c r="D2171" s="82"/>
      <c r="L2171">
        <v>0</v>
      </c>
    </row>
    <row r="2172" spans="2:22" ht="21" customHeight="1" outlineLevel="5" x14ac:dyDescent="0.2">
      <c r="B2172" s="69">
        <v>1586</v>
      </c>
      <c r="C2172" s="6" t="s">
        <v>6702</v>
      </c>
      <c r="D2172" s="6" t="s">
        <v>6703</v>
      </c>
      <c r="E2172" s="7" t="s">
        <v>6704</v>
      </c>
      <c r="F2172" s="13" t="s">
        <v>6544</v>
      </c>
      <c r="G2172" s="14"/>
      <c r="H2172" s="15">
        <v>25</v>
      </c>
      <c r="I2172" s="14"/>
      <c r="J2172" s="15">
        <v>401</v>
      </c>
      <c r="K2172" s="5">
        <v>2</v>
      </c>
      <c r="L2172" s="16">
        <v>172</v>
      </c>
      <c r="M2172" s="12"/>
      <c r="N2172" s="14">
        <f>L2172*M2172</f>
        <v>0</v>
      </c>
      <c r="O2172" s="28">
        <f>0.63*M2172</f>
        <v>0</v>
      </c>
      <c r="P2172" s="24">
        <f>0.00113*M2172</f>
        <v>0</v>
      </c>
      <c r="Q2172" s="25"/>
      <c r="R2172" s="26" t="s">
        <v>6705</v>
      </c>
      <c r="S2172" s="26" t="s">
        <v>29</v>
      </c>
      <c r="T2172" s="6" t="str">
        <f>HYPERLINK("https://kanzpp.ru/api/getInfo/image/93d0c4f3-b11b-11ed-a230-00155d82e902")</f>
        <v>https://kanzpp.ru/api/getInfo/image/93d0c4f3-b11b-11ed-a230-00155d82e902</v>
      </c>
      <c r="U2172" s="6"/>
      <c r="V2172" s="33" t="s">
        <v>35</v>
      </c>
    </row>
    <row r="2173" spans="2:22" ht="21" customHeight="1" outlineLevel="5" x14ac:dyDescent="0.2">
      <c r="B2173" s="69">
        <v>1587</v>
      </c>
      <c r="C2173" s="6" t="s">
        <v>6706</v>
      </c>
      <c r="D2173" s="6" t="s">
        <v>6707</v>
      </c>
      <c r="E2173" s="7" t="s">
        <v>6708</v>
      </c>
      <c r="F2173" s="13" t="s">
        <v>6544</v>
      </c>
      <c r="G2173" s="14"/>
      <c r="H2173" s="15">
        <v>25</v>
      </c>
      <c r="I2173" s="14"/>
      <c r="J2173" s="15">
        <v>617</v>
      </c>
      <c r="K2173" s="5">
        <v>2</v>
      </c>
      <c r="L2173" s="16">
        <v>172</v>
      </c>
      <c r="M2173" s="12"/>
      <c r="N2173" s="14">
        <f>L2173*M2173</f>
        <v>0</v>
      </c>
      <c r="O2173" s="28">
        <f>0.06*M2173</f>
        <v>0</v>
      </c>
      <c r="P2173" s="24">
        <f>0.00084*M2173</f>
        <v>0</v>
      </c>
      <c r="Q2173" s="25"/>
      <c r="R2173" s="26" t="s">
        <v>6709</v>
      </c>
      <c r="S2173" s="26" t="s">
        <v>29</v>
      </c>
      <c r="T2173" s="6" t="str">
        <f>HYPERLINK("https://kanzpp.ru/api/getInfo/image/d9dc58e4-b11b-11ed-a230-00155d82e902")</f>
        <v>https://kanzpp.ru/api/getInfo/image/d9dc58e4-b11b-11ed-a230-00155d82e902</v>
      </c>
      <c r="U2173" s="6"/>
      <c r="V2173" s="33" t="s">
        <v>35</v>
      </c>
    </row>
    <row r="2174" spans="2:22" ht="21" customHeight="1" outlineLevel="5" x14ac:dyDescent="0.2">
      <c r="B2174" s="69">
        <v>1588</v>
      </c>
      <c r="C2174" s="6" t="s">
        <v>6710</v>
      </c>
      <c r="D2174" s="6" t="s">
        <v>6711</v>
      </c>
      <c r="E2174" s="7" t="s">
        <v>6712</v>
      </c>
      <c r="F2174" s="13" t="s">
        <v>6544</v>
      </c>
      <c r="G2174" s="14"/>
      <c r="H2174" s="15">
        <v>25</v>
      </c>
      <c r="I2174" s="14"/>
      <c r="J2174" s="15">
        <v>92</v>
      </c>
      <c r="K2174" s="5">
        <v>2</v>
      </c>
      <c r="L2174" s="16">
        <v>172</v>
      </c>
      <c r="M2174" s="12"/>
      <c r="N2174" s="14">
        <f>L2174*M2174</f>
        <v>0</v>
      </c>
      <c r="O2174" s="28">
        <f>0.06*M2174</f>
        <v>0</v>
      </c>
      <c r="P2174" s="24">
        <f>0.00091*M2174</f>
        <v>0</v>
      </c>
      <c r="Q2174" s="25"/>
      <c r="R2174" s="26" t="s">
        <v>6713</v>
      </c>
      <c r="S2174" s="26" t="s">
        <v>29</v>
      </c>
      <c r="T2174" s="6" t="str">
        <f>HYPERLINK("https://kanzpp.ru/api/getInfo/image/fa98cfec-b11b-11ed-a230-00155d82e902")</f>
        <v>https://kanzpp.ru/api/getInfo/image/fa98cfec-b11b-11ed-a230-00155d82e902</v>
      </c>
      <c r="U2174" s="6"/>
      <c r="V2174" s="33" t="s">
        <v>35</v>
      </c>
    </row>
    <row r="2175" spans="2:22" ht="21" customHeight="1" outlineLevel="5" x14ac:dyDescent="0.2">
      <c r="B2175" s="69">
        <v>1589</v>
      </c>
      <c r="C2175" s="6" t="s">
        <v>6714</v>
      </c>
      <c r="D2175" s="6" t="s">
        <v>6715</v>
      </c>
      <c r="E2175" s="7" t="s">
        <v>6716</v>
      </c>
      <c r="F2175" s="13" t="s">
        <v>6544</v>
      </c>
      <c r="G2175" s="14"/>
      <c r="H2175" s="15">
        <v>25</v>
      </c>
      <c r="I2175" s="14"/>
      <c r="J2175" s="15">
        <v>342</v>
      </c>
      <c r="K2175" s="5">
        <v>2</v>
      </c>
      <c r="L2175" s="16">
        <v>172</v>
      </c>
      <c r="M2175" s="12"/>
      <c r="N2175" s="14">
        <f>L2175*M2175</f>
        <v>0</v>
      </c>
      <c r="O2175" s="28">
        <f>0.61*M2175</f>
        <v>0</v>
      </c>
      <c r="P2175" s="24">
        <f>0.00075*M2175</f>
        <v>0</v>
      </c>
      <c r="Q2175" s="25"/>
      <c r="R2175" s="26" t="s">
        <v>6717</v>
      </c>
      <c r="S2175" s="26" t="s">
        <v>29</v>
      </c>
      <c r="T2175" s="6" t="str">
        <f>HYPERLINK("https://kanzpp.ru/api/getInfo/image/1b0dc1d9-b11c-11ed-a230-00155d82e902")</f>
        <v>https://kanzpp.ru/api/getInfo/image/1b0dc1d9-b11c-11ed-a230-00155d82e902</v>
      </c>
      <c r="U2175" s="6"/>
      <c r="V2175" s="33" t="s">
        <v>35</v>
      </c>
    </row>
    <row r="2176" spans="2:22" ht="22.95" customHeight="1" outlineLevel="3" x14ac:dyDescent="0.2">
      <c r="B2176" s="81" t="s">
        <v>6718</v>
      </c>
      <c r="C2176" s="81"/>
      <c r="D2176" s="81"/>
      <c r="L2176">
        <v>0</v>
      </c>
    </row>
    <row r="2177" spans="2:22" ht="22.95" customHeight="1" outlineLevel="4" x14ac:dyDescent="0.2">
      <c r="B2177" s="82" t="s">
        <v>6719</v>
      </c>
      <c r="C2177" s="82"/>
      <c r="D2177" s="82"/>
      <c r="L2177">
        <v>0</v>
      </c>
    </row>
    <row r="2178" spans="2:22" ht="21" customHeight="1" outlineLevel="5" x14ac:dyDescent="0.2">
      <c r="B2178" s="69">
        <v>1590</v>
      </c>
      <c r="C2178" s="6" t="s">
        <v>6720</v>
      </c>
      <c r="D2178" s="6" t="s">
        <v>6721</v>
      </c>
      <c r="E2178" s="7" t="s">
        <v>6722</v>
      </c>
      <c r="F2178" s="13" t="s">
        <v>6544</v>
      </c>
      <c r="G2178" s="14"/>
      <c r="H2178" s="15">
        <v>25</v>
      </c>
      <c r="I2178" s="14"/>
      <c r="J2178" s="15">
        <v>431</v>
      </c>
      <c r="K2178" s="5">
        <v>3</v>
      </c>
      <c r="L2178" s="16">
        <v>92</v>
      </c>
      <c r="M2178" s="12"/>
      <c r="N2178" s="14">
        <f>L2178*M2178</f>
        <v>0</v>
      </c>
      <c r="O2178" s="23">
        <f>0.069*M2178</f>
        <v>0</v>
      </c>
      <c r="P2178" s="31">
        <f>0.0022*M2178</f>
        <v>0</v>
      </c>
      <c r="Q2178" s="25"/>
      <c r="R2178" s="26" t="s">
        <v>6723</v>
      </c>
      <c r="S2178" s="26" t="s">
        <v>29</v>
      </c>
      <c r="T2178" s="6" t="str">
        <f>HYPERLINK("https://kanzpp.ru/api/getInfo/image/8e9da154-2299-11ec-a20f-ac1f6b442185")</f>
        <v>https://kanzpp.ru/api/getInfo/image/8e9da154-2299-11ec-a20f-ac1f6b442185</v>
      </c>
      <c r="U2178" s="6"/>
      <c r="V2178" s="33" t="s">
        <v>35</v>
      </c>
    </row>
    <row r="2179" spans="2:22" ht="21" customHeight="1" outlineLevel="5" x14ac:dyDescent="0.2">
      <c r="B2179" s="69">
        <v>1591</v>
      </c>
      <c r="C2179" s="6" t="s">
        <v>6724</v>
      </c>
      <c r="D2179" s="6" t="s">
        <v>6725</v>
      </c>
      <c r="E2179" s="7" t="s">
        <v>6726</v>
      </c>
      <c r="F2179" s="13" t="s">
        <v>6544</v>
      </c>
      <c r="G2179" s="14"/>
      <c r="H2179" s="15">
        <v>25</v>
      </c>
      <c r="I2179" s="14"/>
      <c r="J2179" s="15">
        <v>474</v>
      </c>
      <c r="K2179" s="5">
        <v>3</v>
      </c>
      <c r="L2179" s="16">
        <v>92</v>
      </c>
      <c r="M2179" s="12"/>
      <c r="N2179" s="14">
        <f>L2179*M2179</f>
        <v>0</v>
      </c>
      <c r="O2179" s="23">
        <f>0.069*M2179</f>
        <v>0</v>
      </c>
      <c r="P2179" s="31">
        <f>0.0022*M2179</f>
        <v>0</v>
      </c>
      <c r="Q2179" s="25"/>
      <c r="R2179" s="26" t="s">
        <v>6727</v>
      </c>
      <c r="S2179" s="26" t="s">
        <v>29</v>
      </c>
      <c r="T2179" s="6" t="str">
        <f>HYPERLINK("https://kanzpp.ru/api/getInfo/image/093c234d-229a-11ec-a20f-ac1f6b442185")</f>
        <v>https://kanzpp.ru/api/getInfo/image/093c234d-229a-11ec-a20f-ac1f6b442185</v>
      </c>
      <c r="U2179" s="6"/>
      <c r="V2179" s="33" t="s">
        <v>35</v>
      </c>
    </row>
    <row r="2180" spans="2:22" ht="21" customHeight="1" outlineLevel="5" x14ac:dyDescent="0.2">
      <c r="B2180" s="69">
        <v>1592</v>
      </c>
      <c r="C2180" s="6" t="s">
        <v>6728</v>
      </c>
      <c r="D2180" s="6" t="s">
        <v>6729</v>
      </c>
      <c r="E2180" s="7" t="s">
        <v>6730</v>
      </c>
      <c r="F2180" s="13" t="s">
        <v>6544</v>
      </c>
      <c r="G2180" s="14"/>
      <c r="H2180" s="15">
        <v>25</v>
      </c>
      <c r="I2180" s="14"/>
      <c r="J2180" s="15">
        <v>443</v>
      </c>
      <c r="K2180" s="5">
        <v>3</v>
      </c>
      <c r="L2180" s="16">
        <v>92</v>
      </c>
      <c r="M2180" s="12"/>
      <c r="N2180" s="14">
        <f>L2180*M2180</f>
        <v>0</v>
      </c>
      <c r="O2180" s="23">
        <f>0.069*M2180</f>
        <v>0</v>
      </c>
      <c r="P2180" s="31">
        <f>0.0022*M2180</f>
        <v>0</v>
      </c>
      <c r="Q2180" s="25"/>
      <c r="R2180" s="26" t="s">
        <v>6731</v>
      </c>
      <c r="S2180" s="26" t="s">
        <v>29</v>
      </c>
      <c r="T2180" s="6" t="str">
        <f>HYPERLINK("https://kanzpp.ru/api/getInfo/image/5fae600f-229a-11ec-a20f-ac1f6b442185")</f>
        <v>https://kanzpp.ru/api/getInfo/image/5fae600f-229a-11ec-a20f-ac1f6b442185</v>
      </c>
      <c r="U2180" s="6"/>
      <c r="V2180" s="33" t="s">
        <v>35</v>
      </c>
    </row>
    <row r="2181" spans="2:22" ht="21" customHeight="1" outlineLevel="5" x14ac:dyDescent="0.2">
      <c r="B2181" s="69">
        <v>1593</v>
      </c>
      <c r="C2181" s="6" t="s">
        <v>6732</v>
      </c>
      <c r="D2181" s="6" t="s">
        <v>6733</v>
      </c>
      <c r="E2181" s="7" t="s">
        <v>6734</v>
      </c>
      <c r="F2181" s="13" t="s">
        <v>6544</v>
      </c>
      <c r="G2181" s="14"/>
      <c r="H2181" s="15">
        <v>25</v>
      </c>
      <c r="I2181" s="14"/>
      <c r="J2181" s="15">
        <v>483</v>
      </c>
      <c r="K2181" s="5">
        <v>3</v>
      </c>
      <c r="L2181" s="16">
        <v>92</v>
      </c>
      <c r="M2181" s="12"/>
      <c r="N2181" s="14">
        <f>L2181*M2181</f>
        <v>0</v>
      </c>
      <c r="O2181" s="23">
        <f>0.069*M2181</f>
        <v>0</v>
      </c>
      <c r="P2181" s="31">
        <f>0.0022*M2181</f>
        <v>0</v>
      </c>
      <c r="Q2181" s="25"/>
      <c r="R2181" s="26" t="s">
        <v>6735</v>
      </c>
      <c r="S2181" s="26" t="s">
        <v>29</v>
      </c>
      <c r="T2181" s="6" t="str">
        <f>HYPERLINK("https://kanzpp.ru/api/getInfo/image/91903404-229a-11ec-a20f-ac1f6b442185")</f>
        <v>https://kanzpp.ru/api/getInfo/image/91903404-229a-11ec-a20f-ac1f6b442185</v>
      </c>
      <c r="U2181" s="6"/>
      <c r="V2181" s="33" t="s">
        <v>35</v>
      </c>
    </row>
    <row r="2182" spans="2:22" ht="22.95" customHeight="1" outlineLevel="2" x14ac:dyDescent="0.2">
      <c r="B2182" s="80" t="s">
        <v>6736</v>
      </c>
      <c r="C2182" s="80"/>
      <c r="D2182" s="80"/>
      <c r="L2182">
        <v>0</v>
      </c>
    </row>
    <row r="2183" spans="2:22" ht="22.95" customHeight="1" outlineLevel="3" x14ac:dyDescent="0.2">
      <c r="B2183" s="81" t="s">
        <v>6737</v>
      </c>
      <c r="C2183" s="81"/>
      <c r="D2183" s="81"/>
      <c r="L2183">
        <v>0</v>
      </c>
    </row>
    <row r="2184" spans="2:22" ht="21" customHeight="1" outlineLevel="4" x14ac:dyDescent="0.2">
      <c r="B2184" s="69">
        <v>1594</v>
      </c>
      <c r="C2184" s="6" t="s">
        <v>6738</v>
      </c>
      <c r="D2184" s="6" t="s">
        <v>6739</v>
      </c>
      <c r="E2184" s="7" t="s">
        <v>6740</v>
      </c>
      <c r="F2184" s="13"/>
      <c r="G2184" s="14"/>
      <c r="H2184" s="15">
        <v>20</v>
      </c>
      <c r="I2184" s="14"/>
      <c r="J2184" s="15">
        <v>332</v>
      </c>
      <c r="K2184" s="5">
        <v>2</v>
      </c>
      <c r="L2184" s="16">
        <v>212</v>
      </c>
      <c r="M2184" s="12"/>
      <c r="N2184" s="14">
        <f t="shared" ref="N2184:N2193" si="100">L2184*M2184</f>
        <v>0</v>
      </c>
      <c r="O2184" s="28">
        <f>0.19*M2184</f>
        <v>0</v>
      </c>
      <c r="P2184" s="24">
        <f>0.00252*M2184</f>
        <v>0</v>
      </c>
      <c r="Q2184" s="25"/>
      <c r="R2184" s="26" t="s">
        <v>6741</v>
      </c>
      <c r="S2184" s="26" t="s">
        <v>29</v>
      </c>
      <c r="T2184" s="6" t="str">
        <f>HYPERLINK("https://kanzpp.ru/api/getInfo/image/8a0d1952-229c-11ec-a20f-ac1f6b442185")</f>
        <v>https://kanzpp.ru/api/getInfo/image/8a0d1952-229c-11ec-a20f-ac1f6b442185</v>
      </c>
      <c r="U2184" s="6"/>
      <c r="V2184" s="33" t="s">
        <v>35</v>
      </c>
    </row>
    <row r="2185" spans="2:22" ht="21" customHeight="1" outlineLevel="4" x14ac:dyDescent="0.2">
      <c r="B2185" s="69">
        <v>1595</v>
      </c>
      <c r="C2185" s="6" t="s">
        <v>6742</v>
      </c>
      <c r="D2185" s="6" t="s">
        <v>6743</v>
      </c>
      <c r="E2185" s="7" t="s">
        <v>6744</v>
      </c>
      <c r="F2185" s="13"/>
      <c r="G2185" s="14"/>
      <c r="H2185" s="15">
        <v>20</v>
      </c>
      <c r="I2185" s="14"/>
      <c r="J2185" s="15">
        <v>5</v>
      </c>
      <c r="K2185" s="5">
        <v>2</v>
      </c>
      <c r="L2185" s="16">
        <v>212</v>
      </c>
      <c r="M2185" s="12"/>
      <c r="N2185" s="14">
        <f t="shared" si="100"/>
        <v>0</v>
      </c>
      <c r="O2185" s="28">
        <f>0.19*M2185</f>
        <v>0</v>
      </c>
      <c r="P2185" s="24">
        <f>0.00252*M2185</f>
        <v>0</v>
      </c>
      <c r="Q2185" s="25"/>
      <c r="R2185" s="26" t="s">
        <v>6745</v>
      </c>
      <c r="S2185" s="26" t="s">
        <v>29</v>
      </c>
      <c r="T2185" s="6" t="str">
        <f>HYPERLINK("https://kanzpp.ru/api/getInfo/image/3f1d420a-229c-11ec-a20f-ac1f6b442185")</f>
        <v>https://kanzpp.ru/api/getInfo/image/3f1d420a-229c-11ec-a20f-ac1f6b442185</v>
      </c>
      <c r="U2185" s="6"/>
      <c r="V2185" s="33" t="s">
        <v>35</v>
      </c>
    </row>
    <row r="2186" spans="2:22" ht="21" customHeight="1" outlineLevel="4" x14ac:dyDescent="0.2">
      <c r="B2186" s="69">
        <v>1596</v>
      </c>
      <c r="C2186" s="6" t="s">
        <v>6746</v>
      </c>
      <c r="D2186" s="6" t="s">
        <v>6747</v>
      </c>
      <c r="E2186" s="7" t="s">
        <v>6748</v>
      </c>
      <c r="F2186" s="13"/>
      <c r="G2186" s="14"/>
      <c r="H2186" s="15">
        <v>20</v>
      </c>
      <c r="I2186" s="14"/>
      <c r="J2186" s="15">
        <v>275</v>
      </c>
      <c r="K2186" s="5">
        <v>2</v>
      </c>
      <c r="L2186" s="16">
        <v>212</v>
      </c>
      <c r="M2186" s="12"/>
      <c r="N2186" s="14">
        <f t="shared" si="100"/>
        <v>0</v>
      </c>
      <c r="O2186" s="28">
        <f>0.19*M2186</f>
        <v>0</v>
      </c>
      <c r="P2186" s="24">
        <f>0.00252*M2186</f>
        <v>0</v>
      </c>
      <c r="Q2186" s="25"/>
      <c r="R2186" s="26" t="s">
        <v>6749</v>
      </c>
      <c r="S2186" s="26" t="s">
        <v>29</v>
      </c>
      <c r="T2186" s="6" t="str">
        <f>HYPERLINK("https://kanzpp.ru/api/getInfo/image/bb6243a5-229c-11ec-a20f-ac1f6b442185")</f>
        <v>https://kanzpp.ru/api/getInfo/image/bb6243a5-229c-11ec-a20f-ac1f6b442185</v>
      </c>
      <c r="U2186" s="6"/>
      <c r="V2186" s="33" t="s">
        <v>35</v>
      </c>
    </row>
    <row r="2187" spans="2:22" ht="21" customHeight="1" outlineLevel="4" x14ac:dyDescent="0.2">
      <c r="B2187" s="70">
        <v>1597</v>
      </c>
      <c r="C2187" s="3" t="s">
        <v>6750</v>
      </c>
      <c r="D2187" s="3" t="s">
        <v>6751</v>
      </c>
      <c r="E2187" s="4" t="s">
        <v>6752</v>
      </c>
      <c r="F2187" s="8"/>
      <c r="G2187" s="9"/>
      <c r="H2187" s="10">
        <v>20</v>
      </c>
      <c r="I2187" s="9"/>
      <c r="J2187" s="10">
        <v>10</v>
      </c>
      <c r="K2187" s="2">
        <v>1</v>
      </c>
      <c r="L2187" s="18">
        <v>132.73333333333332</v>
      </c>
      <c r="M2187" s="12"/>
      <c r="N2187" s="9">
        <f t="shared" si="100"/>
        <v>0</v>
      </c>
      <c r="O2187" s="11">
        <f>0.17*M2187</f>
        <v>0</v>
      </c>
      <c r="P2187" s="30">
        <f>0.00245*M2187</f>
        <v>0</v>
      </c>
      <c r="Q2187" s="21"/>
      <c r="R2187" s="22"/>
      <c r="S2187" s="22" t="s">
        <v>29</v>
      </c>
      <c r="T2187" s="3" t="str">
        <f>HYPERLINK("https://kanzpp.ru/api/getInfo/image/c4acad73-0d16-11ef-a25d-00155d82e908")</f>
        <v>https://kanzpp.ru/api/getInfo/image/c4acad73-0d16-11ef-a25d-00155d82e908</v>
      </c>
      <c r="U2187" s="3" t="s">
        <v>6753</v>
      </c>
      <c r="V2187" s="32" t="s">
        <v>30</v>
      </c>
    </row>
    <row r="2188" spans="2:22" ht="21" customHeight="1" outlineLevel="4" x14ac:dyDescent="0.2">
      <c r="B2188" s="69">
        <v>1598</v>
      </c>
      <c r="C2188" s="6" t="s">
        <v>6754</v>
      </c>
      <c r="D2188" s="6" t="s">
        <v>6755</v>
      </c>
      <c r="E2188" s="7" t="s">
        <v>6752</v>
      </c>
      <c r="F2188" s="13"/>
      <c r="G2188" s="14"/>
      <c r="H2188" s="15">
        <v>20</v>
      </c>
      <c r="I2188" s="14"/>
      <c r="J2188" s="15">
        <v>586</v>
      </c>
      <c r="K2188" s="5">
        <v>2</v>
      </c>
      <c r="L2188" s="16">
        <v>212</v>
      </c>
      <c r="M2188" s="12"/>
      <c r="N2188" s="14">
        <f t="shared" si="100"/>
        <v>0</v>
      </c>
      <c r="O2188" s="23">
        <f>0.178*M2188</f>
        <v>0</v>
      </c>
      <c r="P2188" s="24">
        <f>0.00315*M2188</f>
        <v>0</v>
      </c>
      <c r="Q2188" s="25"/>
      <c r="R2188" s="26" t="s">
        <v>6753</v>
      </c>
      <c r="S2188" s="26" t="s">
        <v>29</v>
      </c>
      <c r="T2188" s="6" t="str">
        <f>HYPERLINK("https://kanzpp.ru/api/getInfo/image/3bb8419e-5469-11ed-a21e-ac1f6b442185")</f>
        <v>https://kanzpp.ru/api/getInfo/image/3bb8419e-5469-11ed-a21e-ac1f6b442185</v>
      </c>
      <c r="U2188" s="6"/>
      <c r="V2188" s="33" t="s">
        <v>35</v>
      </c>
    </row>
    <row r="2189" spans="2:22" ht="21" customHeight="1" outlineLevel="4" x14ac:dyDescent="0.2">
      <c r="B2189" s="69">
        <v>1599</v>
      </c>
      <c r="C2189" s="6" t="s">
        <v>6756</v>
      </c>
      <c r="D2189" s="6" t="s">
        <v>6757</v>
      </c>
      <c r="E2189" s="7" t="s">
        <v>6758</v>
      </c>
      <c r="F2189" s="13"/>
      <c r="G2189" s="14"/>
      <c r="H2189" s="15">
        <v>20</v>
      </c>
      <c r="I2189" s="14"/>
      <c r="J2189" s="15">
        <v>217</v>
      </c>
      <c r="K2189" s="5">
        <v>2</v>
      </c>
      <c r="L2189" s="16">
        <v>212</v>
      </c>
      <c r="M2189" s="12"/>
      <c r="N2189" s="14">
        <f t="shared" si="100"/>
        <v>0</v>
      </c>
      <c r="O2189" s="23">
        <f>0.173*M2189</f>
        <v>0</v>
      </c>
      <c r="P2189" s="24">
        <f>0.00357*M2189</f>
        <v>0</v>
      </c>
      <c r="Q2189" s="25"/>
      <c r="R2189" s="26" t="s">
        <v>6759</v>
      </c>
      <c r="S2189" s="26" t="s">
        <v>29</v>
      </c>
      <c r="T2189" s="6" t="str">
        <f>HYPERLINK("https://kanzpp.ru/api/getInfo/image/7362a3cb-54f1-11ed-a21e-ac1f6b442185")</f>
        <v>https://kanzpp.ru/api/getInfo/image/7362a3cb-54f1-11ed-a21e-ac1f6b442185</v>
      </c>
      <c r="U2189" s="6"/>
      <c r="V2189" s="33" t="s">
        <v>35</v>
      </c>
    </row>
    <row r="2190" spans="2:22" ht="21" customHeight="1" outlineLevel="4" x14ac:dyDescent="0.2">
      <c r="B2190" s="69">
        <v>1600</v>
      </c>
      <c r="C2190" s="6" t="s">
        <v>6760</v>
      </c>
      <c r="D2190" s="6" t="s">
        <v>6757</v>
      </c>
      <c r="E2190" s="7" t="s">
        <v>6758</v>
      </c>
      <c r="F2190" s="13"/>
      <c r="G2190" s="14"/>
      <c r="H2190" s="15">
        <v>60</v>
      </c>
      <c r="I2190" s="14"/>
      <c r="J2190" s="15">
        <v>48</v>
      </c>
      <c r="K2190" s="5">
        <v>2</v>
      </c>
      <c r="L2190" s="16">
        <v>212</v>
      </c>
      <c r="M2190" s="12"/>
      <c r="N2190" s="14">
        <f t="shared" si="100"/>
        <v>0</v>
      </c>
      <c r="O2190" s="23">
        <f>0.179*M2190</f>
        <v>0</v>
      </c>
      <c r="P2190" s="24">
        <f>0.07554*M2190</f>
        <v>0</v>
      </c>
      <c r="Q2190" s="25"/>
      <c r="R2190" s="26"/>
      <c r="S2190" s="26" t="s">
        <v>29</v>
      </c>
      <c r="T2190" s="6" t="str">
        <f>HYPERLINK("https://kanzpp.ru/api/getInfo/image/1d7d1097-6cf3-11ee-a247-00155d82e902")</f>
        <v>https://kanzpp.ru/api/getInfo/image/1d7d1097-6cf3-11ee-a247-00155d82e902</v>
      </c>
      <c r="U2190" s="6" t="s">
        <v>6759</v>
      </c>
      <c r="V2190" s="33" t="s">
        <v>35</v>
      </c>
    </row>
    <row r="2191" spans="2:22" ht="21" customHeight="1" outlineLevel="4" x14ac:dyDescent="0.2">
      <c r="B2191" s="69">
        <v>1601</v>
      </c>
      <c r="C2191" s="6" t="s">
        <v>6761</v>
      </c>
      <c r="D2191" s="6" t="s">
        <v>6762</v>
      </c>
      <c r="E2191" s="7" t="s">
        <v>6763</v>
      </c>
      <c r="F2191" s="13"/>
      <c r="G2191" s="14"/>
      <c r="H2191" s="15">
        <v>20</v>
      </c>
      <c r="I2191" s="14"/>
      <c r="J2191" s="15">
        <v>865</v>
      </c>
      <c r="K2191" s="5">
        <v>2</v>
      </c>
      <c r="L2191" s="16">
        <v>212</v>
      </c>
      <c r="M2191" s="12"/>
      <c r="N2191" s="14">
        <f t="shared" si="100"/>
        <v>0</v>
      </c>
      <c r="O2191" s="28">
        <f>0.17*M2191</f>
        <v>0</v>
      </c>
      <c r="P2191" s="24">
        <f>0.00196*M2191</f>
        <v>0</v>
      </c>
      <c r="Q2191" s="25"/>
      <c r="R2191" s="26" t="s">
        <v>6764</v>
      </c>
      <c r="S2191" s="26" t="s">
        <v>29</v>
      </c>
      <c r="T2191" s="6" t="str">
        <f>HYPERLINK("https://kanzpp.ru/api/getInfo/image/a244b131-54f1-11ed-a21e-ac1f6b442185")</f>
        <v>https://kanzpp.ru/api/getInfo/image/a244b131-54f1-11ed-a21e-ac1f6b442185</v>
      </c>
      <c r="U2191" s="6"/>
      <c r="V2191" s="33" t="s">
        <v>35</v>
      </c>
    </row>
    <row r="2192" spans="2:22" ht="21" customHeight="1" outlineLevel="4" x14ac:dyDescent="0.2">
      <c r="B2192" s="69">
        <v>1602</v>
      </c>
      <c r="C2192" s="6" t="s">
        <v>6765</v>
      </c>
      <c r="D2192" s="6" t="s">
        <v>6766</v>
      </c>
      <c r="E2192" s="7" t="s">
        <v>6767</v>
      </c>
      <c r="F2192" s="13"/>
      <c r="G2192" s="14"/>
      <c r="H2192" s="15">
        <v>20</v>
      </c>
      <c r="I2192" s="14"/>
      <c r="J2192" s="15">
        <v>810</v>
      </c>
      <c r="K2192" s="5">
        <v>2</v>
      </c>
      <c r="L2192" s="16">
        <v>212</v>
      </c>
      <c r="M2192" s="12"/>
      <c r="N2192" s="14">
        <f t="shared" si="100"/>
        <v>0</v>
      </c>
      <c r="O2192" s="23">
        <f>0.175*M2192</f>
        <v>0</v>
      </c>
      <c r="P2192" s="24">
        <f>0.00493*M2192</f>
        <v>0</v>
      </c>
      <c r="Q2192" s="25"/>
      <c r="R2192" s="26" t="s">
        <v>6768</v>
      </c>
      <c r="S2192" s="26" t="s">
        <v>29</v>
      </c>
      <c r="T2192" s="6" t="str">
        <f>HYPERLINK("https://kanzpp.ru/api/getInfo/image/fdcef331-54f1-11ed-a21e-ac1f6b442185")</f>
        <v>https://kanzpp.ru/api/getInfo/image/fdcef331-54f1-11ed-a21e-ac1f6b442185</v>
      </c>
      <c r="U2192" s="6"/>
      <c r="V2192" s="33" t="s">
        <v>35</v>
      </c>
    </row>
    <row r="2193" spans="2:22" ht="21" customHeight="1" outlineLevel="4" x14ac:dyDescent="0.2">
      <c r="B2193" s="69">
        <v>1603</v>
      </c>
      <c r="C2193" s="6" t="s">
        <v>6769</v>
      </c>
      <c r="D2193" s="6" t="s">
        <v>6770</v>
      </c>
      <c r="E2193" s="7" t="s">
        <v>6771</v>
      </c>
      <c r="F2193" s="13"/>
      <c r="G2193" s="14"/>
      <c r="H2193" s="15">
        <v>20</v>
      </c>
      <c r="I2193" s="14"/>
      <c r="J2193" s="15">
        <v>516</v>
      </c>
      <c r="K2193" s="5">
        <v>2</v>
      </c>
      <c r="L2193" s="16">
        <v>212</v>
      </c>
      <c r="M2193" s="12"/>
      <c r="N2193" s="14">
        <f t="shared" si="100"/>
        <v>0</v>
      </c>
      <c r="O2193" s="28">
        <f>0.16*M2193</f>
        <v>0</v>
      </c>
      <c r="P2193" s="24">
        <f>0.00249*M2193</f>
        <v>0</v>
      </c>
      <c r="Q2193" s="25"/>
      <c r="R2193" s="26" t="s">
        <v>6772</v>
      </c>
      <c r="S2193" s="26" t="s">
        <v>29</v>
      </c>
      <c r="T2193" s="6" t="str">
        <f>HYPERLINK("https://kanzpp.ru/api/getInfo/image/2c2dee82-54f2-11ed-a21e-ac1f6b442185")</f>
        <v>https://kanzpp.ru/api/getInfo/image/2c2dee82-54f2-11ed-a21e-ac1f6b442185</v>
      </c>
      <c r="U2193" s="6"/>
      <c r="V2193" s="33" t="s">
        <v>35</v>
      </c>
    </row>
    <row r="2194" spans="2:22" ht="22.95" customHeight="1" outlineLevel="3" x14ac:dyDescent="0.2">
      <c r="B2194" s="81" t="s">
        <v>6773</v>
      </c>
      <c r="C2194" s="81"/>
      <c r="D2194" s="81"/>
      <c r="L2194">
        <v>0</v>
      </c>
    </row>
    <row r="2195" spans="2:22" ht="21" customHeight="1" outlineLevel="4" x14ac:dyDescent="0.2">
      <c r="B2195" s="69">
        <v>1604</v>
      </c>
      <c r="C2195" s="6" t="s">
        <v>6774</v>
      </c>
      <c r="D2195" s="6" t="s">
        <v>6775</v>
      </c>
      <c r="E2195" s="7" t="s">
        <v>6776</v>
      </c>
      <c r="F2195" s="13"/>
      <c r="G2195" s="14"/>
      <c r="H2195" s="15">
        <v>50</v>
      </c>
      <c r="I2195" s="14"/>
      <c r="J2195" s="15">
        <v>809</v>
      </c>
      <c r="K2195" s="5">
        <v>2</v>
      </c>
      <c r="L2195" s="16">
        <v>212</v>
      </c>
      <c r="M2195" s="12"/>
      <c r="N2195" s="14">
        <f>L2195*M2195</f>
        <v>0</v>
      </c>
      <c r="O2195" s="23">
        <f>0.173*M2195</f>
        <v>0</v>
      </c>
      <c r="P2195" s="31">
        <f>0.0061*M2195</f>
        <v>0</v>
      </c>
      <c r="Q2195" s="25"/>
      <c r="R2195" s="26" t="s">
        <v>6777</v>
      </c>
      <c r="S2195" s="26" t="s">
        <v>93</v>
      </c>
      <c r="T2195" s="6" t="str">
        <f>HYPERLINK("https://kanzpp.ru/api/getInfo/image/583cebc2-19ca-11ef-a25d-00155d82e908")</f>
        <v>https://kanzpp.ru/api/getInfo/image/583cebc2-19ca-11ef-a25d-00155d82e908</v>
      </c>
      <c r="U2195" s="6"/>
      <c r="V2195" s="33" t="s">
        <v>35</v>
      </c>
    </row>
    <row r="2196" spans="2:22" ht="21" customHeight="1" outlineLevel="4" x14ac:dyDescent="0.2">
      <c r="B2196" s="69">
        <v>1605</v>
      </c>
      <c r="C2196" s="6" t="s">
        <v>6778</v>
      </c>
      <c r="D2196" s="6" t="s">
        <v>6779</v>
      </c>
      <c r="E2196" s="7" t="s">
        <v>6780</v>
      </c>
      <c r="F2196" s="13"/>
      <c r="G2196" s="14"/>
      <c r="H2196" s="15">
        <v>50</v>
      </c>
      <c r="I2196" s="14"/>
      <c r="J2196" s="15">
        <v>44</v>
      </c>
      <c r="K2196" s="5">
        <v>2</v>
      </c>
      <c r="L2196" s="16">
        <v>212</v>
      </c>
      <c r="M2196" s="12"/>
      <c r="N2196" s="14">
        <f>L2196*M2196</f>
        <v>0</v>
      </c>
      <c r="O2196" s="23">
        <f>0.198*M2196</f>
        <v>0</v>
      </c>
      <c r="P2196" s="24">
        <f>0.00496*M2196</f>
        <v>0</v>
      </c>
      <c r="Q2196" s="25"/>
      <c r="R2196" s="26" t="s">
        <v>6781</v>
      </c>
      <c r="S2196" s="26" t="s">
        <v>93</v>
      </c>
      <c r="T2196" s="6" t="str">
        <f>HYPERLINK("https://kanzpp.ru/api/getInfo/image/29fa9869-19ca-11ef-a25d-00155d82e908")</f>
        <v>https://kanzpp.ru/api/getInfo/image/29fa9869-19ca-11ef-a25d-00155d82e908</v>
      </c>
      <c r="U2196" s="6"/>
      <c r="V2196" s="33" t="s">
        <v>35</v>
      </c>
    </row>
    <row r="2197" spans="2:22" ht="21" customHeight="1" outlineLevel="4" x14ac:dyDescent="0.2">
      <c r="B2197" s="69">
        <v>1606</v>
      </c>
      <c r="C2197" s="6" t="s">
        <v>6782</v>
      </c>
      <c r="D2197" s="6" t="s">
        <v>6783</v>
      </c>
      <c r="E2197" s="7" t="s">
        <v>6784</v>
      </c>
      <c r="F2197" s="13"/>
      <c r="G2197" s="14"/>
      <c r="H2197" s="15">
        <v>50</v>
      </c>
      <c r="I2197" s="14"/>
      <c r="J2197" s="15">
        <v>2</v>
      </c>
      <c r="K2197" s="5">
        <v>2</v>
      </c>
      <c r="L2197" s="16">
        <v>212</v>
      </c>
      <c r="M2197" s="12"/>
      <c r="N2197" s="14">
        <f>L2197*M2197</f>
        <v>0</v>
      </c>
      <c r="O2197" s="23">
        <f>0.171*M2197</f>
        <v>0</v>
      </c>
      <c r="P2197" s="24">
        <f>0.00494*M2197</f>
        <v>0</v>
      </c>
      <c r="Q2197" s="25"/>
      <c r="R2197" s="26" t="s">
        <v>6785</v>
      </c>
      <c r="S2197" s="26" t="s">
        <v>93</v>
      </c>
      <c r="T2197" s="6" t="str">
        <f>HYPERLINK("https://kanzpp.ru/api/getInfo/image/94f5e977-19ca-11ef-a25d-00155d82e908")</f>
        <v>https://kanzpp.ru/api/getInfo/image/94f5e977-19ca-11ef-a25d-00155d82e908</v>
      </c>
      <c r="U2197" s="6"/>
      <c r="V2197" s="33" t="s">
        <v>35</v>
      </c>
    </row>
    <row r="2198" spans="2:22" ht="22.95" customHeight="1" outlineLevel="3" x14ac:dyDescent="0.2">
      <c r="B2198" s="81" t="s">
        <v>6786</v>
      </c>
      <c r="C2198" s="81"/>
      <c r="D2198" s="81"/>
      <c r="L2198">
        <v>0</v>
      </c>
    </row>
    <row r="2199" spans="2:22" ht="21" customHeight="1" outlineLevel="4" x14ac:dyDescent="0.2">
      <c r="B2199" s="69">
        <v>1607</v>
      </c>
      <c r="C2199" s="6" t="s">
        <v>6787</v>
      </c>
      <c r="D2199" s="6" t="s">
        <v>6788</v>
      </c>
      <c r="E2199" s="7" t="s">
        <v>6789</v>
      </c>
      <c r="F2199" s="13"/>
      <c r="G2199" s="14"/>
      <c r="H2199" s="15">
        <v>40</v>
      </c>
      <c r="I2199" s="14"/>
      <c r="J2199" s="15">
        <v>716</v>
      </c>
      <c r="K2199" s="5">
        <v>1</v>
      </c>
      <c r="L2199" s="16">
        <v>212</v>
      </c>
      <c r="M2199" s="12"/>
      <c r="N2199" s="14">
        <f t="shared" ref="N2199:N2210" si="101">L2199*M2199</f>
        <v>0</v>
      </c>
      <c r="O2199" s="28">
        <f>0.14*M2199</f>
        <v>0</v>
      </c>
      <c r="P2199" s="31">
        <f>0.0013*M2199</f>
        <v>0</v>
      </c>
      <c r="Q2199" s="25"/>
      <c r="R2199" s="26" t="s">
        <v>6790</v>
      </c>
      <c r="S2199" s="26" t="s">
        <v>93</v>
      </c>
      <c r="T2199" s="6" t="str">
        <f>HYPERLINK("https://kanzpp.ru/api/getInfo/image/efae56c0-53b3-11ef-a262-00155d82e908")</f>
        <v>https://kanzpp.ru/api/getInfo/image/efae56c0-53b3-11ef-a262-00155d82e908</v>
      </c>
      <c r="U2199" s="6"/>
      <c r="V2199" s="33" t="s">
        <v>35</v>
      </c>
    </row>
    <row r="2200" spans="2:22" ht="21" customHeight="1" outlineLevel="4" x14ac:dyDescent="0.2">
      <c r="B2200" s="69">
        <v>1608</v>
      </c>
      <c r="C2200" s="6" t="s">
        <v>6791</v>
      </c>
      <c r="D2200" s="6" t="s">
        <v>6792</v>
      </c>
      <c r="E2200" s="7" t="s">
        <v>6793</v>
      </c>
      <c r="F2200" s="13"/>
      <c r="G2200" s="14"/>
      <c r="H2200" s="15">
        <v>40</v>
      </c>
      <c r="I2200" s="14"/>
      <c r="J2200" s="15">
        <v>589</v>
      </c>
      <c r="K2200" s="5">
        <v>1</v>
      </c>
      <c r="L2200" s="16">
        <v>212</v>
      </c>
      <c r="M2200" s="12"/>
      <c r="N2200" s="14">
        <f t="shared" si="101"/>
        <v>0</v>
      </c>
      <c r="O2200" s="23">
        <f>0.128*M2200</f>
        <v>0</v>
      </c>
      <c r="P2200" s="24">
        <f>0.00127*M2200</f>
        <v>0</v>
      </c>
      <c r="Q2200" s="25"/>
      <c r="R2200" s="26" t="s">
        <v>6794</v>
      </c>
      <c r="S2200" s="26" t="s">
        <v>93</v>
      </c>
      <c r="T2200" s="6" t="str">
        <f>HYPERLINK("https://kanzpp.ru/api/getInfo/image/c85789b3-53b3-11ef-a262-00155d82e908")</f>
        <v>https://kanzpp.ru/api/getInfo/image/c85789b3-53b3-11ef-a262-00155d82e908</v>
      </c>
      <c r="U2200" s="6"/>
      <c r="V2200" s="33" t="s">
        <v>35</v>
      </c>
    </row>
    <row r="2201" spans="2:22" ht="21" customHeight="1" outlineLevel="4" x14ac:dyDescent="0.2">
      <c r="B2201" s="69">
        <v>1609</v>
      </c>
      <c r="C2201" s="6" t="s">
        <v>6795</v>
      </c>
      <c r="D2201" s="6" t="s">
        <v>6796</v>
      </c>
      <c r="E2201" s="7" t="s">
        <v>6797</v>
      </c>
      <c r="F2201" s="13"/>
      <c r="G2201" s="14"/>
      <c r="H2201" s="15">
        <v>60</v>
      </c>
      <c r="I2201" s="14"/>
      <c r="J2201" s="15">
        <v>430</v>
      </c>
      <c r="K2201" s="5">
        <v>1</v>
      </c>
      <c r="L2201" s="16">
        <v>212</v>
      </c>
      <c r="M2201" s="12"/>
      <c r="N2201" s="14">
        <f t="shared" si="101"/>
        <v>0</v>
      </c>
      <c r="O2201" s="28">
        <f>0.12*M2201</f>
        <v>0</v>
      </c>
      <c r="P2201" s="24">
        <f>0.00086*M2201</f>
        <v>0</v>
      </c>
      <c r="Q2201" s="25"/>
      <c r="R2201" s="26" t="s">
        <v>6798</v>
      </c>
      <c r="S2201" s="26" t="s">
        <v>29</v>
      </c>
      <c r="T2201" s="6" t="str">
        <f>HYPERLINK("https://kanzpp.ru/api/getInfo/image/d05e1a3e-1526-11ec-a20f-ac1f6b442185")</f>
        <v>https://kanzpp.ru/api/getInfo/image/d05e1a3e-1526-11ec-a20f-ac1f6b442185</v>
      </c>
      <c r="U2201" s="6"/>
      <c r="V2201" s="33" t="s">
        <v>35</v>
      </c>
    </row>
    <row r="2202" spans="2:22" ht="21" customHeight="1" outlineLevel="4" x14ac:dyDescent="0.2">
      <c r="B2202" s="69">
        <v>1610</v>
      </c>
      <c r="C2202" s="6" t="s">
        <v>6799</v>
      </c>
      <c r="D2202" s="6" t="s">
        <v>6800</v>
      </c>
      <c r="E2202" s="7" t="s">
        <v>6801</v>
      </c>
      <c r="F2202" s="13"/>
      <c r="G2202" s="14"/>
      <c r="H2202" s="15">
        <v>40</v>
      </c>
      <c r="I2202" s="14"/>
      <c r="J2202" s="15">
        <v>412</v>
      </c>
      <c r="K2202" s="5">
        <v>1</v>
      </c>
      <c r="L2202" s="16">
        <v>212</v>
      </c>
      <c r="M2202" s="12"/>
      <c r="N2202" s="14">
        <f t="shared" si="101"/>
        <v>0</v>
      </c>
      <c r="O2202" s="28">
        <f>0.13*M2202</f>
        <v>0</v>
      </c>
      <c r="P2202" s="24">
        <f>0.00129*M2202</f>
        <v>0</v>
      </c>
      <c r="Q2202" s="25"/>
      <c r="R2202" s="26" t="s">
        <v>6802</v>
      </c>
      <c r="S2202" s="26" t="s">
        <v>93</v>
      </c>
      <c r="T2202" s="6" t="str">
        <f>HYPERLINK("https://kanzpp.ru/api/getInfo/image/3a721136-53b3-11ef-a262-00155d82e908")</f>
        <v>https://kanzpp.ru/api/getInfo/image/3a721136-53b3-11ef-a262-00155d82e908</v>
      </c>
      <c r="U2202" s="6"/>
      <c r="V2202" s="33" t="s">
        <v>35</v>
      </c>
    </row>
    <row r="2203" spans="2:22" ht="21" customHeight="1" outlineLevel="4" x14ac:dyDescent="0.2">
      <c r="B2203" s="69">
        <v>1611</v>
      </c>
      <c r="C2203" s="6" t="s">
        <v>6803</v>
      </c>
      <c r="D2203" s="6" t="s">
        <v>6804</v>
      </c>
      <c r="E2203" s="7" t="s">
        <v>6805</v>
      </c>
      <c r="F2203" s="13"/>
      <c r="G2203" s="14"/>
      <c r="H2203" s="15">
        <v>60</v>
      </c>
      <c r="I2203" s="14"/>
      <c r="J2203" s="15">
        <v>171</v>
      </c>
      <c r="K2203" s="5">
        <v>1</v>
      </c>
      <c r="L2203" s="16">
        <v>212</v>
      </c>
      <c r="M2203" s="12"/>
      <c r="N2203" s="14">
        <f t="shared" si="101"/>
        <v>0</v>
      </c>
      <c r="O2203" s="28">
        <f>0.12*M2203</f>
        <v>0</v>
      </c>
      <c r="P2203" s="24">
        <f>0.00086*M2203</f>
        <v>0</v>
      </c>
      <c r="Q2203" s="25"/>
      <c r="R2203" s="26" t="s">
        <v>6806</v>
      </c>
      <c r="S2203" s="26" t="s">
        <v>29</v>
      </c>
      <c r="T2203" s="6" t="str">
        <f>HYPERLINK("https://kanzpp.ru/api/getInfo/image/a12dc986-360b-11eb-a25e-ac1f6b442184")</f>
        <v>https://kanzpp.ru/api/getInfo/image/a12dc986-360b-11eb-a25e-ac1f6b442184</v>
      </c>
      <c r="U2203" s="6"/>
      <c r="V2203" s="33" t="s">
        <v>35</v>
      </c>
    </row>
    <row r="2204" spans="2:22" ht="21" customHeight="1" outlineLevel="4" x14ac:dyDescent="0.2">
      <c r="B2204" s="69">
        <v>1612</v>
      </c>
      <c r="C2204" s="6" t="s">
        <v>6807</v>
      </c>
      <c r="D2204" s="6" t="s">
        <v>6808</v>
      </c>
      <c r="E2204" s="7" t="s">
        <v>6809</v>
      </c>
      <c r="F2204" s="13"/>
      <c r="G2204" s="14"/>
      <c r="H2204" s="15">
        <v>60</v>
      </c>
      <c r="I2204" s="14"/>
      <c r="J2204" s="15">
        <v>64</v>
      </c>
      <c r="K2204" s="5">
        <v>1</v>
      </c>
      <c r="L2204" s="16">
        <v>212</v>
      </c>
      <c r="M2204" s="12"/>
      <c r="N2204" s="14">
        <f t="shared" si="101"/>
        <v>0</v>
      </c>
      <c r="O2204" s="28">
        <f>0.12*M2204</f>
        <v>0</v>
      </c>
      <c r="P2204" s="24">
        <f>0.00086*M2204</f>
        <v>0</v>
      </c>
      <c r="Q2204" s="25"/>
      <c r="R2204" s="26" t="s">
        <v>6810</v>
      </c>
      <c r="S2204" s="26" t="s">
        <v>29</v>
      </c>
      <c r="T2204" s="6" t="str">
        <f>HYPERLINK("https://kanzpp.ru/api/getInfo/image/516e7016-360b-11eb-a25e-ac1f6b442184")</f>
        <v>https://kanzpp.ru/api/getInfo/image/516e7016-360b-11eb-a25e-ac1f6b442184</v>
      </c>
      <c r="U2204" s="6"/>
      <c r="V2204" s="33" t="s">
        <v>35</v>
      </c>
    </row>
    <row r="2205" spans="2:22" ht="21" customHeight="1" outlineLevel="4" x14ac:dyDescent="0.2">
      <c r="B2205" s="69">
        <v>1613</v>
      </c>
      <c r="C2205" s="6" t="s">
        <v>6811</v>
      </c>
      <c r="D2205" s="6" t="s">
        <v>6812</v>
      </c>
      <c r="E2205" s="7" t="s">
        <v>6813</v>
      </c>
      <c r="F2205" s="13"/>
      <c r="G2205" s="14"/>
      <c r="H2205" s="15">
        <v>40</v>
      </c>
      <c r="I2205" s="14"/>
      <c r="J2205" s="15">
        <v>67</v>
      </c>
      <c r="K2205" s="5">
        <v>1</v>
      </c>
      <c r="L2205" s="16">
        <v>212</v>
      </c>
      <c r="M2205" s="12"/>
      <c r="N2205" s="14">
        <f t="shared" si="101"/>
        <v>0</v>
      </c>
      <c r="O2205" s="23">
        <f>0.139*M2205</f>
        <v>0</v>
      </c>
      <c r="P2205" s="24">
        <f>0.00129*M2205</f>
        <v>0</v>
      </c>
      <c r="Q2205" s="25"/>
      <c r="R2205" s="26" t="s">
        <v>6814</v>
      </c>
      <c r="S2205" s="26" t="s">
        <v>93</v>
      </c>
      <c r="T2205" s="6" t="str">
        <f>HYPERLINK("https://kanzpp.ru/api/getInfo/image/a59823cb-53b3-11ef-a262-00155d82e908")</f>
        <v>https://kanzpp.ru/api/getInfo/image/a59823cb-53b3-11ef-a262-00155d82e908</v>
      </c>
      <c r="U2205" s="6"/>
      <c r="V2205" s="33" t="s">
        <v>35</v>
      </c>
    </row>
    <row r="2206" spans="2:22" ht="21" customHeight="1" outlineLevel="4" x14ac:dyDescent="0.2">
      <c r="B2206" s="69">
        <v>1614</v>
      </c>
      <c r="C2206" s="6" t="s">
        <v>6815</v>
      </c>
      <c r="D2206" s="6" t="s">
        <v>6816</v>
      </c>
      <c r="E2206" s="7" t="s">
        <v>6817</v>
      </c>
      <c r="F2206" s="13"/>
      <c r="G2206" s="14"/>
      <c r="H2206" s="15">
        <v>40</v>
      </c>
      <c r="I2206" s="14"/>
      <c r="J2206" s="15">
        <v>711</v>
      </c>
      <c r="K2206" s="5">
        <v>1</v>
      </c>
      <c r="L2206" s="16">
        <v>212</v>
      </c>
      <c r="M2206" s="12"/>
      <c r="N2206" s="14">
        <f t="shared" si="101"/>
        <v>0</v>
      </c>
      <c r="O2206" s="23">
        <f>0.122*M2206</f>
        <v>0</v>
      </c>
      <c r="P2206" s="24">
        <f>0.00128*M2206</f>
        <v>0</v>
      </c>
      <c r="Q2206" s="25"/>
      <c r="R2206" s="26" t="s">
        <v>6818</v>
      </c>
      <c r="S2206" s="26" t="s">
        <v>93</v>
      </c>
      <c r="T2206" s="6" t="str">
        <f>HYPERLINK("https://kanzpp.ru/api/getInfo/image/6d57a67e-53e9-11ef-a262-00155d82e908")</f>
        <v>https://kanzpp.ru/api/getInfo/image/6d57a67e-53e9-11ef-a262-00155d82e908</v>
      </c>
      <c r="U2206" s="6"/>
      <c r="V2206" s="33" t="s">
        <v>35</v>
      </c>
    </row>
    <row r="2207" spans="2:22" ht="21" customHeight="1" outlineLevel="4" x14ac:dyDescent="0.2">
      <c r="B2207" s="69">
        <v>1615</v>
      </c>
      <c r="C2207" s="6" t="s">
        <v>6819</v>
      </c>
      <c r="D2207" s="6" t="s">
        <v>6820</v>
      </c>
      <c r="E2207" s="7" t="s">
        <v>6821</v>
      </c>
      <c r="F2207" s="13"/>
      <c r="G2207" s="14"/>
      <c r="H2207" s="15">
        <v>60</v>
      </c>
      <c r="I2207" s="14"/>
      <c r="J2207" s="15">
        <v>237</v>
      </c>
      <c r="K2207" s="5">
        <v>1</v>
      </c>
      <c r="L2207" s="16">
        <v>212</v>
      </c>
      <c r="M2207" s="12"/>
      <c r="N2207" s="14">
        <f t="shared" si="101"/>
        <v>0</v>
      </c>
      <c r="O2207" s="28">
        <f>0.12*M2207</f>
        <v>0</v>
      </c>
      <c r="P2207" s="24">
        <f>0.00086*M2207</f>
        <v>0</v>
      </c>
      <c r="Q2207" s="25"/>
      <c r="R2207" s="26" t="s">
        <v>6822</v>
      </c>
      <c r="S2207" s="26" t="s">
        <v>29</v>
      </c>
      <c r="T2207" s="6" t="str">
        <f>HYPERLINK("https://kanzpp.ru/api/getInfo/image/f42faf84-360b-11eb-a25e-ac1f6b442184")</f>
        <v>https://kanzpp.ru/api/getInfo/image/f42faf84-360b-11eb-a25e-ac1f6b442184</v>
      </c>
      <c r="U2207" s="6"/>
      <c r="V2207" s="33" t="s">
        <v>35</v>
      </c>
    </row>
    <row r="2208" spans="2:22" ht="21" customHeight="1" outlineLevel="4" x14ac:dyDescent="0.2">
      <c r="B2208" s="69">
        <v>1616</v>
      </c>
      <c r="C2208" s="6" t="s">
        <v>6823</v>
      </c>
      <c r="D2208" s="6" t="s">
        <v>6824</v>
      </c>
      <c r="E2208" s="7" t="s">
        <v>6825</v>
      </c>
      <c r="F2208" s="13"/>
      <c r="G2208" s="14"/>
      <c r="H2208" s="15">
        <v>60</v>
      </c>
      <c r="I2208" s="14"/>
      <c r="J2208" s="15">
        <v>409</v>
      </c>
      <c r="K2208" s="5">
        <v>1</v>
      </c>
      <c r="L2208" s="16">
        <v>212</v>
      </c>
      <c r="M2208" s="12"/>
      <c r="N2208" s="14">
        <f t="shared" si="101"/>
        <v>0</v>
      </c>
      <c r="O2208" s="28">
        <f>0.12*M2208</f>
        <v>0</v>
      </c>
      <c r="P2208" s="24">
        <f>0.00086*M2208</f>
        <v>0</v>
      </c>
      <c r="Q2208" s="25"/>
      <c r="R2208" s="26" t="s">
        <v>6826</v>
      </c>
      <c r="S2208" s="26" t="s">
        <v>29</v>
      </c>
      <c r="T2208" s="6" t="str">
        <f>HYPERLINK("https://kanzpp.ru/api/getInfo/image/9b4bacfc-1527-11ec-a20f-ac1f6b442185")</f>
        <v>https://kanzpp.ru/api/getInfo/image/9b4bacfc-1527-11ec-a20f-ac1f6b442185</v>
      </c>
      <c r="U2208" s="6"/>
      <c r="V2208" s="33" t="s">
        <v>35</v>
      </c>
    </row>
    <row r="2209" spans="2:22" ht="21" customHeight="1" outlineLevel="4" x14ac:dyDescent="0.2">
      <c r="B2209" s="69">
        <v>1617</v>
      </c>
      <c r="C2209" s="6" t="s">
        <v>6827</v>
      </c>
      <c r="D2209" s="6" t="s">
        <v>6828</v>
      </c>
      <c r="E2209" s="7" t="s">
        <v>6829</v>
      </c>
      <c r="F2209" s="13"/>
      <c r="G2209" s="14"/>
      <c r="H2209" s="15">
        <v>60</v>
      </c>
      <c r="I2209" s="14"/>
      <c r="J2209" s="15">
        <v>434</v>
      </c>
      <c r="K2209" s="5">
        <v>1</v>
      </c>
      <c r="L2209" s="16">
        <v>212</v>
      </c>
      <c r="M2209" s="12"/>
      <c r="N2209" s="14">
        <f t="shared" si="101"/>
        <v>0</v>
      </c>
      <c r="O2209" s="28">
        <f>0.12*M2209</f>
        <v>0</v>
      </c>
      <c r="P2209" s="24">
        <f>0.00086*M2209</f>
        <v>0</v>
      </c>
      <c r="Q2209" s="25"/>
      <c r="R2209" s="26" t="s">
        <v>6830</v>
      </c>
      <c r="S2209" s="26" t="s">
        <v>29</v>
      </c>
      <c r="T2209" s="6" t="str">
        <f>HYPERLINK("https://kanzpp.ru/api/getInfo/image/2f7c0bb6-1527-11ec-a20f-ac1f6b442185")</f>
        <v>https://kanzpp.ru/api/getInfo/image/2f7c0bb6-1527-11ec-a20f-ac1f6b442185</v>
      </c>
      <c r="U2209" s="6"/>
      <c r="V2209" s="33" t="s">
        <v>35</v>
      </c>
    </row>
    <row r="2210" spans="2:22" ht="21" customHeight="1" outlineLevel="4" x14ac:dyDescent="0.2">
      <c r="B2210" s="69">
        <v>1618</v>
      </c>
      <c r="C2210" s="6" t="s">
        <v>6831</v>
      </c>
      <c r="D2210" s="6" t="s">
        <v>6832</v>
      </c>
      <c r="E2210" s="7" t="s">
        <v>6833</v>
      </c>
      <c r="F2210" s="13"/>
      <c r="G2210" s="14"/>
      <c r="H2210" s="15">
        <v>60</v>
      </c>
      <c r="I2210" s="14"/>
      <c r="J2210" s="15">
        <v>375</v>
      </c>
      <c r="K2210" s="5">
        <v>1</v>
      </c>
      <c r="L2210" s="16">
        <v>212</v>
      </c>
      <c r="M2210" s="12"/>
      <c r="N2210" s="14">
        <f t="shared" si="101"/>
        <v>0</v>
      </c>
      <c r="O2210" s="28">
        <f>0.12*M2210</f>
        <v>0</v>
      </c>
      <c r="P2210" s="24">
        <f>0.00086*M2210</f>
        <v>0</v>
      </c>
      <c r="Q2210" s="25"/>
      <c r="R2210" s="26" t="s">
        <v>6834</v>
      </c>
      <c r="S2210" s="26" t="s">
        <v>29</v>
      </c>
      <c r="T2210" s="6" t="str">
        <f>HYPERLINK("https://kanzpp.ru/api/getInfo/image/64ffb8d3-1527-11ec-a20f-ac1f6b442185")</f>
        <v>https://kanzpp.ru/api/getInfo/image/64ffb8d3-1527-11ec-a20f-ac1f6b442185</v>
      </c>
      <c r="U2210" s="6"/>
      <c r="V2210" s="33" t="s">
        <v>35</v>
      </c>
    </row>
    <row r="2211" spans="2:22" ht="22.95" customHeight="1" outlineLevel="3" x14ac:dyDescent="0.2">
      <c r="B2211" s="81" t="s">
        <v>6835</v>
      </c>
      <c r="C2211" s="81"/>
      <c r="D2211" s="81"/>
      <c r="L2211">
        <v>0</v>
      </c>
    </row>
    <row r="2212" spans="2:22" ht="21" customHeight="1" outlineLevel="4" x14ac:dyDescent="0.2">
      <c r="B2212" s="69">
        <v>1619</v>
      </c>
      <c r="C2212" s="6" t="s">
        <v>6836</v>
      </c>
      <c r="D2212" s="6" t="s">
        <v>6837</v>
      </c>
      <c r="E2212" s="7" t="s">
        <v>6838</v>
      </c>
      <c r="F2212" s="13"/>
      <c r="G2212" s="14"/>
      <c r="H2212" s="15">
        <v>20</v>
      </c>
      <c r="I2212" s="14"/>
      <c r="J2212" s="15">
        <v>222</v>
      </c>
      <c r="K2212" s="5">
        <v>2</v>
      </c>
      <c r="L2212" s="16">
        <v>145.33333333333334</v>
      </c>
      <c r="M2212" s="12"/>
      <c r="N2212" s="14">
        <f t="shared" ref="N2212:N2218" si="102">L2212*M2212</f>
        <v>0</v>
      </c>
      <c r="O2212" s="28">
        <f>0.14*M2212</f>
        <v>0</v>
      </c>
      <c r="P2212" s="31">
        <f>0.0019*M2212</f>
        <v>0</v>
      </c>
      <c r="Q2212" s="25"/>
      <c r="R2212" s="26" t="s">
        <v>6839</v>
      </c>
      <c r="S2212" s="26" t="s">
        <v>29</v>
      </c>
      <c r="T2212" s="6" t="str">
        <f>HYPERLINK("https://kanzpp.ru/api/getInfo/image/78f00c42-b69b-11ed-a230-00155d82e902")</f>
        <v>https://kanzpp.ru/api/getInfo/image/78f00c42-b69b-11ed-a230-00155d82e902</v>
      </c>
      <c r="U2212" s="6"/>
      <c r="V2212" s="33" t="s">
        <v>35</v>
      </c>
    </row>
    <row r="2213" spans="2:22" ht="21" customHeight="1" outlineLevel="4" x14ac:dyDescent="0.2">
      <c r="B2213" s="69">
        <v>1620</v>
      </c>
      <c r="C2213" s="6" t="s">
        <v>6840</v>
      </c>
      <c r="D2213" s="6" t="s">
        <v>6841</v>
      </c>
      <c r="E2213" s="7" t="s">
        <v>6842</v>
      </c>
      <c r="F2213" s="13"/>
      <c r="G2213" s="14"/>
      <c r="H2213" s="15">
        <v>20</v>
      </c>
      <c r="I2213" s="14"/>
      <c r="J2213" s="15">
        <v>108</v>
      </c>
      <c r="K2213" s="5">
        <v>2</v>
      </c>
      <c r="L2213" s="16">
        <v>252</v>
      </c>
      <c r="M2213" s="12"/>
      <c r="N2213" s="14">
        <f t="shared" si="102"/>
        <v>0</v>
      </c>
      <c r="O2213" s="28">
        <f>0.14*M2213</f>
        <v>0</v>
      </c>
      <c r="P2213" s="24">
        <f>0.00186*M2213</f>
        <v>0</v>
      </c>
      <c r="Q2213" s="25"/>
      <c r="R2213" s="26" t="s">
        <v>6843</v>
      </c>
      <c r="S2213" s="26" t="s">
        <v>29</v>
      </c>
      <c r="T2213" s="6" t="str">
        <f>HYPERLINK("https://kanzpp.ru/api/getInfo/image/01778473-b69b-11ed-a230-00155d82e902")</f>
        <v>https://kanzpp.ru/api/getInfo/image/01778473-b69b-11ed-a230-00155d82e902</v>
      </c>
      <c r="U2213" s="6"/>
      <c r="V2213" s="33" t="s">
        <v>35</v>
      </c>
    </row>
    <row r="2214" spans="2:22" ht="21" customHeight="1" outlineLevel="4" x14ac:dyDescent="0.2">
      <c r="B2214" s="69">
        <v>1621</v>
      </c>
      <c r="C2214" s="6" t="s">
        <v>6844</v>
      </c>
      <c r="D2214" s="6" t="s">
        <v>6845</v>
      </c>
      <c r="E2214" s="7" t="s">
        <v>6846</v>
      </c>
      <c r="F2214" s="13"/>
      <c r="G2214" s="14"/>
      <c r="H2214" s="15">
        <v>20</v>
      </c>
      <c r="I2214" s="14"/>
      <c r="J2214" s="15">
        <v>44</v>
      </c>
      <c r="K2214" s="5">
        <v>2</v>
      </c>
      <c r="L2214" s="16">
        <v>252</v>
      </c>
      <c r="M2214" s="12"/>
      <c r="N2214" s="14">
        <f t="shared" si="102"/>
        <v>0</v>
      </c>
      <c r="O2214" s="28">
        <f>0.13*M2214</f>
        <v>0</v>
      </c>
      <c r="P2214" s="24">
        <f>0.00193*M2214</f>
        <v>0</v>
      </c>
      <c r="Q2214" s="25"/>
      <c r="R2214" s="26" t="s">
        <v>6847</v>
      </c>
      <c r="S2214" s="26" t="s">
        <v>29</v>
      </c>
      <c r="T2214" s="6" t="str">
        <f>HYPERLINK("https://kanzpp.ru/api/getInfo/image/95a5a011-b69a-11ed-a230-00155d82e902")</f>
        <v>https://kanzpp.ru/api/getInfo/image/95a5a011-b69a-11ed-a230-00155d82e902</v>
      </c>
      <c r="U2214" s="6"/>
      <c r="V2214" s="33" t="s">
        <v>35</v>
      </c>
    </row>
    <row r="2215" spans="2:22" ht="21" customHeight="1" outlineLevel="4" x14ac:dyDescent="0.2">
      <c r="B2215" s="69">
        <v>1622</v>
      </c>
      <c r="C2215" s="6" t="s">
        <v>6848</v>
      </c>
      <c r="D2215" s="6" t="s">
        <v>6849</v>
      </c>
      <c r="E2215" s="7" t="s">
        <v>6850</v>
      </c>
      <c r="F2215" s="13"/>
      <c r="G2215" s="14"/>
      <c r="H2215" s="15">
        <v>20</v>
      </c>
      <c r="I2215" s="14"/>
      <c r="J2215" s="15">
        <v>30</v>
      </c>
      <c r="K2215" s="5">
        <v>2</v>
      </c>
      <c r="L2215" s="16">
        <v>252</v>
      </c>
      <c r="M2215" s="12"/>
      <c r="N2215" s="14">
        <f t="shared" si="102"/>
        <v>0</v>
      </c>
      <c r="O2215" s="28">
        <f>0.14*M2215</f>
        <v>0</v>
      </c>
      <c r="P2215" s="31">
        <f>0.0019*M2215</f>
        <v>0</v>
      </c>
      <c r="Q2215" s="25"/>
      <c r="R2215" s="26" t="s">
        <v>6851</v>
      </c>
      <c r="S2215" s="26" t="s">
        <v>29</v>
      </c>
      <c r="T2215" s="6" t="str">
        <f>HYPERLINK("https://kanzpp.ru/api/getInfo/image/28d588db-b69b-11ed-a230-00155d82e902")</f>
        <v>https://kanzpp.ru/api/getInfo/image/28d588db-b69b-11ed-a230-00155d82e902</v>
      </c>
      <c r="U2215" s="6"/>
      <c r="V2215" s="33" t="s">
        <v>35</v>
      </c>
    </row>
    <row r="2216" spans="2:22" ht="21" customHeight="1" outlineLevel="4" x14ac:dyDescent="0.2">
      <c r="B2216" s="69">
        <v>1623</v>
      </c>
      <c r="C2216" s="6" t="s">
        <v>6852</v>
      </c>
      <c r="D2216" s="6" t="s">
        <v>6853</v>
      </c>
      <c r="E2216" s="7" t="s">
        <v>6854</v>
      </c>
      <c r="F2216" s="13"/>
      <c r="G2216" s="14"/>
      <c r="H2216" s="15">
        <v>20</v>
      </c>
      <c r="I2216" s="14"/>
      <c r="J2216" s="15">
        <v>205</v>
      </c>
      <c r="K2216" s="5">
        <v>2</v>
      </c>
      <c r="L2216" s="16">
        <v>252</v>
      </c>
      <c r="M2216" s="12"/>
      <c r="N2216" s="14">
        <f t="shared" si="102"/>
        <v>0</v>
      </c>
      <c r="O2216" s="28">
        <f>0.14*M2216</f>
        <v>0</v>
      </c>
      <c r="P2216" s="31">
        <f>0.0019*M2216</f>
        <v>0</v>
      </c>
      <c r="Q2216" s="25"/>
      <c r="R2216" s="26" t="s">
        <v>6855</v>
      </c>
      <c r="S2216" s="26" t="s">
        <v>29</v>
      </c>
      <c r="T2216" s="6" t="str">
        <f>HYPERLINK("https://kanzpp.ru/api/getInfo/image/d53cf302-b69a-11ed-a230-00155d82e902")</f>
        <v>https://kanzpp.ru/api/getInfo/image/d53cf302-b69a-11ed-a230-00155d82e902</v>
      </c>
      <c r="U2216" s="6"/>
      <c r="V2216" s="33" t="s">
        <v>35</v>
      </c>
    </row>
    <row r="2217" spans="2:22" ht="21" customHeight="1" outlineLevel="4" x14ac:dyDescent="0.2">
      <c r="B2217" s="69">
        <v>1624</v>
      </c>
      <c r="C2217" s="6" t="s">
        <v>6856</v>
      </c>
      <c r="D2217" s="6" t="s">
        <v>6857</v>
      </c>
      <c r="E2217" s="7" t="s">
        <v>6858</v>
      </c>
      <c r="F2217" s="13"/>
      <c r="G2217" s="14"/>
      <c r="H2217" s="15">
        <v>20</v>
      </c>
      <c r="I2217" s="14"/>
      <c r="J2217" s="15">
        <v>22</v>
      </c>
      <c r="K2217" s="5">
        <v>2</v>
      </c>
      <c r="L2217" s="16">
        <v>252</v>
      </c>
      <c r="M2217" s="12"/>
      <c r="N2217" s="14">
        <f t="shared" si="102"/>
        <v>0</v>
      </c>
      <c r="O2217" s="28">
        <f>0.09*M2217</f>
        <v>0</v>
      </c>
      <c r="P2217" s="24">
        <f>0.00244*M2217</f>
        <v>0</v>
      </c>
      <c r="Q2217" s="25"/>
      <c r="R2217" s="26" t="s">
        <v>6859</v>
      </c>
      <c r="S2217" s="26" t="s">
        <v>29</v>
      </c>
      <c r="T2217" s="6" t="str">
        <f>HYPERLINK("https://kanzpp.ru/api/getInfo/image/a1de9c75-b69b-11ed-a230-00155d82e902")</f>
        <v>https://kanzpp.ru/api/getInfo/image/a1de9c75-b69b-11ed-a230-00155d82e902</v>
      </c>
      <c r="U2217" s="6"/>
      <c r="V2217" s="33" t="s">
        <v>35</v>
      </c>
    </row>
    <row r="2218" spans="2:22" ht="21" customHeight="1" outlineLevel="4" x14ac:dyDescent="0.2">
      <c r="B2218" s="69">
        <v>1625</v>
      </c>
      <c r="C2218" s="6" t="s">
        <v>6860</v>
      </c>
      <c r="D2218" s="6" t="s">
        <v>6861</v>
      </c>
      <c r="E2218" s="7" t="s">
        <v>6862</v>
      </c>
      <c r="F2218" s="13"/>
      <c r="G2218" s="14"/>
      <c r="H2218" s="15">
        <v>20</v>
      </c>
      <c r="I2218" s="14"/>
      <c r="J2218" s="15">
        <v>90</v>
      </c>
      <c r="K2218" s="5">
        <v>2</v>
      </c>
      <c r="L2218" s="16">
        <v>252</v>
      </c>
      <c r="M2218" s="12"/>
      <c r="N2218" s="14">
        <f t="shared" si="102"/>
        <v>0</v>
      </c>
      <c r="O2218" s="28">
        <f>0.14*M2218</f>
        <v>0</v>
      </c>
      <c r="P2218" s="31">
        <f>0.0019*M2218</f>
        <v>0</v>
      </c>
      <c r="Q2218" s="25"/>
      <c r="R2218" s="26" t="s">
        <v>6863</v>
      </c>
      <c r="S2218" s="26" t="s">
        <v>29</v>
      </c>
      <c r="T2218" s="6" t="str">
        <f>HYPERLINK("https://kanzpp.ru/api/getInfo/image/4cd47914-b69b-11ed-a230-00155d82e902")</f>
        <v>https://kanzpp.ru/api/getInfo/image/4cd47914-b69b-11ed-a230-00155d82e902</v>
      </c>
      <c r="U2218" s="6"/>
      <c r="V2218" s="33" t="s">
        <v>35</v>
      </c>
    </row>
    <row r="2219" spans="2:22" ht="22.95" customHeight="1" outlineLevel="3" x14ac:dyDescent="0.2">
      <c r="B2219" s="81" t="s">
        <v>6864</v>
      </c>
      <c r="C2219" s="81"/>
      <c r="D2219" s="81"/>
      <c r="L2219">
        <v>0</v>
      </c>
    </row>
    <row r="2220" spans="2:22" ht="21" customHeight="1" outlineLevel="4" x14ac:dyDescent="0.2">
      <c r="B2220" s="69">
        <v>1626</v>
      </c>
      <c r="C2220" s="6" t="s">
        <v>6865</v>
      </c>
      <c r="D2220" s="6" t="s">
        <v>6866</v>
      </c>
      <c r="E2220" s="7" t="s">
        <v>6867</v>
      </c>
      <c r="F2220" s="13"/>
      <c r="G2220" s="14"/>
      <c r="H2220" s="15">
        <v>50</v>
      </c>
      <c r="I2220" s="14"/>
      <c r="J2220" s="15">
        <v>761</v>
      </c>
      <c r="K2220" s="5">
        <v>3</v>
      </c>
      <c r="L2220" s="16">
        <v>250.06666666666669</v>
      </c>
      <c r="M2220" s="12"/>
      <c r="N2220" s="14">
        <f t="shared" ref="N2220:N2225" si="103">L2220*M2220</f>
        <v>0</v>
      </c>
      <c r="O2220" s="23">
        <f>0.154*M2220</f>
        <v>0</v>
      </c>
      <c r="P2220" s="23">
        <f>0.004*M2220</f>
        <v>0</v>
      </c>
      <c r="Q2220" s="25"/>
      <c r="R2220" s="26" t="s">
        <v>6868</v>
      </c>
      <c r="S2220" s="26" t="s">
        <v>93</v>
      </c>
      <c r="T2220" s="6" t="str">
        <f>HYPERLINK("https://kanzpp.ru/api/getInfo/image/3382a58d-1836-11ef-a25d-00155d82e908")</f>
        <v>https://kanzpp.ru/api/getInfo/image/3382a58d-1836-11ef-a25d-00155d82e908</v>
      </c>
      <c r="U2220" s="6"/>
      <c r="V2220" s="33" t="s">
        <v>35</v>
      </c>
    </row>
    <row r="2221" spans="2:22" ht="21" customHeight="1" outlineLevel="4" x14ac:dyDescent="0.2">
      <c r="B2221" s="69">
        <v>1627</v>
      </c>
      <c r="C2221" s="6" t="s">
        <v>6869</v>
      </c>
      <c r="D2221" s="6" t="s">
        <v>6870</v>
      </c>
      <c r="E2221" s="7" t="s">
        <v>6871</v>
      </c>
      <c r="F2221" s="13"/>
      <c r="G2221" s="14"/>
      <c r="H2221" s="15">
        <v>50</v>
      </c>
      <c r="I2221" s="14"/>
      <c r="J2221" s="15">
        <v>104</v>
      </c>
      <c r="K2221" s="5">
        <v>3</v>
      </c>
      <c r="L2221" s="16">
        <v>250.06666666666669</v>
      </c>
      <c r="M2221" s="12"/>
      <c r="N2221" s="14">
        <f t="shared" si="103"/>
        <v>0</v>
      </c>
      <c r="O2221" s="23">
        <f>0.155*M2221</f>
        <v>0</v>
      </c>
      <c r="P2221" s="24">
        <f>0.00498*M2221</f>
        <v>0</v>
      </c>
      <c r="Q2221" s="25"/>
      <c r="R2221" s="26" t="s">
        <v>6872</v>
      </c>
      <c r="S2221" s="26" t="s">
        <v>93</v>
      </c>
      <c r="T2221" s="6" t="str">
        <f>HYPERLINK("https://kanzpp.ru/api/getInfo/image/c28ff98a-1836-11ef-a25d-00155d82e908")</f>
        <v>https://kanzpp.ru/api/getInfo/image/c28ff98a-1836-11ef-a25d-00155d82e908</v>
      </c>
      <c r="U2221" s="6"/>
      <c r="V2221" s="33" t="s">
        <v>35</v>
      </c>
    </row>
    <row r="2222" spans="2:22" ht="21" customHeight="1" outlineLevel="4" x14ac:dyDescent="0.2">
      <c r="B2222" s="69">
        <v>1628</v>
      </c>
      <c r="C2222" s="6" t="s">
        <v>6873</v>
      </c>
      <c r="D2222" s="6" t="s">
        <v>6874</v>
      </c>
      <c r="E2222" s="7" t="s">
        <v>6875</v>
      </c>
      <c r="F2222" s="13"/>
      <c r="G2222" s="14"/>
      <c r="H2222" s="15">
        <v>50</v>
      </c>
      <c r="I2222" s="14"/>
      <c r="J2222" s="15">
        <v>318</v>
      </c>
      <c r="K2222" s="5">
        <v>3</v>
      </c>
      <c r="L2222" s="16">
        <v>250.06666666666669</v>
      </c>
      <c r="M2222" s="12"/>
      <c r="N2222" s="14">
        <f t="shared" si="103"/>
        <v>0</v>
      </c>
      <c r="O2222" s="23">
        <f>0.141*M2222</f>
        <v>0</v>
      </c>
      <c r="P2222" s="24">
        <f>0.00262*M2222</f>
        <v>0</v>
      </c>
      <c r="Q2222" s="25"/>
      <c r="R2222" s="26" t="s">
        <v>6876</v>
      </c>
      <c r="S2222" s="26" t="s">
        <v>93</v>
      </c>
      <c r="T2222" s="6" t="str">
        <f>HYPERLINK("https://kanzpp.ru/api/getInfo/image/e1177dd4-1836-11ef-a25d-00155d82e908")</f>
        <v>https://kanzpp.ru/api/getInfo/image/e1177dd4-1836-11ef-a25d-00155d82e908</v>
      </c>
      <c r="U2222" s="6"/>
      <c r="V2222" s="33" t="s">
        <v>35</v>
      </c>
    </row>
    <row r="2223" spans="2:22" ht="21" customHeight="1" outlineLevel="4" x14ac:dyDescent="0.2">
      <c r="B2223" s="69">
        <v>1629</v>
      </c>
      <c r="C2223" s="6" t="s">
        <v>6877</v>
      </c>
      <c r="D2223" s="6" t="s">
        <v>6878</v>
      </c>
      <c r="E2223" s="7" t="s">
        <v>6879</v>
      </c>
      <c r="F2223" s="13"/>
      <c r="G2223" s="14"/>
      <c r="H2223" s="15">
        <v>50</v>
      </c>
      <c r="I2223" s="14"/>
      <c r="J2223" s="15">
        <v>56</v>
      </c>
      <c r="K2223" s="5">
        <v>3</v>
      </c>
      <c r="L2223" s="16">
        <v>250.06666666666669</v>
      </c>
      <c r="M2223" s="12"/>
      <c r="N2223" s="14">
        <f t="shared" si="103"/>
        <v>0</v>
      </c>
      <c r="O2223" s="23">
        <f>0.156*M2223</f>
        <v>0</v>
      </c>
      <c r="P2223" s="24">
        <f>0.00234*M2223</f>
        <v>0</v>
      </c>
      <c r="Q2223" s="25"/>
      <c r="R2223" s="26" t="s">
        <v>6880</v>
      </c>
      <c r="S2223" s="26" t="s">
        <v>93</v>
      </c>
      <c r="T2223" s="6" t="str">
        <f>HYPERLINK("https://kanzpp.ru/api/getInfo/image/fdd2dae2-1836-11ef-a25d-00155d82e908")</f>
        <v>https://kanzpp.ru/api/getInfo/image/fdd2dae2-1836-11ef-a25d-00155d82e908</v>
      </c>
      <c r="U2223" s="6"/>
      <c r="V2223" s="33" t="s">
        <v>35</v>
      </c>
    </row>
    <row r="2224" spans="2:22" ht="21" customHeight="1" outlineLevel="4" x14ac:dyDescent="0.2">
      <c r="B2224" s="69">
        <v>1630</v>
      </c>
      <c r="C2224" s="6" t="s">
        <v>6881</v>
      </c>
      <c r="D2224" s="6" t="s">
        <v>6882</v>
      </c>
      <c r="E2224" s="7" t="s">
        <v>6883</v>
      </c>
      <c r="F2224" s="13"/>
      <c r="G2224" s="14"/>
      <c r="H2224" s="15">
        <v>50</v>
      </c>
      <c r="I2224" s="14"/>
      <c r="J2224" s="15">
        <v>1</v>
      </c>
      <c r="K2224" s="5">
        <v>1</v>
      </c>
      <c r="L2224" s="16">
        <v>265.33333333333331</v>
      </c>
      <c r="M2224" s="12"/>
      <c r="N2224" s="14">
        <f t="shared" si="103"/>
        <v>0</v>
      </c>
      <c r="O2224" s="23">
        <f>0.194*M2224</f>
        <v>0</v>
      </c>
      <c r="P2224" s="24">
        <f>0.00445*M2224</f>
        <v>0</v>
      </c>
      <c r="Q2224" s="25"/>
      <c r="R2224" s="26" t="s">
        <v>6884</v>
      </c>
      <c r="S2224" s="26" t="s">
        <v>93</v>
      </c>
      <c r="T2224" s="6" t="str">
        <f>HYPERLINK("https://kanzpp.ru/api/getInfo/image/deceb197-1837-11ef-a25d-00155d82e908")</f>
        <v>https://kanzpp.ru/api/getInfo/image/deceb197-1837-11ef-a25d-00155d82e908</v>
      </c>
      <c r="U2224" s="6"/>
      <c r="V2224" s="33" t="s">
        <v>35</v>
      </c>
    </row>
    <row r="2225" spans="2:22" ht="21" customHeight="1" outlineLevel="4" x14ac:dyDescent="0.2">
      <c r="B2225" s="69">
        <v>1631</v>
      </c>
      <c r="C2225" s="6" t="s">
        <v>6885</v>
      </c>
      <c r="D2225" s="6" t="s">
        <v>6886</v>
      </c>
      <c r="E2225" s="7" t="s">
        <v>6887</v>
      </c>
      <c r="F2225" s="13"/>
      <c r="G2225" s="14"/>
      <c r="H2225" s="15">
        <v>50</v>
      </c>
      <c r="I2225" s="14"/>
      <c r="J2225" s="15">
        <v>1</v>
      </c>
      <c r="K2225" s="5">
        <v>1</v>
      </c>
      <c r="L2225" s="16">
        <v>265.33333333333331</v>
      </c>
      <c r="M2225" s="12"/>
      <c r="N2225" s="14">
        <f t="shared" si="103"/>
        <v>0</v>
      </c>
      <c r="O2225" s="28">
        <f>0.17*M2225</f>
        <v>0</v>
      </c>
      <c r="P2225" s="24">
        <f>0.00463*M2225</f>
        <v>0</v>
      </c>
      <c r="Q2225" s="25"/>
      <c r="R2225" s="26" t="s">
        <v>6888</v>
      </c>
      <c r="S2225" s="26" t="s">
        <v>93</v>
      </c>
      <c r="T2225" s="6" t="str">
        <f>HYPERLINK("https://kanzpp.ru/api/getInfo/image/f986f76e-1837-11ef-a25d-00155d82e908")</f>
        <v>https://kanzpp.ru/api/getInfo/image/f986f76e-1837-11ef-a25d-00155d82e908</v>
      </c>
      <c r="U2225" s="6"/>
      <c r="V2225" s="33" t="s">
        <v>35</v>
      </c>
    </row>
    <row r="2226" spans="2:22" ht="22.95" customHeight="1" outlineLevel="3" x14ac:dyDescent="0.2">
      <c r="B2226" s="81" t="s">
        <v>6889</v>
      </c>
      <c r="C2226" s="81"/>
      <c r="D2226" s="81"/>
      <c r="L2226">
        <v>0</v>
      </c>
    </row>
    <row r="2227" spans="2:22" ht="21" customHeight="1" outlineLevel="4" x14ac:dyDescent="0.2">
      <c r="B2227" s="69">
        <v>1632</v>
      </c>
      <c r="C2227" s="6" t="s">
        <v>6890</v>
      </c>
      <c r="D2227" s="6" t="s">
        <v>6891</v>
      </c>
      <c r="E2227" s="7" t="s">
        <v>6892</v>
      </c>
      <c r="F2227" s="13"/>
      <c r="G2227" s="14"/>
      <c r="H2227" s="15">
        <v>50</v>
      </c>
      <c r="I2227" s="14"/>
      <c r="J2227" s="15">
        <v>797</v>
      </c>
      <c r="K2227" s="5">
        <v>2</v>
      </c>
      <c r="L2227" s="16">
        <v>265.33333333333331</v>
      </c>
      <c r="M2227" s="12"/>
      <c r="N2227" s="14">
        <f>L2227*M2227</f>
        <v>0</v>
      </c>
      <c r="O2227" s="23">
        <f>0.175*M2227</f>
        <v>0</v>
      </c>
      <c r="P2227" s="24">
        <f>0.00357*M2227</f>
        <v>0</v>
      </c>
      <c r="Q2227" s="25"/>
      <c r="R2227" s="26" t="s">
        <v>6893</v>
      </c>
      <c r="S2227" s="26" t="s">
        <v>93</v>
      </c>
      <c r="T2227" s="6" t="str">
        <f>HYPERLINK("https://kanzpp.ru/api/getInfo/image/eab07bab-19ca-11ef-a25d-00155d82e908")</f>
        <v>https://kanzpp.ru/api/getInfo/image/eab07bab-19ca-11ef-a25d-00155d82e908</v>
      </c>
      <c r="U2227" s="6"/>
      <c r="V2227" s="33" t="s">
        <v>35</v>
      </c>
    </row>
    <row r="2228" spans="2:22" ht="22.95" customHeight="1" outlineLevel="3" x14ac:dyDescent="0.2">
      <c r="B2228" s="81" t="s">
        <v>6894</v>
      </c>
      <c r="C2228" s="81"/>
      <c r="D2228" s="81"/>
      <c r="L2228">
        <v>0</v>
      </c>
    </row>
    <row r="2229" spans="2:22" ht="21" customHeight="1" outlineLevel="4" x14ac:dyDescent="0.2">
      <c r="B2229" s="69">
        <v>1633</v>
      </c>
      <c r="C2229" s="6" t="s">
        <v>6895</v>
      </c>
      <c r="D2229" s="6" t="s">
        <v>6896</v>
      </c>
      <c r="E2229" s="7" t="s">
        <v>6897</v>
      </c>
      <c r="F2229" s="13"/>
      <c r="G2229" s="14"/>
      <c r="H2229" s="15">
        <v>50</v>
      </c>
      <c r="I2229" s="14"/>
      <c r="J2229" s="15">
        <v>366</v>
      </c>
      <c r="K2229" s="5">
        <v>1</v>
      </c>
      <c r="L2229" s="16">
        <v>398.66666666666669</v>
      </c>
      <c r="M2229" s="12"/>
      <c r="N2229" s="14">
        <f>L2229*M2229</f>
        <v>0</v>
      </c>
      <c r="O2229" s="23">
        <f>0.189*M2229</f>
        <v>0</v>
      </c>
      <c r="P2229" s="24">
        <f>0.00296*M2229</f>
        <v>0</v>
      </c>
      <c r="Q2229" s="25"/>
      <c r="R2229" s="26" t="s">
        <v>6898</v>
      </c>
      <c r="S2229" s="26" t="s">
        <v>93</v>
      </c>
      <c r="T2229" s="6" t="str">
        <f>HYPERLINK("https://kanzpp.ru/api/getInfo/image/61d13f00-1838-11ef-a25d-00155d82e908")</f>
        <v>https://kanzpp.ru/api/getInfo/image/61d13f00-1838-11ef-a25d-00155d82e908</v>
      </c>
      <c r="U2229" s="6"/>
      <c r="V2229" s="33" t="s">
        <v>35</v>
      </c>
    </row>
    <row r="2230" spans="2:22" ht="21" customHeight="1" outlineLevel="4" x14ac:dyDescent="0.2">
      <c r="B2230" s="69">
        <v>1634</v>
      </c>
      <c r="C2230" s="6" t="s">
        <v>6899</v>
      </c>
      <c r="D2230" s="6" t="s">
        <v>6900</v>
      </c>
      <c r="E2230" s="7" t="s">
        <v>6901</v>
      </c>
      <c r="F2230" s="13"/>
      <c r="G2230" s="14"/>
      <c r="H2230" s="15">
        <v>50</v>
      </c>
      <c r="I2230" s="14"/>
      <c r="J2230" s="15">
        <v>357</v>
      </c>
      <c r="K2230" s="5">
        <v>1</v>
      </c>
      <c r="L2230" s="16">
        <v>398.66666666666669</v>
      </c>
      <c r="M2230" s="12"/>
      <c r="N2230" s="14">
        <f>L2230*M2230</f>
        <v>0</v>
      </c>
      <c r="O2230" s="28">
        <f>0.16*M2230</f>
        <v>0</v>
      </c>
      <c r="P2230" s="24">
        <f>0.00418*M2230</f>
        <v>0</v>
      </c>
      <c r="Q2230" s="25"/>
      <c r="R2230" s="26" t="s">
        <v>6902</v>
      </c>
      <c r="S2230" s="26" t="s">
        <v>93</v>
      </c>
      <c r="T2230" s="6" t="str">
        <f>HYPERLINK("https://kanzpp.ru/api/getInfo/image/7d83dbd5-1838-11ef-a25d-00155d82e908")</f>
        <v>https://kanzpp.ru/api/getInfo/image/7d83dbd5-1838-11ef-a25d-00155d82e908</v>
      </c>
      <c r="U2230" s="6"/>
      <c r="V2230" s="33" t="s">
        <v>35</v>
      </c>
    </row>
    <row r="2231" spans="2:22" ht="21" customHeight="1" outlineLevel="4" x14ac:dyDescent="0.2">
      <c r="B2231" s="69">
        <v>1635</v>
      </c>
      <c r="C2231" s="6" t="s">
        <v>6903</v>
      </c>
      <c r="D2231" s="6" t="s">
        <v>6904</v>
      </c>
      <c r="E2231" s="7" t="s">
        <v>6905</v>
      </c>
      <c r="F2231" s="13"/>
      <c r="G2231" s="14"/>
      <c r="H2231" s="15">
        <v>50</v>
      </c>
      <c r="I2231" s="14"/>
      <c r="J2231" s="15">
        <v>476</v>
      </c>
      <c r="K2231" s="5">
        <v>1</v>
      </c>
      <c r="L2231" s="16">
        <v>398.66666666666669</v>
      </c>
      <c r="M2231" s="12"/>
      <c r="N2231" s="14">
        <f>L2231*M2231</f>
        <v>0</v>
      </c>
      <c r="O2231" s="28">
        <f>0.15*M2231</f>
        <v>0</v>
      </c>
      <c r="P2231" s="24">
        <f>0.00323*M2231</f>
        <v>0</v>
      </c>
      <c r="Q2231" s="25"/>
      <c r="R2231" s="26" t="s">
        <v>6906</v>
      </c>
      <c r="S2231" s="26" t="s">
        <v>93</v>
      </c>
      <c r="T2231" s="6" t="str">
        <f>HYPERLINK("https://kanzpp.ru/api/getInfo/image/9d45fc05-1838-11ef-a25d-00155d82e908")</f>
        <v>https://kanzpp.ru/api/getInfo/image/9d45fc05-1838-11ef-a25d-00155d82e908</v>
      </c>
      <c r="U2231" s="6"/>
      <c r="V2231" s="33" t="s">
        <v>35</v>
      </c>
    </row>
    <row r="2232" spans="2:22" ht="21" customHeight="1" outlineLevel="4" x14ac:dyDescent="0.2">
      <c r="B2232" s="69">
        <v>1636</v>
      </c>
      <c r="C2232" s="6" t="s">
        <v>6907</v>
      </c>
      <c r="D2232" s="6" t="s">
        <v>6908</v>
      </c>
      <c r="E2232" s="7" t="s">
        <v>6909</v>
      </c>
      <c r="F2232" s="13"/>
      <c r="G2232" s="14"/>
      <c r="H2232" s="15">
        <v>50</v>
      </c>
      <c r="I2232" s="14"/>
      <c r="J2232" s="15">
        <v>420</v>
      </c>
      <c r="K2232" s="5">
        <v>1</v>
      </c>
      <c r="L2232" s="16">
        <v>398.66666666666669</v>
      </c>
      <c r="M2232" s="12"/>
      <c r="N2232" s="14">
        <f>L2232*M2232</f>
        <v>0</v>
      </c>
      <c r="O2232" s="23">
        <f>0.175*M2232</f>
        <v>0</v>
      </c>
      <c r="P2232" s="24">
        <f>0.00317*M2232</f>
        <v>0</v>
      </c>
      <c r="Q2232" s="25"/>
      <c r="R2232" s="26" t="s">
        <v>6910</v>
      </c>
      <c r="S2232" s="26" t="s">
        <v>93</v>
      </c>
      <c r="T2232" s="6" t="str">
        <f>HYPERLINK("https://kanzpp.ru/api/getInfo/image/bad30e1c-1838-11ef-a25d-00155d82e908")</f>
        <v>https://kanzpp.ru/api/getInfo/image/bad30e1c-1838-11ef-a25d-00155d82e908</v>
      </c>
      <c r="U2232" s="6"/>
      <c r="V2232" s="33" t="s">
        <v>35</v>
      </c>
    </row>
    <row r="2233" spans="2:22" ht="22.95" customHeight="1" outlineLevel="3" x14ac:dyDescent="0.2">
      <c r="B2233" s="81" t="s">
        <v>6911</v>
      </c>
      <c r="C2233" s="81"/>
      <c r="D2233" s="81"/>
      <c r="L2233">
        <v>0</v>
      </c>
    </row>
    <row r="2234" spans="2:22" ht="21" customHeight="1" outlineLevel="4" x14ac:dyDescent="0.2">
      <c r="B2234" s="69">
        <v>1637</v>
      </c>
      <c r="C2234" s="6" t="s">
        <v>6912</v>
      </c>
      <c r="D2234" s="6" t="s">
        <v>6913</v>
      </c>
      <c r="E2234" s="7" t="s">
        <v>6914</v>
      </c>
      <c r="F2234" s="13"/>
      <c r="G2234" s="14"/>
      <c r="H2234" s="15">
        <v>30</v>
      </c>
      <c r="I2234" s="14"/>
      <c r="J2234" s="15">
        <v>3</v>
      </c>
      <c r="K2234" s="5">
        <v>3</v>
      </c>
      <c r="L2234" s="16">
        <v>132</v>
      </c>
      <c r="M2234" s="12"/>
      <c r="N2234" s="14">
        <f>L2234*M2234</f>
        <v>0</v>
      </c>
      <c r="O2234" s="23">
        <f>0.125*M2234</f>
        <v>0</v>
      </c>
      <c r="P2234" s="24">
        <f>0.00072*M2234</f>
        <v>0</v>
      </c>
      <c r="Q2234" s="25"/>
      <c r="R2234" s="26" t="s">
        <v>6915</v>
      </c>
      <c r="S2234" s="26" t="s">
        <v>29</v>
      </c>
      <c r="T2234" s="6" t="str">
        <f>HYPERLINK("https://kanzpp.ru/api/getInfo/image/a2e7d907-407f-11ed-a216-ac1f6b442185")</f>
        <v>https://kanzpp.ru/api/getInfo/image/a2e7d907-407f-11ed-a216-ac1f6b442185</v>
      </c>
      <c r="U2234" s="6"/>
      <c r="V2234" s="33" t="s">
        <v>35</v>
      </c>
    </row>
    <row r="2235" spans="2:22" ht="22.95" customHeight="1" outlineLevel="3" x14ac:dyDescent="0.2">
      <c r="B2235" s="81" t="s">
        <v>6916</v>
      </c>
      <c r="C2235" s="81"/>
      <c r="D2235" s="81"/>
      <c r="L2235">
        <v>0</v>
      </c>
    </row>
    <row r="2236" spans="2:22" ht="21" customHeight="1" outlineLevel="4" x14ac:dyDescent="0.2">
      <c r="B2236" s="69">
        <v>1638</v>
      </c>
      <c r="C2236" s="6" t="s">
        <v>6917</v>
      </c>
      <c r="D2236" s="6" t="s">
        <v>6918</v>
      </c>
      <c r="E2236" s="7" t="s">
        <v>6919</v>
      </c>
      <c r="F2236" s="13"/>
      <c r="G2236" s="14"/>
      <c r="H2236" s="15">
        <v>50</v>
      </c>
      <c r="I2236" s="14"/>
      <c r="J2236" s="15">
        <v>537</v>
      </c>
      <c r="K2236" s="5">
        <v>3</v>
      </c>
      <c r="L2236" s="16">
        <v>132</v>
      </c>
      <c r="M2236" s="12"/>
      <c r="N2236" s="14">
        <f>L2236*M2236</f>
        <v>0</v>
      </c>
      <c r="O2236" s="23">
        <f>0.102*M2236</f>
        <v>0</v>
      </c>
      <c r="P2236" s="24">
        <f>0.00064*M2236</f>
        <v>0</v>
      </c>
      <c r="Q2236" s="25"/>
      <c r="R2236" s="26" t="s">
        <v>6920</v>
      </c>
      <c r="S2236" s="26" t="s">
        <v>29</v>
      </c>
      <c r="T2236" s="6" t="str">
        <f>HYPERLINK("https://kanzpp.ru/api/getInfo/image/9dd726be-01c7-11ed-a213-ac1f6b442185")</f>
        <v>https://kanzpp.ru/api/getInfo/image/9dd726be-01c7-11ed-a213-ac1f6b442185</v>
      </c>
      <c r="U2236" s="6"/>
      <c r="V2236" s="33" t="s">
        <v>35</v>
      </c>
    </row>
    <row r="2237" spans="2:22" ht="22.95" customHeight="1" outlineLevel="3" x14ac:dyDescent="0.2">
      <c r="B2237" s="81" t="s">
        <v>6921</v>
      </c>
      <c r="C2237" s="81"/>
      <c r="D2237" s="81"/>
      <c r="L2237">
        <v>0</v>
      </c>
    </row>
    <row r="2238" spans="2:22" ht="21" customHeight="1" outlineLevel="4" x14ac:dyDescent="0.2">
      <c r="B2238" s="69">
        <v>1639</v>
      </c>
      <c r="C2238" s="6" t="s">
        <v>6922</v>
      </c>
      <c r="D2238" s="6" t="s">
        <v>6923</v>
      </c>
      <c r="E2238" s="7" t="s">
        <v>6924</v>
      </c>
      <c r="F2238" s="13"/>
      <c r="G2238" s="14"/>
      <c r="H2238" s="15">
        <v>50</v>
      </c>
      <c r="I2238" s="14"/>
      <c r="J2238" s="15">
        <v>82</v>
      </c>
      <c r="K2238" s="5">
        <v>4</v>
      </c>
      <c r="L2238" s="16">
        <v>78.666666666666671</v>
      </c>
      <c r="M2238" s="12"/>
      <c r="N2238" s="14">
        <f t="shared" ref="N2238:N2245" si="104">L2238*M2238</f>
        <v>0</v>
      </c>
      <c r="O2238" s="23">
        <f>0.094*M2238</f>
        <v>0</v>
      </c>
      <c r="P2238" s="24">
        <f>0.00158*M2238</f>
        <v>0</v>
      </c>
      <c r="Q2238" s="25"/>
      <c r="R2238" s="26" t="s">
        <v>6925</v>
      </c>
      <c r="S2238" s="26" t="s">
        <v>29</v>
      </c>
      <c r="T2238" s="6" t="str">
        <f>HYPERLINK("https://kanzpp.ru/api/getInfo/image/10a572e8-2441-11ed-a216-ac1f6b442185")</f>
        <v>https://kanzpp.ru/api/getInfo/image/10a572e8-2441-11ed-a216-ac1f6b442185</v>
      </c>
      <c r="U2238" s="6"/>
      <c r="V2238" s="33" t="s">
        <v>35</v>
      </c>
    </row>
    <row r="2239" spans="2:22" ht="21" customHeight="1" outlineLevel="4" x14ac:dyDescent="0.2">
      <c r="B2239" s="69">
        <v>1640</v>
      </c>
      <c r="C2239" s="6" t="s">
        <v>6926</v>
      </c>
      <c r="D2239" s="6" t="s">
        <v>6927</v>
      </c>
      <c r="E2239" s="7" t="s">
        <v>6928</v>
      </c>
      <c r="F2239" s="13"/>
      <c r="G2239" s="14"/>
      <c r="H2239" s="15">
        <v>50</v>
      </c>
      <c r="I2239" s="14"/>
      <c r="J2239" s="15">
        <v>151</v>
      </c>
      <c r="K2239" s="5">
        <v>4</v>
      </c>
      <c r="L2239" s="16">
        <v>105.33333333333333</v>
      </c>
      <c r="M2239" s="12"/>
      <c r="N2239" s="14">
        <f t="shared" si="104"/>
        <v>0</v>
      </c>
      <c r="O2239" s="28">
        <f>0.12*M2239</f>
        <v>0</v>
      </c>
      <c r="P2239" s="24">
        <f>0.00039*M2239</f>
        <v>0</v>
      </c>
      <c r="Q2239" s="25"/>
      <c r="R2239" s="26" t="s">
        <v>6929</v>
      </c>
      <c r="S2239" s="26" t="s">
        <v>29</v>
      </c>
      <c r="T2239" s="6" t="str">
        <f>HYPERLINK("https://kanzpp.ru/api/getInfo/image/6cbbfa3d-507c-11ee-a244-00155d82e902")</f>
        <v>https://kanzpp.ru/api/getInfo/image/6cbbfa3d-507c-11ee-a244-00155d82e902</v>
      </c>
      <c r="U2239" s="6"/>
      <c r="V2239" s="33" t="s">
        <v>35</v>
      </c>
    </row>
    <row r="2240" spans="2:22" ht="21" customHeight="1" outlineLevel="4" x14ac:dyDescent="0.2">
      <c r="B2240" s="69">
        <v>1641</v>
      </c>
      <c r="C2240" s="6" t="s">
        <v>6930</v>
      </c>
      <c r="D2240" s="6" t="s">
        <v>6931</v>
      </c>
      <c r="E2240" s="7" t="s">
        <v>6932</v>
      </c>
      <c r="F2240" s="13"/>
      <c r="G2240" s="14"/>
      <c r="H2240" s="15">
        <v>50</v>
      </c>
      <c r="I2240" s="14"/>
      <c r="J2240" s="15">
        <v>620</v>
      </c>
      <c r="K2240" s="5">
        <v>4</v>
      </c>
      <c r="L2240" s="16">
        <v>105.33333333333333</v>
      </c>
      <c r="M2240" s="12"/>
      <c r="N2240" s="14">
        <f t="shared" si="104"/>
        <v>0</v>
      </c>
      <c r="O2240" s="28">
        <f>0.12*M2240</f>
        <v>0</v>
      </c>
      <c r="P2240" s="24">
        <f>0.00038*M2240</f>
        <v>0</v>
      </c>
      <c r="Q2240" s="25"/>
      <c r="R2240" s="26" t="s">
        <v>6933</v>
      </c>
      <c r="S2240" s="26" t="s">
        <v>29</v>
      </c>
      <c r="T2240" s="6" t="str">
        <f>HYPERLINK("https://kanzpp.ru/api/getInfo/image/17f5808b-507d-11ee-a244-00155d82e902")</f>
        <v>https://kanzpp.ru/api/getInfo/image/17f5808b-507d-11ee-a244-00155d82e902</v>
      </c>
      <c r="U2240" s="6"/>
      <c r="V2240" s="33" t="s">
        <v>35</v>
      </c>
    </row>
    <row r="2241" spans="2:22" ht="21" customHeight="1" outlineLevel="4" x14ac:dyDescent="0.2">
      <c r="B2241" s="69">
        <v>1642</v>
      </c>
      <c r="C2241" s="6" t="s">
        <v>6934</v>
      </c>
      <c r="D2241" s="6" t="s">
        <v>6935</v>
      </c>
      <c r="E2241" s="7" t="s">
        <v>6936</v>
      </c>
      <c r="F2241" s="13"/>
      <c r="G2241" s="14"/>
      <c r="H2241" s="15">
        <v>50</v>
      </c>
      <c r="I2241" s="14"/>
      <c r="J2241" s="15">
        <v>504</v>
      </c>
      <c r="K2241" s="5">
        <v>4</v>
      </c>
      <c r="L2241" s="16">
        <v>105.33333333333333</v>
      </c>
      <c r="M2241" s="12"/>
      <c r="N2241" s="14">
        <f t="shared" si="104"/>
        <v>0</v>
      </c>
      <c r="O2241" s="23">
        <f>0.119*M2241</f>
        <v>0</v>
      </c>
      <c r="P2241" s="24">
        <f>0.00142*M2241</f>
        <v>0</v>
      </c>
      <c r="Q2241" s="25"/>
      <c r="R2241" s="26" t="s">
        <v>6937</v>
      </c>
      <c r="S2241" s="26" t="s">
        <v>29</v>
      </c>
      <c r="T2241" s="6" t="str">
        <f>HYPERLINK("https://kanzpp.ru/api/getInfo/image/401bcaf9-507d-11ee-a244-00155d82e902")</f>
        <v>https://kanzpp.ru/api/getInfo/image/401bcaf9-507d-11ee-a244-00155d82e902</v>
      </c>
      <c r="U2241" s="6"/>
      <c r="V2241" s="33" t="s">
        <v>35</v>
      </c>
    </row>
    <row r="2242" spans="2:22" ht="21" customHeight="1" outlineLevel="4" x14ac:dyDescent="0.2">
      <c r="B2242" s="69">
        <v>1643</v>
      </c>
      <c r="C2242" s="6" t="s">
        <v>6938</v>
      </c>
      <c r="D2242" s="6" t="s">
        <v>6939</v>
      </c>
      <c r="E2242" s="7" t="s">
        <v>6940</v>
      </c>
      <c r="F2242" s="13"/>
      <c r="G2242" s="14"/>
      <c r="H2242" s="15">
        <v>50</v>
      </c>
      <c r="I2242" s="14"/>
      <c r="J2242" s="15">
        <v>252</v>
      </c>
      <c r="K2242" s="5">
        <v>4</v>
      </c>
      <c r="L2242" s="16">
        <v>105.33333333333333</v>
      </c>
      <c r="M2242" s="12"/>
      <c r="N2242" s="14">
        <f t="shared" si="104"/>
        <v>0</v>
      </c>
      <c r="O2242" s="28">
        <f>0.12*M2242</f>
        <v>0</v>
      </c>
      <c r="P2242" s="24">
        <f>0.00204*M2242</f>
        <v>0</v>
      </c>
      <c r="Q2242" s="25"/>
      <c r="R2242" s="26" t="s">
        <v>6941</v>
      </c>
      <c r="S2242" s="26" t="s">
        <v>29</v>
      </c>
      <c r="T2242" s="6" t="str">
        <f>HYPERLINK("https://kanzpp.ru/api/getInfo/image/737d6e09-507d-11ee-a244-00155d82e902")</f>
        <v>https://kanzpp.ru/api/getInfo/image/737d6e09-507d-11ee-a244-00155d82e902</v>
      </c>
      <c r="U2242" s="6"/>
      <c r="V2242" s="33" t="s">
        <v>35</v>
      </c>
    </row>
    <row r="2243" spans="2:22" ht="21" customHeight="1" outlineLevel="4" x14ac:dyDescent="0.2">
      <c r="B2243" s="69">
        <v>1644</v>
      </c>
      <c r="C2243" s="6" t="s">
        <v>6942</v>
      </c>
      <c r="D2243" s="6" t="s">
        <v>6943</v>
      </c>
      <c r="E2243" s="7" t="s">
        <v>6944</v>
      </c>
      <c r="F2243" s="13"/>
      <c r="G2243" s="14"/>
      <c r="H2243" s="15">
        <v>50</v>
      </c>
      <c r="I2243" s="14"/>
      <c r="J2243" s="15">
        <v>512</v>
      </c>
      <c r="K2243" s="5">
        <v>4</v>
      </c>
      <c r="L2243" s="16">
        <v>105.33333333333333</v>
      </c>
      <c r="M2243" s="12"/>
      <c r="N2243" s="14">
        <f t="shared" si="104"/>
        <v>0</v>
      </c>
      <c r="O2243" s="23">
        <f>0.116*M2243</f>
        <v>0</v>
      </c>
      <c r="P2243" s="24">
        <f>0.00243*M2243</f>
        <v>0</v>
      </c>
      <c r="Q2243" s="25"/>
      <c r="R2243" s="26" t="s">
        <v>6945</v>
      </c>
      <c r="S2243" s="26" t="s">
        <v>29</v>
      </c>
      <c r="T2243" s="6" t="str">
        <f>HYPERLINK("https://kanzpp.ru/api/getInfo/image/093f9e08-507e-11ee-a244-00155d82e902")</f>
        <v>https://kanzpp.ru/api/getInfo/image/093f9e08-507e-11ee-a244-00155d82e902</v>
      </c>
      <c r="U2243" s="6"/>
      <c r="V2243" s="33" t="s">
        <v>35</v>
      </c>
    </row>
    <row r="2244" spans="2:22" ht="21" customHeight="1" outlineLevel="4" x14ac:dyDescent="0.2">
      <c r="B2244" s="69">
        <v>1645</v>
      </c>
      <c r="C2244" s="6" t="s">
        <v>6946</v>
      </c>
      <c r="D2244" s="6" t="s">
        <v>6947</v>
      </c>
      <c r="E2244" s="7" t="s">
        <v>6948</v>
      </c>
      <c r="F2244" s="13"/>
      <c r="G2244" s="14"/>
      <c r="H2244" s="15">
        <v>50</v>
      </c>
      <c r="I2244" s="14"/>
      <c r="J2244" s="15">
        <v>559</v>
      </c>
      <c r="K2244" s="5">
        <v>4</v>
      </c>
      <c r="L2244" s="16">
        <v>105.33333333333333</v>
      </c>
      <c r="M2244" s="12"/>
      <c r="N2244" s="14">
        <f t="shared" si="104"/>
        <v>0</v>
      </c>
      <c r="O2244" s="23">
        <f>0.131*M2244</f>
        <v>0</v>
      </c>
      <c r="P2244" s="24">
        <f>0.00201*M2244</f>
        <v>0</v>
      </c>
      <c r="Q2244" s="25"/>
      <c r="R2244" s="26" t="s">
        <v>6949</v>
      </c>
      <c r="S2244" s="26" t="s">
        <v>29</v>
      </c>
      <c r="T2244" s="6" t="str">
        <f>HYPERLINK("https://kanzpp.ru/api/getInfo/image/37275ee1-507e-11ee-a244-00155d82e902")</f>
        <v>https://kanzpp.ru/api/getInfo/image/37275ee1-507e-11ee-a244-00155d82e902</v>
      </c>
      <c r="U2244" s="6"/>
      <c r="V2244" s="33" t="s">
        <v>35</v>
      </c>
    </row>
    <row r="2245" spans="2:22" ht="21" customHeight="1" outlineLevel="4" x14ac:dyDescent="0.2">
      <c r="B2245" s="69">
        <v>1646</v>
      </c>
      <c r="C2245" s="6" t="s">
        <v>6950</v>
      </c>
      <c r="D2245" s="6" t="s">
        <v>6951</v>
      </c>
      <c r="E2245" s="7" t="s">
        <v>6952</v>
      </c>
      <c r="F2245" s="13"/>
      <c r="G2245" s="14"/>
      <c r="H2245" s="15">
        <v>50</v>
      </c>
      <c r="I2245" s="14"/>
      <c r="J2245" s="14" t="s">
        <v>144</v>
      </c>
      <c r="K2245" s="5">
        <v>4</v>
      </c>
      <c r="L2245" s="16">
        <v>78.666666666666671</v>
      </c>
      <c r="M2245" s="12"/>
      <c r="N2245" s="14">
        <f t="shared" si="104"/>
        <v>0</v>
      </c>
      <c r="O2245" s="23">
        <f>0.103*M2245</f>
        <v>0</v>
      </c>
      <c r="P2245" s="24">
        <f>0.00015*M2245</f>
        <v>0</v>
      </c>
      <c r="Q2245" s="25"/>
      <c r="R2245" s="26" t="s">
        <v>6953</v>
      </c>
      <c r="S2245" s="26" t="s">
        <v>29</v>
      </c>
      <c r="T2245" s="6" t="str">
        <f>HYPERLINK("https://kanzpp.ru/api/getInfo/image/31477e74-2831-11ed-a216-ac1f6b442185")</f>
        <v>https://kanzpp.ru/api/getInfo/image/31477e74-2831-11ed-a216-ac1f6b442185</v>
      </c>
      <c r="U2245" s="6"/>
      <c r="V2245" s="33" t="s">
        <v>35</v>
      </c>
    </row>
    <row r="2246" spans="2:22" ht="22.95" customHeight="1" outlineLevel="3" x14ac:dyDescent="0.2">
      <c r="B2246" s="81" t="s">
        <v>6954</v>
      </c>
      <c r="C2246" s="81"/>
      <c r="D2246" s="81"/>
      <c r="L2246">
        <v>0</v>
      </c>
    </row>
    <row r="2247" spans="2:22" ht="21" customHeight="1" outlineLevel="4" x14ac:dyDescent="0.2">
      <c r="B2247" s="69">
        <v>1647</v>
      </c>
      <c r="C2247" s="6" t="s">
        <v>6955</v>
      </c>
      <c r="D2247" s="6" t="s">
        <v>6956</v>
      </c>
      <c r="E2247" s="7" t="s">
        <v>6957</v>
      </c>
      <c r="F2247" s="13"/>
      <c r="G2247" s="14"/>
      <c r="H2247" s="15">
        <v>50</v>
      </c>
      <c r="I2247" s="14"/>
      <c r="J2247" s="15">
        <v>145</v>
      </c>
      <c r="K2247" s="5">
        <v>3</v>
      </c>
      <c r="L2247" s="16">
        <v>145.33333333333334</v>
      </c>
      <c r="M2247" s="12"/>
      <c r="N2247" s="14">
        <f>L2247*M2247</f>
        <v>0</v>
      </c>
      <c r="O2247" s="23">
        <f>0.142*M2247</f>
        <v>0</v>
      </c>
      <c r="P2247" s="24">
        <f>0.00083*M2247</f>
        <v>0</v>
      </c>
      <c r="Q2247" s="25"/>
      <c r="R2247" s="26" t="s">
        <v>6958</v>
      </c>
      <c r="S2247" s="26" t="s">
        <v>29</v>
      </c>
      <c r="T2247" s="6" t="str">
        <f>HYPERLINK("https://kanzpp.ru/api/getInfo/image/9a8a9fe0-22a3-11ec-a20f-ac1f6b442185")</f>
        <v>https://kanzpp.ru/api/getInfo/image/9a8a9fe0-22a3-11ec-a20f-ac1f6b442185</v>
      </c>
      <c r="U2247" s="6"/>
      <c r="V2247" s="33" t="s">
        <v>35</v>
      </c>
    </row>
    <row r="2248" spans="2:22" ht="21" customHeight="1" outlineLevel="4" x14ac:dyDescent="0.2">
      <c r="B2248" s="69">
        <v>1648</v>
      </c>
      <c r="C2248" s="6" t="s">
        <v>6959</v>
      </c>
      <c r="D2248" s="6" t="s">
        <v>6960</v>
      </c>
      <c r="E2248" s="7" t="s">
        <v>6961</v>
      </c>
      <c r="F2248" s="13"/>
      <c r="G2248" s="14"/>
      <c r="H2248" s="15">
        <v>50</v>
      </c>
      <c r="I2248" s="14"/>
      <c r="J2248" s="14" t="s">
        <v>144</v>
      </c>
      <c r="K2248" s="5">
        <v>3</v>
      </c>
      <c r="L2248" s="16">
        <v>145.33333333333334</v>
      </c>
      <c r="M2248" s="12"/>
      <c r="N2248" s="14">
        <f>L2248*M2248</f>
        <v>0</v>
      </c>
      <c r="O2248" s="23">
        <f>0.139*M2248</f>
        <v>0</v>
      </c>
      <c r="P2248" s="24">
        <f>0.00152*M2248</f>
        <v>0</v>
      </c>
      <c r="Q2248" s="25"/>
      <c r="R2248" s="26" t="s">
        <v>6962</v>
      </c>
      <c r="S2248" s="26" t="s">
        <v>29</v>
      </c>
      <c r="T2248" s="6" t="str">
        <f>HYPERLINK("https://kanzpp.ru/api/getInfo/image/d7a7d551-22a3-11ec-a20f-ac1f6b442185")</f>
        <v>https://kanzpp.ru/api/getInfo/image/d7a7d551-22a3-11ec-a20f-ac1f6b442185</v>
      </c>
      <c r="U2248" s="6"/>
      <c r="V2248" s="33" t="s">
        <v>35</v>
      </c>
    </row>
    <row r="2249" spans="2:22" ht="21" customHeight="1" outlineLevel="4" x14ac:dyDescent="0.2">
      <c r="B2249" s="69">
        <v>1649</v>
      </c>
      <c r="C2249" s="6" t="s">
        <v>6963</v>
      </c>
      <c r="D2249" s="6" t="s">
        <v>6964</v>
      </c>
      <c r="E2249" s="7" t="s">
        <v>6965</v>
      </c>
      <c r="F2249" s="13"/>
      <c r="G2249" s="14"/>
      <c r="H2249" s="15">
        <v>50</v>
      </c>
      <c r="I2249" s="14"/>
      <c r="J2249" s="15">
        <v>332</v>
      </c>
      <c r="K2249" s="5">
        <v>3</v>
      </c>
      <c r="L2249" s="16">
        <v>145.33333333333334</v>
      </c>
      <c r="M2249" s="12"/>
      <c r="N2249" s="14">
        <f>L2249*M2249</f>
        <v>0</v>
      </c>
      <c r="O2249" s="28">
        <f>0.14*M2249</f>
        <v>0</v>
      </c>
      <c r="P2249" s="24">
        <f>0.00084*M2249</f>
        <v>0</v>
      </c>
      <c r="Q2249" s="25"/>
      <c r="R2249" s="26" t="s">
        <v>6966</v>
      </c>
      <c r="S2249" s="26" t="s">
        <v>29</v>
      </c>
      <c r="T2249" s="6" t="str">
        <f>HYPERLINK("https://kanzpp.ru/api/getInfo/image/3ea74521-22a4-11ec-a20f-ac1f6b442185")</f>
        <v>https://kanzpp.ru/api/getInfo/image/3ea74521-22a4-11ec-a20f-ac1f6b442185</v>
      </c>
      <c r="U2249" s="6"/>
      <c r="V2249" s="33" t="s">
        <v>35</v>
      </c>
    </row>
    <row r="2250" spans="2:22" ht="21" customHeight="1" outlineLevel="4" x14ac:dyDescent="0.2">
      <c r="B2250" s="69">
        <v>1650</v>
      </c>
      <c r="C2250" s="6" t="s">
        <v>6967</v>
      </c>
      <c r="D2250" s="6" t="s">
        <v>6968</v>
      </c>
      <c r="E2250" s="7" t="s">
        <v>6969</v>
      </c>
      <c r="F2250" s="13"/>
      <c r="G2250" s="14"/>
      <c r="H2250" s="15">
        <v>50</v>
      </c>
      <c r="I2250" s="14"/>
      <c r="J2250" s="15">
        <v>14</v>
      </c>
      <c r="K2250" s="5">
        <v>3</v>
      </c>
      <c r="L2250" s="16">
        <v>145.33333333333334</v>
      </c>
      <c r="M2250" s="12"/>
      <c r="N2250" s="14">
        <f>L2250*M2250</f>
        <v>0</v>
      </c>
      <c r="O2250" s="23">
        <f>0.131*M2250</f>
        <v>0</v>
      </c>
      <c r="P2250" s="24">
        <f>0.00303*M2250</f>
        <v>0</v>
      </c>
      <c r="Q2250" s="25"/>
      <c r="R2250" s="26" t="s">
        <v>6970</v>
      </c>
      <c r="S2250" s="26" t="s">
        <v>29</v>
      </c>
      <c r="T2250" s="6" t="str">
        <f>HYPERLINK("https://kanzpp.ru/api/getInfo/image/06342374-22a4-11ec-a20f-ac1f6b442185")</f>
        <v>https://kanzpp.ru/api/getInfo/image/06342374-22a4-11ec-a20f-ac1f6b442185</v>
      </c>
      <c r="U2250" s="6"/>
      <c r="V2250" s="33" t="s">
        <v>35</v>
      </c>
    </row>
    <row r="2251" spans="2:22" ht="22.95" customHeight="1" outlineLevel="3" x14ac:dyDescent="0.2">
      <c r="B2251" s="81" t="s">
        <v>6971</v>
      </c>
      <c r="C2251" s="81"/>
      <c r="D2251" s="81"/>
      <c r="L2251">
        <v>0</v>
      </c>
    </row>
    <row r="2252" spans="2:22" ht="21" customHeight="1" outlineLevel="4" x14ac:dyDescent="0.2">
      <c r="B2252" s="69">
        <v>1651</v>
      </c>
      <c r="C2252" s="6" t="s">
        <v>6972</v>
      </c>
      <c r="D2252" s="6" t="s">
        <v>6973</v>
      </c>
      <c r="E2252" s="7" t="s">
        <v>520</v>
      </c>
      <c r="F2252" s="13"/>
      <c r="G2252" s="14"/>
      <c r="H2252" s="15">
        <v>50</v>
      </c>
      <c r="I2252" s="14"/>
      <c r="J2252" s="15">
        <v>238</v>
      </c>
      <c r="K2252" s="5">
        <v>1</v>
      </c>
      <c r="L2252" s="16">
        <v>278.66666666666669</v>
      </c>
      <c r="M2252" s="12"/>
      <c r="N2252" s="14">
        <f>L2252*M2252</f>
        <v>0</v>
      </c>
      <c r="O2252" s="23">
        <f>0.214*M2252</f>
        <v>0</v>
      </c>
      <c r="P2252" s="24">
        <f>0.00557*M2252</f>
        <v>0</v>
      </c>
      <c r="Q2252" s="25"/>
      <c r="R2252" s="26" t="s">
        <v>521</v>
      </c>
      <c r="S2252" s="26" t="s">
        <v>93</v>
      </c>
      <c r="T2252" s="6" t="str">
        <f>HYPERLINK("https://kanzpp.ru/api/getInfo/image/b52d9497-4acd-11ed-a217-ac1f6b442185")</f>
        <v>https://kanzpp.ru/api/getInfo/image/b52d9497-4acd-11ed-a217-ac1f6b442185</v>
      </c>
      <c r="U2252" s="6"/>
      <c r="V2252" s="33" t="s">
        <v>35</v>
      </c>
    </row>
    <row r="2253" spans="2:22" ht="21" customHeight="1" outlineLevel="4" x14ac:dyDescent="0.2">
      <c r="B2253" s="69">
        <v>1652</v>
      </c>
      <c r="C2253" s="6" t="s">
        <v>6974</v>
      </c>
      <c r="D2253" s="6" t="s">
        <v>6975</v>
      </c>
      <c r="E2253" s="7" t="s">
        <v>6976</v>
      </c>
      <c r="F2253" s="13"/>
      <c r="G2253" s="14"/>
      <c r="H2253" s="15">
        <v>50</v>
      </c>
      <c r="I2253" s="14"/>
      <c r="J2253" s="15">
        <v>709</v>
      </c>
      <c r="K2253" s="5">
        <v>1</v>
      </c>
      <c r="L2253" s="16">
        <v>278.66666666666669</v>
      </c>
      <c r="M2253" s="12"/>
      <c r="N2253" s="14">
        <f>L2253*M2253</f>
        <v>0</v>
      </c>
      <c r="O2253" s="23">
        <f>0.225*M2253</f>
        <v>0</v>
      </c>
      <c r="P2253" s="24">
        <f>0.00185*M2253</f>
        <v>0</v>
      </c>
      <c r="Q2253" s="25"/>
      <c r="R2253" s="26" t="s">
        <v>6977</v>
      </c>
      <c r="S2253" s="26" t="s">
        <v>93</v>
      </c>
      <c r="T2253" s="6" t="str">
        <f>HYPERLINK("https://kanzpp.ru/api/getInfo/image/506e6abb-4ace-11ed-a217-ac1f6b442185")</f>
        <v>https://kanzpp.ru/api/getInfo/image/506e6abb-4ace-11ed-a217-ac1f6b442185</v>
      </c>
      <c r="U2253" s="6" t="s">
        <v>6977</v>
      </c>
      <c r="V2253" s="33" t="s">
        <v>35</v>
      </c>
    </row>
    <row r="2254" spans="2:22" ht="21" customHeight="1" outlineLevel="4" x14ac:dyDescent="0.2">
      <c r="B2254" s="69">
        <v>1653</v>
      </c>
      <c r="C2254" s="6" t="s">
        <v>6978</v>
      </c>
      <c r="D2254" s="6" t="s">
        <v>6979</v>
      </c>
      <c r="E2254" s="7" t="s">
        <v>6980</v>
      </c>
      <c r="F2254" s="13"/>
      <c r="G2254" s="14"/>
      <c r="H2254" s="15">
        <v>50</v>
      </c>
      <c r="I2254" s="14"/>
      <c r="J2254" s="15">
        <v>694</v>
      </c>
      <c r="K2254" s="5">
        <v>1</v>
      </c>
      <c r="L2254" s="16">
        <v>278.66666666666669</v>
      </c>
      <c r="M2254" s="12"/>
      <c r="N2254" s="14">
        <f>L2254*M2254</f>
        <v>0</v>
      </c>
      <c r="O2254" s="23">
        <f>0.204*M2254</f>
        <v>0</v>
      </c>
      <c r="P2254" s="24">
        <f>0.00175*M2254</f>
        <v>0</v>
      </c>
      <c r="Q2254" s="25"/>
      <c r="R2254" s="26" t="s">
        <v>6981</v>
      </c>
      <c r="S2254" s="26" t="s">
        <v>93</v>
      </c>
      <c r="T2254" s="6" t="str">
        <f>HYPERLINK("https://kanzpp.ru/api/getInfo/image/1fe183ce-4ace-11ed-a217-ac1f6b442185")</f>
        <v>https://kanzpp.ru/api/getInfo/image/1fe183ce-4ace-11ed-a217-ac1f6b442185</v>
      </c>
      <c r="U2254" s="6"/>
      <c r="V2254" s="33" t="s">
        <v>35</v>
      </c>
    </row>
    <row r="2255" spans="2:22" ht="21" customHeight="1" outlineLevel="4" x14ac:dyDescent="0.2">
      <c r="B2255" s="69">
        <v>1654</v>
      </c>
      <c r="C2255" s="6" t="s">
        <v>6982</v>
      </c>
      <c r="D2255" s="6" t="s">
        <v>6983</v>
      </c>
      <c r="E2255" s="7" t="s">
        <v>916</v>
      </c>
      <c r="F2255" s="13"/>
      <c r="G2255" s="14"/>
      <c r="H2255" s="15">
        <v>50</v>
      </c>
      <c r="I2255" s="14"/>
      <c r="J2255" s="15">
        <v>177</v>
      </c>
      <c r="K2255" s="5">
        <v>1</v>
      </c>
      <c r="L2255" s="16">
        <v>278.66666666666669</v>
      </c>
      <c r="M2255" s="12"/>
      <c r="N2255" s="14">
        <f>L2255*M2255</f>
        <v>0</v>
      </c>
      <c r="O2255" s="23">
        <f>0.221*M2255</f>
        <v>0</v>
      </c>
      <c r="P2255" s="24">
        <f>0.00524*M2255</f>
        <v>0</v>
      </c>
      <c r="Q2255" s="25"/>
      <c r="R2255" s="26" t="s">
        <v>917</v>
      </c>
      <c r="S2255" s="26" t="s">
        <v>93</v>
      </c>
      <c r="T2255" s="6" t="str">
        <f>HYPERLINK("https://kanzpp.ru/api/getInfo/image/f79c2c7c-4acd-11ed-a217-ac1f6b442185")</f>
        <v>https://kanzpp.ru/api/getInfo/image/f79c2c7c-4acd-11ed-a217-ac1f6b442185</v>
      </c>
      <c r="U2255" s="6"/>
      <c r="V2255" s="33" t="s">
        <v>35</v>
      </c>
    </row>
    <row r="2256" spans="2:22" ht="22.95" customHeight="1" outlineLevel="2" x14ac:dyDescent="0.2">
      <c r="B2256" s="80" t="s">
        <v>6984</v>
      </c>
      <c r="C2256" s="80"/>
      <c r="D2256" s="80"/>
      <c r="L2256">
        <v>0</v>
      </c>
    </row>
    <row r="2257" spans="2:22" ht="22.95" customHeight="1" outlineLevel="3" x14ac:dyDescent="0.2">
      <c r="B2257" s="81" t="s">
        <v>6985</v>
      </c>
      <c r="C2257" s="81"/>
      <c r="D2257" s="81"/>
      <c r="L2257">
        <v>0</v>
      </c>
    </row>
    <row r="2258" spans="2:22" ht="22.95" customHeight="1" outlineLevel="4" x14ac:dyDescent="0.2">
      <c r="B2258" s="82" t="s">
        <v>6986</v>
      </c>
      <c r="C2258" s="82"/>
      <c r="D2258" s="82"/>
      <c r="L2258">
        <v>0</v>
      </c>
    </row>
    <row r="2259" spans="2:22" ht="21" customHeight="1" outlineLevel="5" x14ac:dyDescent="0.2">
      <c r="B2259" s="69">
        <v>1655</v>
      </c>
      <c r="C2259" s="6" t="s">
        <v>6987</v>
      </c>
      <c r="D2259" s="6" t="s">
        <v>6988</v>
      </c>
      <c r="E2259" s="7" t="s">
        <v>6989</v>
      </c>
      <c r="F2259" s="13"/>
      <c r="G2259" s="14"/>
      <c r="H2259" s="15">
        <v>50</v>
      </c>
      <c r="I2259" s="14"/>
      <c r="J2259" s="15">
        <v>741</v>
      </c>
      <c r="K2259" s="5">
        <v>5</v>
      </c>
      <c r="L2259" s="16">
        <v>65.333333333333329</v>
      </c>
      <c r="M2259" s="12"/>
      <c r="N2259" s="14">
        <f t="shared" ref="N2259:N2269" si="105">L2259*M2259</f>
        <v>0</v>
      </c>
      <c r="O2259" s="23">
        <f>0.071*M2259</f>
        <v>0</v>
      </c>
      <c r="P2259" s="24">
        <f>0.00053*M2259</f>
        <v>0</v>
      </c>
      <c r="Q2259" s="25"/>
      <c r="R2259" s="26" t="s">
        <v>6990</v>
      </c>
      <c r="S2259" s="26" t="s">
        <v>29</v>
      </c>
      <c r="T2259" s="6" t="str">
        <f>HYPERLINK("https://kanzpp.ru/api/getInfo/image/9e9845cd-539e-11ee-a244-00155d82e902")</f>
        <v>https://kanzpp.ru/api/getInfo/image/9e9845cd-539e-11ee-a244-00155d82e902</v>
      </c>
      <c r="U2259" s="6"/>
      <c r="V2259" s="33" t="s">
        <v>35</v>
      </c>
    </row>
    <row r="2260" spans="2:22" ht="21" customHeight="1" outlineLevel="5" x14ac:dyDescent="0.2">
      <c r="B2260" s="69">
        <v>1656</v>
      </c>
      <c r="C2260" s="6" t="s">
        <v>6991</v>
      </c>
      <c r="D2260" s="6" t="s">
        <v>6992</v>
      </c>
      <c r="E2260" s="7" t="s">
        <v>6993</v>
      </c>
      <c r="F2260" s="13"/>
      <c r="G2260" s="14"/>
      <c r="H2260" s="15">
        <v>50</v>
      </c>
      <c r="I2260" s="14"/>
      <c r="J2260" s="15">
        <v>666</v>
      </c>
      <c r="K2260" s="5">
        <v>5</v>
      </c>
      <c r="L2260" s="16">
        <v>86.666666666666671</v>
      </c>
      <c r="M2260" s="12"/>
      <c r="N2260" s="14">
        <f t="shared" si="105"/>
        <v>0</v>
      </c>
      <c r="O2260" s="28">
        <f>0.06*M2260</f>
        <v>0</v>
      </c>
      <c r="P2260" s="24">
        <f>0.00061*M2260</f>
        <v>0</v>
      </c>
      <c r="Q2260" s="25"/>
      <c r="R2260" s="26" t="s">
        <v>6994</v>
      </c>
      <c r="S2260" s="26" t="s">
        <v>29</v>
      </c>
      <c r="T2260" s="6" t="str">
        <f>HYPERLINK("https://kanzpp.ru/api/getInfo/image/d1c42b61-5ef8-11ef-a262-00155d82e908")</f>
        <v>https://kanzpp.ru/api/getInfo/image/d1c42b61-5ef8-11ef-a262-00155d82e908</v>
      </c>
      <c r="U2260" s="6"/>
      <c r="V2260" s="33" t="s">
        <v>35</v>
      </c>
    </row>
    <row r="2261" spans="2:22" ht="21" customHeight="1" outlineLevel="5" x14ac:dyDescent="0.2">
      <c r="B2261" s="69">
        <v>1657</v>
      </c>
      <c r="C2261" s="6" t="s">
        <v>6995</v>
      </c>
      <c r="D2261" s="6" t="s">
        <v>6996</v>
      </c>
      <c r="E2261" s="7" t="s">
        <v>6997</v>
      </c>
      <c r="F2261" s="13"/>
      <c r="G2261" s="14"/>
      <c r="H2261" s="15">
        <v>50</v>
      </c>
      <c r="I2261" s="14"/>
      <c r="J2261" s="15">
        <v>212</v>
      </c>
      <c r="K2261" s="5">
        <v>5</v>
      </c>
      <c r="L2261" s="16">
        <v>86.666666666666671</v>
      </c>
      <c r="M2261" s="12"/>
      <c r="N2261" s="14">
        <f t="shared" si="105"/>
        <v>0</v>
      </c>
      <c r="O2261" s="23">
        <f>0.067*M2261</f>
        <v>0</v>
      </c>
      <c r="P2261" s="24">
        <f>0.00124*M2261</f>
        <v>0</v>
      </c>
      <c r="Q2261" s="25"/>
      <c r="R2261" s="26" t="s">
        <v>6998</v>
      </c>
      <c r="S2261" s="26" t="s">
        <v>29</v>
      </c>
      <c r="T2261" s="6" t="str">
        <f>HYPERLINK("https://kanzpp.ru/api/getInfo/image/0c0b8ca4-5efa-11ef-a262-00155d82e908")</f>
        <v>https://kanzpp.ru/api/getInfo/image/0c0b8ca4-5efa-11ef-a262-00155d82e908</v>
      </c>
      <c r="U2261" s="6"/>
      <c r="V2261" s="33" t="s">
        <v>35</v>
      </c>
    </row>
    <row r="2262" spans="2:22" ht="21" customHeight="1" outlineLevel="5" x14ac:dyDescent="0.2">
      <c r="B2262" s="69">
        <v>1658</v>
      </c>
      <c r="C2262" s="6" t="s">
        <v>6999</v>
      </c>
      <c r="D2262" s="6" t="s">
        <v>7000</v>
      </c>
      <c r="E2262" s="7" t="s">
        <v>7001</v>
      </c>
      <c r="F2262" s="13"/>
      <c r="G2262" s="14"/>
      <c r="H2262" s="15">
        <v>50</v>
      </c>
      <c r="I2262" s="14"/>
      <c r="J2262" s="15">
        <v>376</v>
      </c>
      <c r="K2262" s="5">
        <v>5</v>
      </c>
      <c r="L2262" s="16">
        <v>86.666666666666671</v>
      </c>
      <c r="M2262" s="12"/>
      <c r="N2262" s="14">
        <f t="shared" si="105"/>
        <v>0</v>
      </c>
      <c r="O2262" s="28">
        <f>0.07*M2262</f>
        <v>0</v>
      </c>
      <c r="P2262" s="24">
        <f>0.00061*M2262</f>
        <v>0</v>
      </c>
      <c r="Q2262" s="25"/>
      <c r="R2262" s="26" t="s">
        <v>7002</v>
      </c>
      <c r="S2262" s="26" t="s">
        <v>29</v>
      </c>
      <c r="T2262" s="6" t="str">
        <f>HYPERLINK("https://kanzpp.ru/api/getInfo/image/fb0d668b-5ef8-11ef-a262-00155d82e908")</f>
        <v>https://kanzpp.ru/api/getInfo/image/fb0d668b-5ef8-11ef-a262-00155d82e908</v>
      </c>
      <c r="U2262" s="6"/>
      <c r="V2262" s="33" t="s">
        <v>35</v>
      </c>
    </row>
    <row r="2263" spans="2:22" ht="21" customHeight="1" outlineLevel="5" x14ac:dyDescent="0.2">
      <c r="B2263" s="69">
        <v>1659</v>
      </c>
      <c r="C2263" s="6" t="s">
        <v>7003</v>
      </c>
      <c r="D2263" s="6" t="s">
        <v>7004</v>
      </c>
      <c r="E2263" s="7" t="s">
        <v>7005</v>
      </c>
      <c r="F2263" s="13"/>
      <c r="G2263" s="14"/>
      <c r="H2263" s="15">
        <v>50</v>
      </c>
      <c r="I2263" s="14"/>
      <c r="J2263" s="15">
        <v>236</v>
      </c>
      <c r="K2263" s="5">
        <v>5</v>
      </c>
      <c r="L2263" s="16">
        <v>86.666666666666671</v>
      </c>
      <c r="M2263" s="12"/>
      <c r="N2263" s="14">
        <f t="shared" si="105"/>
        <v>0</v>
      </c>
      <c r="O2263" s="28">
        <f>0.07*M2263</f>
        <v>0</v>
      </c>
      <c r="P2263" s="24">
        <f>0.00061*M2263</f>
        <v>0</v>
      </c>
      <c r="Q2263" s="25"/>
      <c r="R2263" s="26" t="s">
        <v>7006</v>
      </c>
      <c r="S2263" s="26" t="s">
        <v>29</v>
      </c>
      <c r="T2263" s="6" t="str">
        <f>HYPERLINK("https://kanzpp.ru/api/getInfo/image/197f6775-5ef9-11ef-a262-00155d82e908")</f>
        <v>https://kanzpp.ru/api/getInfo/image/197f6775-5ef9-11ef-a262-00155d82e908</v>
      </c>
      <c r="U2263" s="6"/>
      <c r="V2263" s="33" t="s">
        <v>35</v>
      </c>
    </row>
    <row r="2264" spans="2:22" ht="21" customHeight="1" outlineLevel="5" x14ac:dyDescent="0.2">
      <c r="B2264" s="69">
        <v>1660</v>
      </c>
      <c r="C2264" s="6" t="s">
        <v>7007</v>
      </c>
      <c r="D2264" s="6" t="s">
        <v>7008</v>
      </c>
      <c r="E2264" s="7" t="s">
        <v>7009</v>
      </c>
      <c r="F2264" s="13"/>
      <c r="G2264" s="14"/>
      <c r="H2264" s="15">
        <v>50</v>
      </c>
      <c r="I2264" s="14"/>
      <c r="J2264" s="15">
        <v>74</v>
      </c>
      <c r="K2264" s="5">
        <v>5</v>
      </c>
      <c r="L2264" s="16">
        <v>86.666666666666671</v>
      </c>
      <c r="M2264" s="12"/>
      <c r="N2264" s="14">
        <f t="shared" si="105"/>
        <v>0</v>
      </c>
      <c r="O2264" s="28">
        <f>0.07*M2264</f>
        <v>0</v>
      </c>
      <c r="P2264" s="24">
        <f>0.00093*M2264</f>
        <v>0</v>
      </c>
      <c r="Q2264" s="25"/>
      <c r="R2264" s="26" t="s">
        <v>7010</v>
      </c>
      <c r="S2264" s="26" t="s">
        <v>29</v>
      </c>
      <c r="T2264" s="6" t="str">
        <f>HYPERLINK("https://kanzpp.ru/api/getInfo/image/3e7196f2-5ef9-11ef-a262-00155d82e908")</f>
        <v>https://kanzpp.ru/api/getInfo/image/3e7196f2-5ef9-11ef-a262-00155d82e908</v>
      </c>
      <c r="U2264" s="6"/>
      <c r="V2264" s="33" t="s">
        <v>35</v>
      </c>
    </row>
    <row r="2265" spans="2:22" ht="21" customHeight="1" outlineLevel="5" x14ac:dyDescent="0.2">
      <c r="B2265" s="69">
        <v>1661</v>
      </c>
      <c r="C2265" s="6" t="s">
        <v>7011</v>
      </c>
      <c r="D2265" s="6" t="s">
        <v>7012</v>
      </c>
      <c r="E2265" s="7" t="s">
        <v>7013</v>
      </c>
      <c r="F2265" s="13"/>
      <c r="G2265" s="14"/>
      <c r="H2265" s="15">
        <v>50</v>
      </c>
      <c r="I2265" s="14"/>
      <c r="J2265" s="14" t="s">
        <v>144</v>
      </c>
      <c r="K2265" s="5">
        <v>5</v>
      </c>
      <c r="L2265" s="16">
        <v>86.666666666666671</v>
      </c>
      <c r="M2265" s="12"/>
      <c r="N2265" s="14">
        <f t="shared" si="105"/>
        <v>0</v>
      </c>
      <c r="O2265" s="23">
        <f>0.068*M2265</f>
        <v>0</v>
      </c>
      <c r="P2265" s="24">
        <f>0.00128*M2265</f>
        <v>0</v>
      </c>
      <c r="Q2265" s="25"/>
      <c r="R2265" s="26" t="s">
        <v>7014</v>
      </c>
      <c r="S2265" s="26" t="s">
        <v>29</v>
      </c>
      <c r="T2265" s="6" t="str">
        <f>HYPERLINK("https://kanzpp.ru/api/getInfo/image/5c43e1d4-5ef9-11ef-a262-00155d82e908")</f>
        <v>https://kanzpp.ru/api/getInfo/image/5c43e1d4-5ef9-11ef-a262-00155d82e908</v>
      </c>
      <c r="U2265" s="6"/>
      <c r="V2265" s="33" t="s">
        <v>35</v>
      </c>
    </row>
    <row r="2266" spans="2:22" ht="21" customHeight="1" outlineLevel="5" x14ac:dyDescent="0.2">
      <c r="B2266" s="69">
        <v>1662</v>
      </c>
      <c r="C2266" s="6" t="s">
        <v>7015</v>
      </c>
      <c r="D2266" s="6" t="s">
        <v>7016</v>
      </c>
      <c r="E2266" s="7" t="s">
        <v>7017</v>
      </c>
      <c r="F2266" s="13"/>
      <c r="G2266" s="14"/>
      <c r="H2266" s="15">
        <v>50</v>
      </c>
      <c r="I2266" s="14"/>
      <c r="J2266" s="14" t="s">
        <v>144</v>
      </c>
      <c r="K2266" s="5">
        <v>5</v>
      </c>
      <c r="L2266" s="16">
        <v>86.666666666666671</v>
      </c>
      <c r="M2266" s="12"/>
      <c r="N2266" s="14">
        <f t="shared" si="105"/>
        <v>0</v>
      </c>
      <c r="O2266" s="28">
        <f>0.07*M2266</f>
        <v>0</v>
      </c>
      <c r="P2266" s="31">
        <f>0.0012*M2266</f>
        <v>0</v>
      </c>
      <c r="Q2266" s="25"/>
      <c r="R2266" s="26" t="s">
        <v>7018</v>
      </c>
      <c r="S2266" s="26" t="s">
        <v>29</v>
      </c>
      <c r="T2266" s="6" t="str">
        <f>HYPERLINK("https://kanzpp.ru/api/getInfo/image/8499e435-5ef9-11ef-a262-00155d82e908")</f>
        <v>https://kanzpp.ru/api/getInfo/image/8499e435-5ef9-11ef-a262-00155d82e908</v>
      </c>
      <c r="U2266" s="6"/>
      <c r="V2266" s="33" t="s">
        <v>35</v>
      </c>
    </row>
    <row r="2267" spans="2:22" ht="21" customHeight="1" outlineLevel="5" x14ac:dyDescent="0.2">
      <c r="B2267" s="69">
        <v>1663</v>
      </c>
      <c r="C2267" s="6" t="s">
        <v>7019</v>
      </c>
      <c r="D2267" s="6" t="s">
        <v>7020</v>
      </c>
      <c r="E2267" s="7" t="s">
        <v>7021</v>
      </c>
      <c r="F2267" s="13"/>
      <c r="G2267" s="14"/>
      <c r="H2267" s="15">
        <v>50</v>
      </c>
      <c r="I2267" s="14"/>
      <c r="J2267" s="15">
        <v>701</v>
      </c>
      <c r="K2267" s="5">
        <v>5</v>
      </c>
      <c r="L2267" s="16">
        <v>86.666666666666671</v>
      </c>
      <c r="M2267" s="12"/>
      <c r="N2267" s="14">
        <f t="shared" si="105"/>
        <v>0</v>
      </c>
      <c r="O2267" s="28">
        <f>0.07*M2267</f>
        <v>0</v>
      </c>
      <c r="P2267" s="24">
        <f>0.00093*M2267</f>
        <v>0</v>
      </c>
      <c r="Q2267" s="25"/>
      <c r="R2267" s="26" t="s">
        <v>7022</v>
      </c>
      <c r="S2267" s="26" t="s">
        <v>29</v>
      </c>
      <c r="T2267" s="6" t="str">
        <f>HYPERLINK("https://kanzpp.ru/api/getInfo/image/5af9c83b-5efa-11ef-a262-00155d82e908")</f>
        <v>https://kanzpp.ru/api/getInfo/image/5af9c83b-5efa-11ef-a262-00155d82e908</v>
      </c>
      <c r="U2267" s="6"/>
      <c r="V2267" s="33" t="s">
        <v>35</v>
      </c>
    </row>
    <row r="2268" spans="2:22" ht="21" customHeight="1" outlineLevel="5" x14ac:dyDescent="0.2">
      <c r="B2268" s="69">
        <v>1664</v>
      </c>
      <c r="C2268" s="6" t="s">
        <v>7023</v>
      </c>
      <c r="D2268" s="6" t="s">
        <v>7024</v>
      </c>
      <c r="E2268" s="7" t="s">
        <v>7025</v>
      </c>
      <c r="F2268" s="13"/>
      <c r="G2268" s="14"/>
      <c r="H2268" s="15">
        <v>50</v>
      </c>
      <c r="I2268" s="14"/>
      <c r="J2268" s="14" t="s">
        <v>144</v>
      </c>
      <c r="K2268" s="5">
        <v>5</v>
      </c>
      <c r="L2268" s="16">
        <v>86.666666666666671</v>
      </c>
      <c r="M2268" s="12"/>
      <c r="N2268" s="14">
        <f t="shared" si="105"/>
        <v>0</v>
      </c>
      <c r="O2268" s="28">
        <f>0.07*M2268</f>
        <v>0</v>
      </c>
      <c r="P2268" s="31">
        <f>0.0012*M2268</f>
        <v>0</v>
      </c>
      <c r="Q2268" s="25"/>
      <c r="R2268" s="26" t="s">
        <v>7026</v>
      </c>
      <c r="S2268" s="26" t="s">
        <v>29</v>
      </c>
      <c r="T2268" s="6" t="str">
        <f>HYPERLINK("https://kanzpp.ru/api/getInfo/image/824bf190-5efa-11ef-a262-00155d82e908")</f>
        <v>https://kanzpp.ru/api/getInfo/image/824bf190-5efa-11ef-a262-00155d82e908</v>
      </c>
      <c r="U2268" s="6"/>
      <c r="V2268" s="33" t="s">
        <v>35</v>
      </c>
    </row>
    <row r="2269" spans="2:22" ht="21" customHeight="1" outlineLevel="5" x14ac:dyDescent="0.2">
      <c r="B2269" s="69">
        <v>1665</v>
      </c>
      <c r="C2269" s="6" t="s">
        <v>7027</v>
      </c>
      <c r="D2269" s="6" t="s">
        <v>7028</v>
      </c>
      <c r="E2269" s="7" t="s">
        <v>7029</v>
      </c>
      <c r="F2269" s="13"/>
      <c r="G2269" s="14"/>
      <c r="H2269" s="15">
        <v>50</v>
      </c>
      <c r="I2269" s="14"/>
      <c r="J2269" s="15">
        <v>989</v>
      </c>
      <c r="K2269" s="5">
        <v>5</v>
      </c>
      <c r="L2269" s="16">
        <v>86.666666666666671</v>
      </c>
      <c r="M2269" s="12"/>
      <c r="N2269" s="14">
        <f t="shared" si="105"/>
        <v>0</v>
      </c>
      <c r="O2269" s="28">
        <f>0.07*M2269</f>
        <v>0</v>
      </c>
      <c r="P2269" s="24">
        <f>0.00061*M2269</f>
        <v>0</v>
      </c>
      <c r="Q2269" s="25"/>
      <c r="R2269" s="26" t="s">
        <v>7030</v>
      </c>
      <c r="S2269" s="26" t="s">
        <v>29</v>
      </c>
      <c r="T2269" s="6" t="str">
        <f>HYPERLINK("https://kanzpp.ru/api/getInfo/image/e9559338-5ef9-11ef-a262-00155d82e908")</f>
        <v>https://kanzpp.ru/api/getInfo/image/e9559338-5ef9-11ef-a262-00155d82e908</v>
      </c>
      <c r="U2269" s="6"/>
      <c r="V2269" s="33" t="s">
        <v>35</v>
      </c>
    </row>
    <row r="2270" spans="2:22" ht="22.95" customHeight="1" outlineLevel="3" x14ac:dyDescent="0.2">
      <c r="B2270" s="81" t="s">
        <v>7031</v>
      </c>
      <c r="C2270" s="81"/>
      <c r="D2270" s="81"/>
      <c r="L2270">
        <v>0</v>
      </c>
    </row>
    <row r="2271" spans="2:22" ht="22.95" customHeight="1" outlineLevel="4" x14ac:dyDescent="0.2">
      <c r="B2271" s="82" t="s">
        <v>7032</v>
      </c>
      <c r="C2271" s="82"/>
      <c r="D2271" s="82"/>
      <c r="L2271">
        <v>0</v>
      </c>
    </row>
    <row r="2272" spans="2:22" ht="21" customHeight="1" outlineLevel="5" x14ac:dyDescent="0.2">
      <c r="B2272" s="69">
        <v>1666</v>
      </c>
      <c r="C2272" s="6" t="s">
        <v>7033</v>
      </c>
      <c r="D2272" s="6" t="s">
        <v>7034</v>
      </c>
      <c r="E2272" s="7" t="s">
        <v>7035</v>
      </c>
      <c r="F2272" s="13"/>
      <c r="G2272" s="14"/>
      <c r="H2272" s="15">
        <v>60</v>
      </c>
      <c r="I2272" s="14"/>
      <c r="J2272" s="15">
        <v>66</v>
      </c>
      <c r="K2272" s="5">
        <v>4</v>
      </c>
      <c r="L2272" s="16">
        <v>100</v>
      </c>
      <c r="M2272" s="12"/>
      <c r="N2272" s="14">
        <f t="shared" ref="N2272:N2289" si="106">L2272*M2272</f>
        <v>0</v>
      </c>
      <c r="O2272" s="23">
        <f>0.118*M2272</f>
        <v>0</v>
      </c>
      <c r="P2272" s="24">
        <f>0.00145*M2272</f>
        <v>0</v>
      </c>
      <c r="Q2272" s="25"/>
      <c r="R2272" s="26" t="s">
        <v>7036</v>
      </c>
      <c r="S2272" s="26" t="s">
        <v>29</v>
      </c>
      <c r="T2272" s="6" t="str">
        <f>HYPERLINK("https://kanzpp.ru/api/getInfo/image/a6b48c88-5aeb-11ef-a262-00155d82e908")</f>
        <v>https://kanzpp.ru/api/getInfo/image/a6b48c88-5aeb-11ef-a262-00155d82e908</v>
      </c>
      <c r="U2272" s="6"/>
      <c r="V2272" s="33" t="s">
        <v>35</v>
      </c>
    </row>
    <row r="2273" spans="2:22" ht="21" customHeight="1" outlineLevel="5" x14ac:dyDescent="0.2">
      <c r="B2273" s="69">
        <v>1667</v>
      </c>
      <c r="C2273" s="6" t="s">
        <v>7037</v>
      </c>
      <c r="D2273" s="6" t="s">
        <v>7038</v>
      </c>
      <c r="E2273" s="7" t="s">
        <v>7039</v>
      </c>
      <c r="F2273" s="13"/>
      <c r="G2273" s="14"/>
      <c r="H2273" s="15">
        <v>60</v>
      </c>
      <c r="I2273" s="14"/>
      <c r="J2273" s="14" t="s">
        <v>144</v>
      </c>
      <c r="K2273" s="5">
        <v>4</v>
      </c>
      <c r="L2273" s="16">
        <v>100</v>
      </c>
      <c r="M2273" s="12"/>
      <c r="N2273" s="14">
        <f t="shared" si="106"/>
        <v>0</v>
      </c>
      <c r="O2273" s="23">
        <f>0.085*M2273</f>
        <v>0</v>
      </c>
      <c r="P2273" s="24">
        <f>0.00033*M2273</f>
        <v>0</v>
      </c>
      <c r="Q2273" s="25"/>
      <c r="R2273" s="26" t="s">
        <v>7040</v>
      </c>
      <c r="S2273" s="26" t="s">
        <v>29</v>
      </c>
      <c r="T2273" s="6" t="str">
        <f>HYPERLINK("https://kanzpp.ru/api/getInfo/image/d1e1b43d-5aeb-11ef-a262-00155d82e908")</f>
        <v>https://kanzpp.ru/api/getInfo/image/d1e1b43d-5aeb-11ef-a262-00155d82e908</v>
      </c>
      <c r="U2273" s="6"/>
      <c r="V2273" s="33" t="s">
        <v>35</v>
      </c>
    </row>
    <row r="2274" spans="2:22" ht="21" customHeight="1" outlineLevel="5" x14ac:dyDescent="0.2">
      <c r="B2274" s="69">
        <v>1668</v>
      </c>
      <c r="C2274" s="6" t="s">
        <v>7041</v>
      </c>
      <c r="D2274" s="6" t="s">
        <v>7042</v>
      </c>
      <c r="E2274" s="7" t="s">
        <v>7043</v>
      </c>
      <c r="F2274" s="13"/>
      <c r="G2274" s="14"/>
      <c r="H2274" s="15">
        <v>60</v>
      </c>
      <c r="I2274" s="14"/>
      <c r="J2274" s="14" t="s">
        <v>144</v>
      </c>
      <c r="K2274" s="5">
        <v>4</v>
      </c>
      <c r="L2274" s="16">
        <v>100</v>
      </c>
      <c r="M2274" s="12"/>
      <c r="N2274" s="14">
        <f t="shared" si="106"/>
        <v>0</v>
      </c>
      <c r="O2274" s="23">
        <f>0.086*M2274</f>
        <v>0</v>
      </c>
      <c r="P2274" s="24">
        <f>0.00232*M2274</f>
        <v>0</v>
      </c>
      <c r="Q2274" s="25"/>
      <c r="R2274" s="26" t="s">
        <v>7044</v>
      </c>
      <c r="S2274" s="26" t="s">
        <v>29</v>
      </c>
      <c r="T2274" s="6" t="str">
        <f>HYPERLINK("https://kanzpp.ru/api/getInfo/image/11639258-5aec-11ef-a262-00155d82e908")</f>
        <v>https://kanzpp.ru/api/getInfo/image/11639258-5aec-11ef-a262-00155d82e908</v>
      </c>
      <c r="U2274" s="6"/>
      <c r="V2274" s="33" t="s">
        <v>35</v>
      </c>
    </row>
    <row r="2275" spans="2:22" ht="21" customHeight="1" outlineLevel="5" x14ac:dyDescent="0.2">
      <c r="B2275" s="69">
        <v>1669</v>
      </c>
      <c r="C2275" s="6" t="s">
        <v>7045</v>
      </c>
      <c r="D2275" s="6" t="s">
        <v>7046</v>
      </c>
      <c r="E2275" s="7" t="s">
        <v>7047</v>
      </c>
      <c r="F2275" s="13"/>
      <c r="G2275" s="14"/>
      <c r="H2275" s="15">
        <v>60</v>
      </c>
      <c r="I2275" s="14"/>
      <c r="J2275" s="14" t="s">
        <v>144</v>
      </c>
      <c r="K2275" s="5">
        <v>4</v>
      </c>
      <c r="L2275" s="16">
        <v>100</v>
      </c>
      <c r="M2275" s="12"/>
      <c r="N2275" s="14">
        <f t="shared" si="106"/>
        <v>0</v>
      </c>
      <c r="O2275" s="23">
        <f>0.085*M2275</f>
        <v>0</v>
      </c>
      <c r="P2275" s="24">
        <f>0.00212*M2275</f>
        <v>0</v>
      </c>
      <c r="Q2275" s="25"/>
      <c r="R2275" s="26" t="s">
        <v>7048</v>
      </c>
      <c r="S2275" s="26" t="s">
        <v>29</v>
      </c>
      <c r="T2275" s="6" t="str">
        <f>HYPERLINK("https://kanzpp.ru/api/getInfo/image/b1799ae3-5aec-11ef-a262-00155d82e908")</f>
        <v>https://kanzpp.ru/api/getInfo/image/b1799ae3-5aec-11ef-a262-00155d82e908</v>
      </c>
      <c r="U2275" s="6"/>
      <c r="V2275" s="33" t="s">
        <v>35</v>
      </c>
    </row>
    <row r="2276" spans="2:22" ht="21" customHeight="1" outlineLevel="5" x14ac:dyDescent="0.2">
      <c r="B2276" s="69">
        <v>1670</v>
      </c>
      <c r="C2276" s="6" t="s">
        <v>7049</v>
      </c>
      <c r="D2276" s="6" t="s">
        <v>7050</v>
      </c>
      <c r="E2276" s="7" t="s">
        <v>7051</v>
      </c>
      <c r="F2276" s="13"/>
      <c r="G2276" s="14"/>
      <c r="H2276" s="15">
        <v>60</v>
      </c>
      <c r="I2276" s="14"/>
      <c r="J2276" s="15">
        <v>158</v>
      </c>
      <c r="K2276" s="5">
        <v>4</v>
      </c>
      <c r="L2276" s="16">
        <v>100</v>
      </c>
      <c r="M2276" s="12"/>
      <c r="N2276" s="14">
        <f t="shared" si="106"/>
        <v>0</v>
      </c>
      <c r="O2276" s="23">
        <f>0.099*M2276</f>
        <v>0</v>
      </c>
      <c r="P2276" s="31">
        <f>0.0007*M2276</f>
        <v>0</v>
      </c>
      <c r="Q2276" s="25"/>
      <c r="R2276" s="26" t="s">
        <v>7052</v>
      </c>
      <c r="S2276" s="26" t="s">
        <v>29</v>
      </c>
      <c r="T2276" s="6" t="str">
        <f>HYPERLINK("https://kanzpp.ru/api/getInfo/image/62e7bf65-3dc9-11ee-a241-00155d82e902")</f>
        <v>https://kanzpp.ru/api/getInfo/image/62e7bf65-3dc9-11ee-a241-00155d82e902</v>
      </c>
      <c r="U2276" s="6"/>
      <c r="V2276" s="33" t="s">
        <v>35</v>
      </c>
    </row>
    <row r="2277" spans="2:22" ht="21" customHeight="1" outlineLevel="5" x14ac:dyDescent="0.2">
      <c r="B2277" s="69">
        <v>1671</v>
      </c>
      <c r="C2277" s="6" t="s">
        <v>7053</v>
      </c>
      <c r="D2277" s="6" t="s">
        <v>7054</v>
      </c>
      <c r="E2277" s="7" t="s">
        <v>7055</v>
      </c>
      <c r="F2277" s="13"/>
      <c r="G2277" s="14"/>
      <c r="H2277" s="15">
        <v>60</v>
      </c>
      <c r="I2277" s="14"/>
      <c r="J2277" s="15">
        <v>191</v>
      </c>
      <c r="K2277" s="5">
        <v>4</v>
      </c>
      <c r="L2277" s="16">
        <v>100</v>
      </c>
      <c r="M2277" s="12"/>
      <c r="N2277" s="14">
        <f t="shared" si="106"/>
        <v>0</v>
      </c>
      <c r="O2277" s="23">
        <f>0.096*M2277</f>
        <v>0</v>
      </c>
      <c r="P2277" s="31">
        <f>0.0004*M2277</f>
        <v>0</v>
      </c>
      <c r="Q2277" s="25"/>
      <c r="R2277" s="26" t="s">
        <v>7056</v>
      </c>
      <c r="S2277" s="26" t="s">
        <v>29</v>
      </c>
      <c r="T2277" s="6" t="str">
        <f>HYPERLINK("https://kanzpp.ru/api/getInfo/image/35489e39-3dca-11ee-a241-00155d82e902")</f>
        <v>https://kanzpp.ru/api/getInfo/image/35489e39-3dca-11ee-a241-00155d82e902</v>
      </c>
      <c r="U2277" s="6"/>
      <c r="V2277" s="33" t="s">
        <v>35</v>
      </c>
    </row>
    <row r="2278" spans="2:22" ht="21" customHeight="1" outlineLevel="5" x14ac:dyDescent="0.2">
      <c r="B2278" s="69">
        <v>1672</v>
      </c>
      <c r="C2278" s="6" t="s">
        <v>7057</v>
      </c>
      <c r="D2278" s="6" t="s">
        <v>7054</v>
      </c>
      <c r="E2278" s="7" t="s">
        <v>7055</v>
      </c>
      <c r="F2278" s="13"/>
      <c r="G2278" s="14"/>
      <c r="H2278" s="15">
        <v>60</v>
      </c>
      <c r="I2278" s="14"/>
      <c r="J2278" s="15">
        <v>4</v>
      </c>
      <c r="K2278" s="5">
        <v>4</v>
      </c>
      <c r="L2278" s="16">
        <v>100</v>
      </c>
      <c r="M2278" s="12"/>
      <c r="N2278" s="14">
        <f t="shared" si="106"/>
        <v>0</v>
      </c>
      <c r="O2278" s="23">
        <f>0.101*M2278</f>
        <v>0</v>
      </c>
      <c r="P2278" s="24">
        <f>0.00062*M2278</f>
        <v>0</v>
      </c>
      <c r="Q2278" s="25"/>
      <c r="R2278" s="26"/>
      <c r="S2278" s="26" t="s">
        <v>29</v>
      </c>
      <c r="T2278" s="6" t="str">
        <f>HYPERLINK("https://kanzpp.ru/api/getInfo/image/3b530e94-467b-11ee-a243-00155d82e902")</f>
        <v>https://kanzpp.ru/api/getInfo/image/3b530e94-467b-11ee-a243-00155d82e902</v>
      </c>
      <c r="U2278" s="6" t="s">
        <v>7056</v>
      </c>
      <c r="V2278" s="33" t="s">
        <v>35</v>
      </c>
    </row>
    <row r="2279" spans="2:22" ht="21" customHeight="1" outlineLevel="5" x14ac:dyDescent="0.2">
      <c r="B2279" s="69">
        <v>1673</v>
      </c>
      <c r="C2279" s="6" t="s">
        <v>7058</v>
      </c>
      <c r="D2279" s="6" t="s">
        <v>7059</v>
      </c>
      <c r="E2279" s="7" t="s">
        <v>7060</v>
      </c>
      <c r="F2279" s="13"/>
      <c r="G2279" s="14"/>
      <c r="H2279" s="15">
        <v>60</v>
      </c>
      <c r="I2279" s="14"/>
      <c r="J2279" s="15">
        <v>489</v>
      </c>
      <c r="K2279" s="5">
        <v>4</v>
      </c>
      <c r="L2279" s="16">
        <v>100</v>
      </c>
      <c r="M2279" s="12"/>
      <c r="N2279" s="14">
        <f t="shared" si="106"/>
        <v>0</v>
      </c>
      <c r="O2279" s="23">
        <f>0.095*M2279</f>
        <v>0</v>
      </c>
      <c r="P2279" s="24">
        <f>0.00143*M2279</f>
        <v>0</v>
      </c>
      <c r="Q2279" s="25"/>
      <c r="R2279" s="26" t="s">
        <v>7061</v>
      </c>
      <c r="S2279" s="26" t="s">
        <v>29</v>
      </c>
      <c r="T2279" s="6" t="str">
        <f>HYPERLINK("https://kanzpp.ru/api/getInfo/image/a8fcdcec-3dc9-11ee-a241-00155d82e902")</f>
        <v>https://kanzpp.ru/api/getInfo/image/a8fcdcec-3dc9-11ee-a241-00155d82e902</v>
      </c>
      <c r="U2279" s="6"/>
      <c r="V2279" s="33" t="s">
        <v>35</v>
      </c>
    </row>
    <row r="2280" spans="2:22" ht="21" customHeight="1" outlineLevel="5" x14ac:dyDescent="0.2">
      <c r="B2280" s="69">
        <v>1674</v>
      </c>
      <c r="C2280" s="6" t="s">
        <v>7062</v>
      </c>
      <c r="D2280" s="6" t="s">
        <v>7059</v>
      </c>
      <c r="E2280" s="7" t="s">
        <v>7060</v>
      </c>
      <c r="F2280" s="13"/>
      <c r="G2280" s="14"/>
      <c r="H2280" s="15">
        <v>60</v>
      </c>
      <c r="I2280" s="14"/>
      <c r="J2280" s="15">
        <v>317</v>
      </c>
      <c r="K2280" s="5">
        <v>4</v>
      </c>
      <c r="L2280" s="16">
        <v>100</v>
      </c>
      <c r="M2280" s="12"/>
      <c r="N2280" s="14">
        <f t="shared" si="106"/>
        <v>0</v>
      </c>
      <c r="O2280" s="23">
        <f>0.097*M2280</f>
        <v>0</v>
      </c>
      <c r="P2280" s="24">
        <f>0.00276*M2280</f>
        <v>0</v>
      </c>
      <c r="Q2280" s="25"/>
      <c r="R2280" s="26"/>
      <c r="S2280" s="26" t="s">
        <v>29</v>
      </c>
      <c r="T2280" s="6" t="str">
        <f>HYPERLINK("https://kanzpp.ru/api/getInfo/image/9546e7d5-467a-11ee-a243-00155d82e902")</f>
        <v>https://kanzpp.ru/api/getInfo/image/9546e7d5-467a-11ee-a243-00155d82e902</v>
      </c>
      <c r="U2280" s="6" t="s">
        <v>7061</v>
      </c>
      <c r="V2280" s="33" t="s">
        <v>35</v>
      </c>
    </row>
    <row r="2281" spans="2:22" ht="21" customHeight="1" outlineLevel="5" x14ac:dyDescent="0.2">
      <c r="B2281" s="69">
        <v>1675</v>
      </c>
      <c r="C2281" s="6" t="s">
        <v>7063</v>
      </c>
      <c r="D2281" s="6" t="s">
        <v>7064</v>
      </c>
      <c r="E2281" s="7" t="s">
        <v>7065</v>
      </c>
      <c r="F2281" s="13"/>
      <c r="G2281" s="14"/>
      <c r="H2281" s="15">
        <v>60</v>
      </c>
      <c r="I2281" s="14"/>
      <c r="J2281" s="14" t="s">
        <v>144</v>
      </c>
      <c r="K2281" s="5">
        <v>4</v>
      </c>
      <c r="L2281" s="16">
        <v>78.666666666666671</v>
      </c>
      <c r="M2281" s="12"/>
      <c r="N2281" s="14">
        <f t="shared" si="106"/>
        <v>0</v>
      </c>
      <c r="O2281" s="23">
        <f>0.102*M2281</f>
        <v>0</v>
      </c>
      <c r="P2281" s="24">
        <f>0.00252*M2281</f>
        <v>0</v>
      </c>
      <c r="Q2281" s="25"/>
      <c r="R2281" s="26" t="s">
        <v>7066</v>
      </c>
      <c r="S2281" s="26" t="s">
        <v>29</v>
      </c>
      <c r="T2281" s="6" t="str">
        <f>HYPERLINK("https://kanzpp.ru/api/getInfo/image/412f4a9b-5aec-11ef-a262-00155d82e908")</f>
        <v>https://kanzpp.ru/api/getInfo/image/412f4a9b-5aec-11ef-a262-00155d82e908</v>
      </c>
      <c r="U2281" s="6"/>
      <c r="V2281" s="33" t="s">
        <v>35</v>
      </c>
    </row>
    <row r="2282" spans="2:22" ht="21" customHeight="1" outlineLevel="5" x14ac:dyDescent="0.2">
      <c r="B2282" s="69">
        <v>1676</v>
      </c>
      <c r="C2282" s="6" t="s">
        <v>7067</v>
      </c>
      <c r="D2282" s="6" t="s">
        <v>7068</v>
      </c>
      <c r="E2282" s="7" t="s">
        <v>7069</v>
      </c>
      <c r="F2282" s="13"/>
      <c r="G2282" s="14"/>
      <c r="H2282" s="15">
        <v>60</v>
      </c>
      <c r="I2282" s="14"/>
      <c r="J2282" s="15">
        <v>13</v>
      </c>
      <c r="K2282" s="5">
        <v>4</v>
      </c>
      <c r="L2282" s="16">
        <v>100</v>
      </c>
      <c r="M2282" s="12"/>
      <c r="N2282" s="14">
        <f t="shared" si="106"/>
        <v>0</v>
      </c>
      <c r="O2282" s="28">
        <f>0.99*M2282</f>
        <v>0</v>
      </c>
      <c r="P2282" s="24">
        <f>0.00171*M2282</f>
        <v>0</v>
      </c>
      <c r="Q2282" s="25"/>
      <c r="R2282" s="26"/>
      <c r="S2282" s="26" t="s">
        <v>29</v>
      </c>
      <c r="T2282" s="6" t="str">
        <f>HYPERLINK("https://kanzpp.ru/api/getInfo/image/f9fbdd98-4678-11ee-a243-00155d82e902")</f>
        <v>https://kanzpp.ru/api/getInfo/image/f9fbdd98-4678-11ee-a243-00155d82e902</v>
      </c>
      <c r="U2282" s="6" t="s">
        <v>7070</v>
      </c>
      <c r="V2282" s="33" t="s">
        <v>35</v>
      </c>
    </row>
    <row r="2283" spans="2:22" ht="21" customHeight="1" outlineLevel="5" x14ac:dyDescent="0.2">
      <c r="B2283" s="69">
        <v>1677</v>
      </c>
      <c r="C2283" s="6" t="s">
        <v>7071</v>
      </c>
      <c r="D2283" s="6" t="s">
        <v>7072</v>
      </c>
      <c r="E2283" s="7" t="s">
        <v>7073</v>
      </c>
      <c r="F2283" s="13"/>
      <c r="G2283" s="14"/>
      <c r="H2283" s="15">
        <v>60</v>
      </c>
      <c r="I2283" s="14"/>
      <c r="J2283" s="14" t="s">
        <v>144</v>
      </c>
      <c r="K2283" s="5">
        <v>4</v>
      </c>
      <c r="L2283" s="16">
        <v>100</v>
      </c>
      <c r="M2283" s="12"/>
      <c r="N2283" s="14">
        <f t="shared" si="106"/>
        <v>0</v>
      </c>
      <c r="O2283" s="23">
        <f>0.094*M2283</f>
        <v>0</v>
      </c>
      <c r="P2283" s="24">
        <f>0.00189*M2283</f>
        <v>0</v>
      </c>
      <c r="Q2283" s="25"/>
      <c r="R2283" s="26" t="s">
        <v>7074</v>
      </c>
      <c r="S2283" s="26" t="s">
        <v>29</v>
      </c>
      <c r="T2283" s="6" t="str">
        <f>HYPERLINK("https://kanzpp.ru/api/getInfo/image/6858db9f-5aec-11ef-a262-00155d82e908")</f>
        <v>https://kanzpp.ru/api/getInfo/image/6858db9f-5aec-11ef-a262-00155d82e908</v>
      </c>
      <c r="U2283" s="6"/>
      <c r="V2283" s="33" t="s">
        <v>35</v>
      </c>
    </row>
    <row r="2284" spans="2:22" ht="21" customHeight="1" outlineLevel="5" x14ac:dyDescent="0.2">
      <c r="B2284" s="69">
        <v>1678</v>
      </c>
      <c r="C2284" s="6" t="s">
        <v>7075</v>
      </c>
      <c r="D2284" s="6" t="s">
        <v>7076</v>
      </c>
      <c r="E2284" s="7" t="s">
        <v>7077</v>
      </c>
      <c r="F2284" s="13"/>
      <c r="G2284" s="14"/>
      <c r="H2284" s="15">
        <v>60</v>
      </c>
      <c r="I2284" s="14"/>
      <c r="J2284" s="15">
        <v>999</v>
      </c>
      <c r="K2284" s="5">
        <v>4</v>
      </c>
      <c r="L2284" s="16">
        <v>100</v>
      </c>
      <c r="M2284" s="12"/>
      <c r="N2284" s="14">
        <f t="shared" si="106"/>
        <v>0</v>
      </c>
      <c r="O2284" s="23">
        <f>0.102*M2284</f>
        <v>0</v>
      </c>
      <c r="P2284" s="24">
        <f>0.00187*M2284</f>
        <v>0</v>
      </c>
      <c r="Q2284" s="25"/>
      <c r="R2284" s="26" t="s">
        <v>7078</v>
      </c>
      <c r="S2284" s="26" t="s">
        <v>29</v>
      </c>
      <c r="T2284" s="6" t="str">
        <f>HYPERLINK("https://kanzpp.ru/api/getInfo/image/8ea4b149-5aec-11ef-a262-00155d82e908")</f>
        <v>https://kanzpp.ru/api/getInfo/image/8ea4b149-5aec-11ef-a262-00155d82e908</v>
      </c>
      <c r="U2284" s="6"/>
      <c r="V2284" s="33" t="s">
        <v>35</v>
      </c>
    </row>
    <row r="2285" spans="2:22" ht="21" customHeight="1" outlineLevel="5" x14ac:dyDescent="0.2">
      <c r="B2285" s="69">
        <v>1679</v>
      </c>
      <c r="C2285" s="6" t="s">
        <v>7079</v>
      </c>
      <c r="D2285" s="6" t="s">
        <v>7080</v>
      </c>
      <c r="E2285" s="7" t="s">
        <v>7081</v>
      </c>
      <c r="F2285" s="13"/>
      <c r="G2285" s="14"/>
      <c r="H2285" s="15">
        <v>60</v>
      </c>
      <c r="I2285" s="14"/>
      <c r="J2285" s="14" t="s">
        <v>144</v>
      </c>
      <c r="K2285" s="5">
        <v>4</v>
      </c>
      <c r="L2285" s="16">
        <v>100</v>
      </c>
      <c r="M2285" s="12"/>
      <c r="N2285" s="14">
        <f t="shared" si="106"/>
        <v>0</v>
      </c>
      <c r="O2285" s="23">
        <f>6.408*M2285</f>
        <v>0</v>
      </c>
      <c r="P2285" s="24">
        <f>0.04274*M2285</f>
        <v>0</v>
      </c>
      <c r="Q2285" s="25"/>
      <c r="R2285" s="26" t="s">
        <v>7082</v>
      </c>
      <c r="S2285" s="26" t="s">
        <v>29</v>
      </c>
      <c r="T2285" s="6" t="str">
        <f>HYPERLINK("https://kanzpp.ru/api/getInfo/image/d677a6b2-5aec-11ef-a262-00155d82e908")</f>
        <v>https://kanzpp.ru/api/getInfo/image/d677a6b2-5aec-11ef-a262-00155d82e908</v>
      </c>
      <c r="U2285" s="6"/>
      <c r="V2285" s="33" t="s">
        <v>35</v>
      </c>
    </row>
    <row r="2286" spans="2:22" ht="21" customHeight="1" outlineLevel="5" x14ac:dyDescent="0.2">
      <c r="B2286" s="69">
        <v>1680</v>
      </c>
      <c r="C2286" s="6" t="s">
        <v>7083</v>
      </c>
      <c r="D2286" s="6" t="s">
        <v>7084</v>
      </c>
      <c r="E2286" s="7" t="s">
        <v>7085</v>
      </c>
      <c r="F2286" s="13"/>
      <c r="G2286" s="14"/>
      <c r="H2286" s="15">
        <v>60</v>
      </c>
      <c r="I2286" s="14"/>
      <c r="J2286" s="15">
        <v>17</v>
      </c>
      <c r="K2286" s="5">
        <v>5</v>
      </c>
      <c r="L2286" s="16">
        <v>100</v>
      </c>
      <c r="M2286" s="12"/>
      <c r="N2286" s="14">
        <f t="shared" si="106"/>
        <v>0</v>
      </c>
      <c r="O2286" s="23">
        <f>0.091*M2286</f>
        <v>0</v>
      </c>
      <c r="P2286" s="24">
        <f>0.00423*M2286</f>
        <v>0</v>
      </c>
      <c r="Q2286" s="25"/>
      <c r="R2286" s="26" t="s">
        <v>7086</v>
      </c>
      <c r="S2286" s="26" t="s">
        <v>29</v>
      </c>
      <c r="T2286" s="6" t="str">
        <f>HYPERLINK("https://kanzpp.ru/api/getInfo/image/629888b5-22eb-11ed-a216-ac1f6b442185")</f>
        <v>https://kanzpp.ru/api/getInfo/image/629888b5-22eb-11ed-a216-ac1f6b442185</v>
      </c>
      <c r="U2286" s="6"/>
      <c r="V2286" s="33" t="s">
        <v>35</v>
      </c>
    </row>
    <row r="2287" spans="2:22" ht="21" customHeight="1" outlineLevel="5" x14ac:dyDescent="0.2">
      <c r="B2287" s="69">
        <v>1681</v>
      </c>
      <c r="C2287" s="6" t="s">
        <v>7087</v>
      </c>
      <c r="D2287" s="6" t="s">
        <v>7084</v>
      </c>
      <c r="E2287" s="7" t="s">
        <v>7085</v>
      </c>
      <c r="F2287" s="13"/>
      <c r="G2287" s="14"/>
      <c r="H2287" s="15">
        <v>60</v>
      </c>
      <c r="I2287" s="14"/>
      <c r="J2287" s="15">
        <v>248</v>
      </c>
      <c r="K2287" s="5">
        <v>4</v>
      </c>
      <c r="L2287" s="16">
        <v>105.33333333333333</v>
      </c>
      <c r="M2287" s="12"/>
      <c r="N2287" s="14">
        <f t="shared" si="106"/>
        <v>0</v>
      </c>
      <c r="O2287" s="23">
        <f>0.131*M2287</f>
        <v>0</v>
      </c>
      <c r="P2287" s="24">
        <f>0.00303*M2287</f>
        <v>0</v>
      </c>
      <c r="Q2287" s="25"/>
      <c r="R2287" s="26"/>
      <c r="S2287" s="26" t="s">
        <v>29</v>
      </c>
      <c r="T2287" s="6" t="str">
        <f>HYPERLINK("https://kanzpp.ru/api/getInfo/image/11a4c182-a86c-11ed-a230-00155d82e902")</f>
        <v>https://kanzpp.ru/api/getInfo/image/11a4c182-a86c-11ed-a230-00155d82e902</v>
      </c>
      <c r="U2287" s="6" t="s">
        <v>7086</v>
      </c>
      <c r="V2287" s="33" t="s">
        <v>35</v>
      </c>
    </row>
    <row r="2288" spans="2:22" ht="21" customHeight="1" outlineLevel="5" x14ac:dyDescent="0.2">
      <c r="B2288" s="69">
        <v>1682</v>
      </c>
      <c r="C2288" s="6" t="s">
        <v>7088</v>
      </c>
      <c r="D2288" s="6" t="s">
        <v>7089</v>
      </c>
      <c r="E2288" s="7" t="s">
        <v>7090</v>
      </c>
      <c r="F2288" s="13"/>
      <c r="G2288" s="14"/>
      <c r="H2288" s="15">
        <v>60</v>
      </c>
      <c r="I2288" s="14"/>
      <c r="J2288" s="15">
        <v>257</v>
      </c>
      <c r="K2288" s="5">
        <v>5</v>
      </c>
      <c r="L2288" s="16">
        <v>78.666666666666671</v>
      </c>
      <c r="M2288" s="12"/>
      <c r="N2288" s="14">
        <f t="shared" si="106"/>
        <v>0</v>
      </c>
      <c r="O2288" s="28">
        <f>0.09*M2288</f>
        <v>0</v>
      </c>
      <c r="P2288" s="24">
        <f>0.00065*M2288</f>
        <v>0</v>
      </c>
      <c r="Q2288" s="25"/>
      <c r="R2288" s="26" t="s">
        <v>7091</v>
      </c>
      <c r="S2288" s="26" t="s">
        <v>29</v>
      </c>
      <c r="T2288" s="6" t="str">
        <f>HYPERLINK("https://kanzpp.ru/api/getInfo/image/cae062b5-22eb-11ed-a216-ac1f6b442185")</f>
        <v>https://kanzpp.ru/api/getInfo/image/cae062b5-22eb-11ed-a216-ac1f6b442185</v>
      </c>
      <c r="U2288" s="6"/>
      <c r="V2288" s="33" t="s">
        <v>35</v>
      </c>
    </row>
    <row r="2289" spans="2:22" ht="21" customHeight="1" outlineLevel="5" x14ac:dyDescent="0.2">
      <c r="B2289" s="69">
        <v>1683</v>
      </c>
      <c r="C2289" s="6" t="s">
        <v>7092</v>
      </c>
      <c r="D2289" s="6" t="s">
        <v>7093</v>
      </c>
      <c r="E2289" s="7" t="s">
        <v>7094</v>
      </c>
      <c r="F2289" s="13"/>
      <c r="G2289" s="14"/>
      <c r="H2289" s="15">
        <v>60</v>
      </c>
      <c r="I2289" s="14"/>
      <c r="J2289" s="14" t="s">
        <v>144</v>
      </c>
      <c r="K2289" s="5">
        <v>4</v>
      </c>
      <c r="L2289" s="16">
        <v>78.666666666666671</v>
      </c>
      <c r="M2289" s="12"/>
      <c r="N2289" s="14">
        <f t="shared" si="106"/>
        <v>0</v>
      </c>
      <c r="O2289" s="23">
        <f>0.098*M2289</f>
        <v>0</v>
      </c>
      <c r="P2289" s="24">
        <f>0.00008*M2289</f>
        <v>0</v>
      </c>
      <c r="Q2289" s="25"/>
      <c r="R2289" s="26" t="s">
        <v>7095</v>
      </c>
      <c r="S2289" s="26" t="s">
        <v>29</v>
      </c>
      <c r="T2289" s="6" t="str">
        <f>HYPERLINK("https://kanzpp.ru/api/getInfo/image/1414f4dc-3dca-11ee-a241-00155d82e902")</f>
        <v>https://kanzpp.ru/api/getInfo/image/1414f4dc-3dca-11ee-a241-00155d82e902</v>
      </c>
      <c r="U2289" s="6"/>
      <c r="V2289" s="33" t="s">
        <v>35</v>
      </c>
    </row>
    <row r="2290" spans="2:22" ht="22.95" customHeight="1" outlineLevel="4" x14ac:dyDescent="0.2">
      <c r="B2290" s="82" t="s">
        <v>7096</v>
      </c>
      <c r="C2290" s="82"/>
      <c r="D2290" s="82"/>
      <c r="L2290">
        <v>0</v>
      </c>
    </row>
    <row r="2291" spans="2:22" ht="21" customHeight="1" outlineLevel="5" x14ac:dyDescent="0.2">
      <c r="B2291" s="69">
        <v>1684</v>
      </c>
      <c r="C2291" s="6" t="s">
        <v>7097</v>
      </c>
      <c r="D2291" s="6" t="s">
        <v>7098</v>
      </c>
      <c r="E2291" s="7" t="s">
        <v>7099</v>
      </c>
      <c r="F2291" s="13"/>
      <c r="G2291" s="14"/>
      <c r="H2291" s="15">
        <v>40</v>
      </c>
      <c r="I2291" s="14"/>
      <c r="J2291" s="15">
        <v>380</v>
      </c>
      <c r="K2291" s="5">
        <v>2</v>
      </c>
      <c r="L2291" s="16">
        <v>132</v>
      </c>
      <c r="M2291" s="12"/>
      <c r="N2291" s="14">
        <f t="shared" ref="N2291:N2302" si="107">L2291*M2291</f>
        <v>0</v>
      </c>
      <c r="O2291" s="23">
        <f>0.169*M2291</f>
        <v>0</v>
      </c>
      <c r="P2291" s="24">
        <f>0.00208*M2291</f>
        <v>0</v>
      </c>
      <c r="Q2291" s="25"/>
      <c r="R2291" s="26" t="s">
        <v>7100</v>
      </c>
      <c r="S2291" s="26" t="s">
        <v>29</v>
      </c>
      <c r="T2291" s="6" t="str">
        <f>HYPERLINK("https://kanzpp.ru/api/getInfo/image/f86e7bf6-6151-11ef-a264-00155d82e908")</f>
        <v>https://kanzpp.ru/api/getInfo/image/f86e7bf6-6151-11ef-a264-00155d82e908</v>
      </c>
      <c r="U2291" s="6"/>
      <c r="V2291" s="33" t="s">
        <v>35</v>
      </c>
    </row>
    <row r="2292" spans="2:22" ht="21" customHeight="1" outlineLevel="5" x14ac:dyDescent="0.2">
      <c r="B2292" s="69">
        <v>1685</v>
      </c>
      <c r="C2292" s="6" t="s">
        <v>7101</v>
      </c>
      <c r="D2292" s="6" t="s">
        <v>7102</v>
      </c>
      <c r="E2292" s="7" t="s">
        <v>7103</v>
      </c>
      <c r="F2292" s="13"/>
      <c r="G2292" s="14"/>
      <c r="H2292" s="15">
        <v>40</v>
      </c>
      <c r="I2292" s="14"/>
      <c r="J2292" s="15">
        <v>436</v>
      </c>
      <c r="K2292" s="5">
        <v>2</v>
      </c>
      <c r="L2292" s="16">
        <v>132</v>
      </c>
      <c r="M2292" s="12"/>
      <c r="N2292" s="14">
        <f t="shared" si="107"/>
        <v>0</v>
      </c>
      <c r="O2292" s="23">
        <f>0.154*M2292</f>
        <v>0</v>
      </c>
      <c r="P2292" s="24">
        <f>0.00172*M2292</f>
        <v>0</v>
      </c>
      <c r="Q2292" s="25"/>
      <c r="R2292" s="26" t="s">
        <v>7104</v>
      </c>
      <c r="S2292" s="26" t="s">
        <v>29</v>
      </c>
      <c r="T2292" s="6" t="str">
        <f>HYPERLINK("https://kanzpp.ru/api/getInfo/image/44f285a0-6152-11ef-a264-00155d82e908")</f>
        <v>https://kanzpp.ru/api/getInfo/image/44f285a0-6152-11ef-a264-00155d82e908</v>
      </c>
      <c r="U2292" s="6"/>
      <c r="V2292" s="33" t="s">
        <v>35</v>
      </c>
    </row>
    <row r="2293" spans="2:22" ht="21" customHeight="1" outlineLevel="5" x14ac:dyDescent="0.2">
      <c r="B2293" s="70">
        <v>1686</v>
      </c>
      <c r="C2293" s="3" t="s">
        <v>7105</v>
      </c>
      <c r="D2293" s="3" t="s">
        <v>7106</v>
      </c>
      <c r="E2293" s="4" t="s">
        <v>7107</v>
      </c>
      <c r="F2293" s="8"/>
      <c r="G2293" s="9"/>
      <c r="H2293" s="10">
        <v>40</v>
      </c>
      <c r="I2293" s="9"/>
      <c r="J2293" s="10">
        <v>5</v>
      </c>
      <c r="K2293" s="2">
        <v>2</v>
      </c>
      <c r="L2293" s="18">
        <v>99.36</v>
      </c>
      <c r="M2293" s="12"/>
      <c r="N2293" s="9">
        <f t="shared" si="107"/>
        <v>0</v>
      </c>
      <c r="O2293" s="29">
        <f>0.109*M2293</f>
        <v>0</v>
      </c>
      <c r="P2293" s="30">
        <f>0.00134*M2293</f>
        <v>0</v>
      </c>
      <c r="Q2293" s="21"/>
      <c r="R2293" s="22" t="s">
        <v>7108</v>
      </c>
      <c r="S2293" s="22" t="s">
        <v>29</v>
      </c>
      <c r="T2293" s="3" t="str">
        <f>HYPERLINK("https://kanzpp.ru/api/getInfo/image/d9835c8c-23b3-11ed-a216-ac1f6b442185")</f>
        <v>https://kanzpp.ru/api/getInfo/image/d9835c8c-23b3-11ed-a216-ac1f6b442185</v>
      </c>
      <c r="U2293" s="3"/>
      <c r="V2293" s="32" t="s">
        <v>30</v>
      </c>
    </row>
    <row r="2294" spans="2:22" ht="21" customHeight="1" outlineLevel="5" x14ac:dyDescent="0.2">
      <c r="B2294" s="69">
        <v>1687</v>
      </c>
      <c r="C2294" s="6" t="s">
        <v>7109</v>
      </c>
      <c r="D2294" s="6" t="s">
        <v>7110</v>
      </c>
      <c r="E2294" s="7" t="s">
        <v>7111</v>
      </c>
      <c r="F2294" s="13"/>
      <c r="G2294" s="14"/>
      <c r="H2294" s="15">
        <v>40</v>
      </c>
      <c r="I2294" s="14"/>
      <c r="J2294" s="15">
        <v>73</v>
      </c>
      <c r="K2294" s="5">
        <v>2</v>
      </c>
      <c r="L2294" s="16">
        <v>132</v>
      </c>
      <c r="M2294" s="12"/>
      <c r="N2294" s="14">
        <f t="shared" si="107"/>
        <v>0</v>
      </c>
      <c r="O2294" s="28">
        <f>0.12*M2294</f>
        <v>0</v>
      </c>
      <c r="P2294" s="24">
        <f>0.00016*M2294</f>
        <v>0</v>
      </c>
      <c r="Q2294" s="25"/>
      <c r="R2294" s="26" t="s">
        <v>7112</v>
      </c>
      <c r="S2294" s="26" t="s">
        <v>29</v>
      </c>
      <c r="T2294" s="6" t="str">
        <f>HYPERLINK("https://kanzpp.ru/api/getInfo/image/4fba4a28-23b4-11ed-a216-ac1f6b442185")</f>
        <v>https://kanzpp.ru/api/getInfo/image/4fba4a28-23b4-11ed-a216-ac1f6b442185</v>
      </c>
      <c r="U2294" s="6"/>
      <c r="V2294" s="33" t="s">
        <v>35</v>
      </c>
    </row>
    <row r="2295" spans="2:22" ht="21" customHeight="1" outlineLevel="5" x14ac:dyDescent="0.2">
      <c r="B2295" s="69">
        <v>1688</v>
      </c>
      <c r="C2295" s="6" t="s">
        <v>7113</v>
      </c>
      <c r="D2295" s="6" t="s">
        <v>7114</v>
      </c>
      <c r="E2295" s="7" t="s">
        <v>7111</v>
      </c>
      <c r="F2295" s="13"/>
      <c r="G2295" s="14"/>
      <c r="H2295" s="15">
        <v>40</v>
      </c>
      <c r="I2295" s="14"/>
      <c r="J2295" s="15">
        <v>97</v>
      </c>
      <c r="K2295" s="5">
        <v>2</v>
      </c>
      <c r="L2295" s="16">
        <v>132</v>
      </c>
      <c r="M2295" s="12"/>
      <c r="N2295" s="14">
        <f t="shared" si="107"/>
        <v>0</v>
      </c>
      <c r="O2295" s="28">
        <f>0.12*M2295</f>
        <v>0</v>
      </c>
      <c r="P2295" s="24">
        <f>0.00016*M2295</f>
        <v>0</v>
      </c>
      <c r="Q2295" s="25"/>
      <c r="R2295" s="26"/>
      <c r="S2295" s="26" t="s">
        <v>29</v>
      </c>
      <c r="T2295" s="6" t="str">
        <f>HYPERLINK("https://kanzpp.ru/api/getInfo/image/eb49cc14-434b-11ee-a243-00155d82e902")</f>
        <v>https://kanzpp.ru/api/getInfo/image/eb49cc14-434b-11ee-a243-00155d82e902</v>
      </c>
      <c r="U2295" s="6" t="s">
        <v>7112</v>
      </c>
      <c r="V2295" s="33" t="s">
        <v>35</v>
      </c>
    </row>
    <row r="2296" spans="2:22" ht="21" customHeight="1" outlineLevel="5" x14ac:dyDescent="0.2">
      <c r="B2296" s="69">
        <v>1689</v>
      </c>
      <c r="C2296" s="6" t="s">
        <v>7115</v>
      </c>
      <c r="D2296" s="6" t="s">
        <v>7116</v>
      </c>
      <c r="E2296" s="7" t="s">
        <v>7117</v>
      </c>
      <c r="F2296" s="13"/>
      <c r="G2296" s="14"/>
      <c r="H2296" s="15">
        <v>40</v>
      </c>
      <c r="I2296" s="14"/>
      <c r="J2296" s="15">
        <v>291</v>
      </c>
      <c r="K2296" s="5">
        <v>2</v>
      </c>
      <c r="L2296" s="16">
        <v>132</v>
      </c>
      <c r="M2296" s="12"/>
      <c r="N2296" s="14">
        <f t="shared" si="107"/>
        <v>0</v>
      </c>
      <c r="O2296" s="23">
        <f>0.154*M2296</f>
        <v>0</v>
      </c>
      <c r="P2296" s="24">
        <f>0.00172*M2296</f>
        <v>0</v>
      </c>
      <c r="Q2296" s="25"/>
      <c r="R2296" s="26" t="s">
        <v>7118</v>
      </c>
      <c r="S2296" s="26" t="s">
        <v>29</v>
      </c>
      <c r="T2296" s="6" t="str">
        <f>HYPERLINK("https://kanzpp.ru/api/getInfo/image/3fd9c5f7-6153-11ef-a264-00155d82e908")</f>
        <v>https://kanzpp.ru/api/getInfo/image/3fd9c5f7-6153-11ef-a264-00155d82e908</v>
      </c>
      <c r="U2296" s="6"/>
      <c r="V2296" s="33" t="s">
        <v>35</v>
      </c>
    </row>
    <row r="2297" spans="2:22" ht="21" customHeight="1" outlineLevel="5" x14ac:dyDescent="0.2">
      <c r="B2297" s="70">
        <v>1690</v>
      </c>
      <c r="C2297" s="3" t="s">
        <v>7119</v>
      </c>
      <c r="D2297" s="3" t="s">
        <v>7120</v>
      </c>
      <c r="E2297" s="4" t="s">
        <v>7121</v>
      </c>
      <c r="F2297" s="8"/>
      <c r="G2297" s="9"/>
      <c r="H2297" s="10">
        <v>40</v>
      </c>
      <c r="I2297" s="9"/>
      <c r="J2297" s="10">
        <v>4</v>
      </c>
      <c r="K2297" s="2">
        <v>2</v>
      </c>
      <c r="L2297" s="18">
        <v>99.36</v>
      </c>
      <c r="M2297" s="12"/>
      <c r="N2297" s="9">
        <f t="shared" si="107"/>
        <v>0</v>
      </c>
      <c r="O2297" s="29">
        <f>0.109*M2297</f>
        <v>0</v>
      </c>
      <c r="P2297" s="30">
        <f>0.00039*M2297</f>
        <v>0</v>
      </c>
      <c r="Q2297" s="21"/>
      <c r="R2297" s="22"/>
      <c r="S2297" s="22" t="s">
        <v>29</v>
      </c>
      <c r="T2297" s="3" t="str">
        <f>HYPERLINK("https://kanzpp.ru/api/getInfo/image/77b6c7f3-434c-11ee-a243-00155d82e902")</f>
        <v>https://kanzpp.ru/api/getInfo/image/77b6c7f3-434c-11ee-a243-00155d82e902</v>
      </c>
      <c r="U2297" s="3" t="s">
        <v>7122</v>
      </c>
      <c r="V2297" s="32" t="s">
        <v>30</v>
      </c>
    </row>
    <row r="2298" spans="2:22" ht="21" customHeight="1" outlineLevel="5" x14ac:dyDescent="0.2">
      <c r="B2298" s="69">
        <v>1691</v>
      </c>
      <c r="C2298" s="6" t="s">
        <v>7123</v>
      </c>
      <c r="D2298" s="6" t="s">
        <v>7124</v>
      </c>
      <c r="E2298" s="7" t="s">
        <v>7125</v>
      </c>
      <c r="F2298" s="13"/>
      <c r="G2298" s="14"/>
      <c r="H2298" s="15">
        <v>40</v>
      </c>
      <c r="I2298" s="14"/>
      <c r="J2298" s="15">
        <v>174</v>
      </c>
      <c r="K2298" s="5">
        <v>2</v>
      </c>
      <c r="L2298" s="16">
        <v>132</v>
      </c>
      <c r="M2298" s="12"/>
      <c r="N2298" s="14">
        <f t="shared" si="107"/>
        <v>0</v>
      </c>
      <c r="O2298" s="23">
        <f>0.169*M2298</f>
        <v>0</v>
      </c>
      <c r="P2298" s="24">
        <f>0.00208*M2298</f>
        <v>0</v>
      </c>
      <c r="Q2298" s="25"/>
      <c r="R2298" s="26" t="s">
        <v>7126</v>
      </c>
      <c r="S2298" s="26" t="s">
        <v>29</v>
      </c>
      <c r="T2298" s="6" t="str">
        <f>HYPERLINK("https://kanzpp.ru/api/getInfo/image/d067a71e-6152-11ef-a264-00155d82e908")</f>
        <v>https://kanzpp.ru/api/getInfo/image/d067a71e-6152-11ef-a264-00155d82e908</v>
      </c>
      <c r="U2298" s="6"/>
      <c r="V2298" s="33" t="s">
        <v>35</v>
      </c>
    </row>
    <row r="2299" spans="2:22" ht="21" customHeight="1" outlineLevel="5" x14ac:dyDescent="0.2">
      <c r="B2299" s="69">
        <v>1692</v>
      </c>
      <c r="C2299" s="6" t="s">
        <v>7127</v>
      </c>
      <c r="D2299" s="6" t="s">
        <v>7128</v>
      </c>
      <c r="E2299" s="7" t="s">
        <v>7129</v>
      </c>
      <c r="F2299" s="13"/>
      <c r="G2299" s="14"/>
      <c r="H2299" s="15">
        <v>40</v>
      </c>
      <c r="I2299" s="14"/>
      <c r="J2299" s="15">
        <v>152</v>
      </c>
      <c r="K2299" s="5">
        <v>2</v>
      </c>
      <c r="L2299" s="16">
        <v>132</v>
      </c>
      <c r="M2299" s="12"/>
      <c r="N2299" s="14">
        <f t="shared" si="107"/>
        <v>0</v>
      </c>
      <c r="O2299" s="23">
        <f>0.173*M2299</f>
        <v>0</v>
      </c>
      <c r="P2299" s="24">
        <f>0.00156*M2299</f>
        <v>0</v>
      </c>
      <c r="Q2299" s="25"/>
      <c r="R2299" s="26" t="s">
        <v>7130</v>
      </c>
      <c r="S2299" s="26" t="s">
        <v>29</v>
      </c>
      <c r="T2299" s="6" t="str">
        <f>HYPERLINK("https://kanzpp.ru/api/getInfo/image/1c6c8f06-6153-11ef-a264-00155d82e908")</f>
        <v>https://kanzpp.ru/api/getInfo/image/1c6c8f06-6153-11ef-a264-00155d82e908</v>
      </c>
      <c r="U2299" s="6"/>
      <c r="V2299" s="33" t="s">
        <v>35</v>
      </c>
    </row>
    <row r="2300" spans="2:22" ht="21" customHeight="1" outlineLevel="5" x14ac:dyDescent="0.2">
      <c r="B2300" s="70">
        <v>1693</v>
      </c>
      <c r="C2300" s="3" t="s">
        <v>7131</v>
      </c>
      <c r="D2300" s="3" t="s">
        <v>582</v>
      </c>
      <c r="E2300" s="4" t="s">
        <v>583</v>
      </c>
      <c r="F2300" s="8"/>
      <c r="G2300" s="9"/>
      <c r="H2300" s="10">
        <v>40</v>
      </c>
      <c r="I2300" s="9"/>
      <c r="J2300" s="10">
        <v>25</v>
      </c>
      <c r="K2300" s="2">
        <v>2</v>
      </c>
      <c r="L2300" s="18">
        <v>99.36</v>
      </c>
      <c r="M2300" s="12"/>
      <c r="N2300" s="9">
        <f t="shared" si="107"/>
        <v>0</v>
      </c>
      <c r="O2300" s="29">
        <f>0.109*M2300</f>
        <v>0</v>
      </c>
      <c r="P2300" s="30">
        <f>0.00016*M2300</f>
        <v>0</v>
      </c>
      <c r="Q2300" s="21"/>
      <c r="R2300" s="22" t="s">
        <v>584</v>
      </c>
      <c r="S2300" s="22" t="s">
        <v>29</v>
      </c>
      <c r="T2300" s="3" t="str">
        <f>HYPERLINK("https://kanzpp.ru/api/getInfo/image/12fb4b51-4485-11ed-a216-ac1f6b442185")</f>
        <v>https://kanzpp.ru/api/getInfo/image/12fb4b51-4485-11ed-a216-ac1f6b442185</v>
      </c>
      <c r="U2300" s="3"/>
      <c r="V2300" s="32" t="s">
        <v>30</v>
      </c>
    </row>
    <row r="2301" spans="2:22" ht="21" customHeight="1" outlineLevel="5" x14ac:dyDescent="0.2">
      <c r="B2301" s="69">
        <v>1694</v>
      </c>
      <c r="C2301" s="6" t="s">
        <v>7132</v>
      </c>
      <c r="D2301" s="6" t="s">
        <v>7133</v>
      </c>
      <c r="E2301" s="7" t="s">
        <v>7134</v>
      </c>
      <c r="F2301" s="13"/>
      <c r="G2301" s="14"/>
      <c r="H2301" s="15">
        <v>40</v>
      </c>
      <c r="I2301" s="14"/>
      <c r="J2301" s="15">
        <v>99</v>
      </c>
      <c r="K2301" s="5">
        <v>2</v>
      </c>
      <c r="L2301" s="16">
        <v>132</v>
      </c>
      <c r="M2301" s="12"/>
      <c r="N2301" s="14">
        <f t="shared" si="107"/>
        <v>0</v>
      </c>
      <c r="O2301" s="23">
        <f>0.107*M2301</f>
        <v>0</v>
      </c>
      <c r="P2301" s="24">
        <f>0.00085*M2301</f>
        <v>0</v>
      </c>
      <c r="Q2301" s="25"/>
      <c r="R2301" s="26" t="s">
        <v>7135</v>
      </c>
      <c r="S2301" s="26" t="s">
        <v>29</v>
      </c>
      <c r="T2301" s="6" t="str">
        <f>HYPERLINK("https://kanzpp.ru/api/getInfo/image/8d95a73c-23b3-11ed-a216-ac1f6b442185")</f>
        <v>https://kanzpp.ru/api/getInfo/image/8d95a73c-23b3-11ed-a216-ac1f6b442185</v>
      </c>
      <c r="U2301" s="6"/>
      <c r="V2301" s="33" t="s">
        <v>35</v>
      </c>
    </row>
    <row r="2302" spans="2:22" ht="21" customHeight="1" outlineLevel="5" x14ac:dyDescent="0.2">
      <c r="B2302" s="69">
        <v>1695</v>
      </c>
      <c r="C2302" s="6" t="s">
        <v>7136</v>
      </c>
      <c r="D2302" s="6" t="s">
        <v>7137</v>
      </c>
      <c r="E2302" s="7" t="s">
        <v>7138</v>
      </c>
      <c r="F2302" s="13"/>
      <c r="G2302" s="14"/>
      <c r="H2302" s="15">
        <v>40</v>
      </c>
      <c r="I2302" s="14"/>
      <c r="J2302" s="15">
        <v>187</v>
      </c>
      <c r="K2302" s="5">
        <v>2</v>
      </c>
      <c r="L2302" s="16">
        <v>132</v>
      </c>
      <c r="M2302" s="12"/>
      <c r="N2302" s="14">
        <f t="shared" si="107"/>
        <v>0</v>
      </c>
      <c r="O2302" s="23">
        <f>0.172*M2302</f>
        <v>0</v>
      </c>
      <c r="P2302" s="24">
        <f>0.00081*M2302</f>
        <v>0</v>
      </c>
      <c r="Q2302" s="25"/>
      <c r="R2302" s="26" t="s">
        <v>7139</v>
      </c>
      <c r="S2302" s="26" t="s">
        <v>29</v>
      </c>
      <c r="T2302" s="6" t="str">
        <f>HYPERLINK("https://kanzpp.ru/api/getInfo/image/6ac34d9d-6152-11ef-a264-00155d82e908")</f>
        <v>https://kanzpp.ru/api/getInfo/image/6ac34d9d-6152-11ef-a264-00155d82e908</v>
      </c>
      <c r="U2302" s="6"/>
      <c r="V2302" s="33" t="s">
        <v>35</v>
      </c>
    </row>
    <row r="2303" spans="2:22" ht="22.95" customHeight="1" outlineLevel="3" x14ac:dyDescent="0.2">
      <c r="B2303" s="81" t="s">
        <v>7140</v>
      </c>
      <c r="C2303" s="81"/>
      <c r="D2303" s="81"/>
      <c r="L2303">
        <v>0</v>
      </c>
    </row>
    <row r="2304" spans="2:22" ht="21" customHeight="1" outlineLevel="4" x14ac:dyDescent="0.2">
      <c r="B2304" s="69">
        <v>1696</v>
      </c>
      <c r="C2304" s="6" t="s">
        <v>7141</v>
      </c>
      <c r="D2304" s="6" t="s">
        <v>7142</v>
      </c>
      <c r="E2304" s="7" t="s">
        <v>7143</v>
      </c>
      <c r="F2304" s="13"/>
      <c r="G2304" s="14"/>
      <c r="H2304" s="15">
        <v>50</v>
      </c>
      <c r="I2304" s="14"/>
      <c r="J2304" s="15">
        <v>190</v>
      </c>
      <c r="K2304" s="5">
        <v>1</v>
      </c>
      <c r="L2304" s="16">
        <v>198.66666666666666</v>
      </c>
      <c r="M2304" s="12"/>
      <c r="N2304" s="14">
        <f>L2304*M2304</f>
        <v>0</v>
      </c>
      <c r="O2304" s="28">
        <f>0.15*M2304</f>
        <v>0</v>
      </c>
      <c r="P2304" s="24">
        <f>0.00197*M2304</f>
        <v>0</v>
      </c>
      <c r="Q2304" s="25"/>
      <c r="R2304" s="26" t="s">
        <v>7144</v>
      </c>
      <c r="S2304" s="26" t="s">
        <v>29</v>
      </c>
      <c r="T2304" s="6" t="str">
        <f>HYPERLINK("https://kanzpp.ru/api/getInfo/image/ff18788c-fe81-11eb-a20e-ac1f6b442185")</f>
        <v>https://kanzpp.ru/api/getInfo/image/ff18788c-fe81-11eb-a20e-ac1f6b442185</v>
      </c>
      <c r="U2304" s="6"/>
      <c r="V2304" s="33" t="s">
        <v>35</v>
      </c>
    </row>
    <row r="2305" spans="2:22" ht="21" customHeight="1" outlineLevel="4" x14ac:dyDescent="0.2">
      <c r="B2305" s="69">
        <v>1697</v>
      </c>
      <c r="C2305" s="6" t="s">
        <v>7145</v>
      </c>
      <c r="D2305" s="6" t="s">
        <v>7146</v>
      </c>
      <c r="E2305" s="7" t="s">
        <v>7147</v>
      </c>
      <c r="F2305" s="13"/>
      <c r="G2305" s="14"/>
      <c r="H2305" s="15">
        <v>50</v>
      </c>
      <c r="I2305" s="14"/>
      <c r="J2305" s="15">
        <v>313</v>
      </c>
      <c r="K2305" s="5">
        <v>1</v>
      </c>
      <c r="L2305" s="16">
        <v>198.66666666666666</v>
      </c>
      <c r="M2305" s="12"/>
      <c r="N2305" s="14">
        <f>L2305*M2305</f>
        <v>0</v>
      </c>
      <c r="O2305" s="23">
        <f>0.144*M2305</f>
        <v>0</v>
      </c>
      <c r="P2305" s="24">
        <f>0.00145*M2305</f>
        <v>0</v>
      </c>
      <c r="Q2305" s="25"/>
      <c r="R2305" s="26" t="s">
        <v>7148</v>
      </c>
      <c r="S2305" s="26" t="s">
        <v>29</v>
      </c>
      <c r="T2305" s="6" t="str">
        <f>HYPERLINK("https://kanzpp.ru/api/getInfo/image/b522c2e9-fe82-11eb-a20e-ac1f6b442185")</f>
        <v>https://kanzpp.ru/api/getInfo/image/b522c2e9-fe82-11eb-a20e-ac1f6b442185</v>
      </c>
      <c r="U2305" s="6"/>
      <c r="V2305" s="33" t="s">
        <v>35</v>
      </c>
    </row>
    <row r="2306" spans="2:22" ht="21" customHeight="1" outlineLevel="4" x14ac:dyDescent="0.2">
      <c r="B2306" s="69">
        <v>1698</v>
      </c>
      <c r="C2306" s="6" t="s">
        <v>7149</v>
      </c>
      <c r="D2306" s="6" t="s">
        <v>7150</v>
      </c>
      <c r="E2306" s="7" t="s">
        <v>7151</v>
      </c>
      <c r="F2306" s="13"/>
      <c r="G2306" s="14"/>
      <c r="H2306" s="15">
        <v>50</v>
      </c>
      <c r="I2306" s="14"/>
      <c r="J2306" s="15">
        <v>251</v>
      </c>
      <c r="K2306" s="5">
        <v>1</v>
      </c>
      <c r="L2306" s="16">
        <v>198.66666666666666</v>
      </c>
      <c r="M2306" s="12"/>
      <c r="N2306" s="14">
        <f>L2306*M2306</f>
        <v>0</v>
      </c>
      <c r="O2306" s="23">
        <f>0.145*M2306</f>
        <v>0</v>
      </c>
      <c r="P2306" s="24">
        <f>0.00132*M2306</f>
        <v>0</v>
      </c>
      <c r="Q2306" s="25"/>
      <c r="R2306" s="26" t="s">
        <v>7152</v>
      </c>
      <c r="S2306" s="26" t="s">
        <v>29</v>
      </c>
      <c r="T2306" s="6" t="str">
        <f>HYPERLINK("https://kanzpp.ru/api/getInfo/image/80408ad4-fe81-11eb-a20e-ac1f6b442185")</f>
        <v>https://kanzpp.ru/api/getInfo/image/80408ad4-fe81-11eb-a20e-ac1f6b442185</v>
      </c>
      <c r="U2306" s="6"/>
      <c r="V2306" s="33" t="s">
        <v>35</v>
      </c>
    </row>
    <row r="2307" spans="2:22" ht="22.95" customHeight="1" outlineLevel="3" x14ac:dyDescent="0.2">
      <c r="B2307" s="81" t="s">
        <v>7153</v>
      </c>
      <c r="C2307" s="81"/>
      <c r="D2307" s="81"/>
      <c r="L2307">
        <v>0</v>
      </c>
    </row>
    <row r="2308" spans="2:22" ht="21" customHeight="1" outlineLevel="4" x14ac:dyDescent="0.2">
      <c r="B2308" s="69">
        <v>1699</v>
      </c>
      <c r="C2308" s="6" t="s">
        <v>7154</v>
      </c>
      <c r="D2308" s="6" t="s">
        <v>7155</v>
      </c>
      <c r="E2308" s="7" t="s">
        <v>7156</v>
      </c>
      <c r="F2308" s="13"/>
      <c r="G2308" s="14"/>
      <c r="H2308" s="15">
        <v>30</v>
      </c>
      <c r="I2308" s="14"/>
      <c r="J2308" s="15">
        <v>222</v>
      </c>
      <c r="K2308" s="5">
        <v>1</v>
      </c>
      <c r="L2308" s="16">
        <v>198.66666666666666</v>
      </c>
      <c r="M2308" s="12"/>
      <c r="N2308" s="14">
        <f>L2308*M2308</f>
        <v>0</v>
      </c>
      <c r="O2308" s="23">
        <f>0.085*M2308</f>
        <v>0</v>
      </c>
      <c r="P2308" s="24">
        <f>0.00036*M2308</f>
        <v>0</v>
      </c>
      <c r="Q2308" s="25"/>
      <c r="R2308" s="26" t="s">
        <v>7157</v>
      </c>
      <c r="S2308" s="26" t="s">
        <v>29</v>
      </c>
      <c r="T2308" s="6" t="str">
        <f>HYPERLINK("https://kanzpp.ru/api/getInfo/image/eab854da-392a-11eb-a25e-ac1f6b442184")</f>
        <v>https://kanzpp.ru/api/getInfo/image/eab854da-392a-11eb-a25e-ac1f6b442184</v>
      </c>
      <c r="U2308" s="6"/>
      <c r="V2308" s="33" t="s">
        <v>35</v>
      </c>
    </row>
    <row r="2309" spans="2:22" ht="21" customHeight="1" outlineLevel="4" x14ac:dyDescent="0.2">
      <c r="B2309" s="69">
        <v>1700</v>
      </c>
      <c r="C2309" s="6" t="s">
        <v>7158</v>
      </c>
      <c r="D2309" s="6" t="s">
        <v>7159</v>
      </c>
      <c r="E2309" s="7" t="s">
        <v>7160</v>
      </c>
      <c r="F2309" s="13"/>
      <c r="G2309" s="14"/>
      <c r="H2309" s="15">
        <v>30</v>
      </c>
      <c r="I2309" s="14"/>
      <c r="J2309" s="15">
        <v>216</v>
      </c>
      <c r="K2309" s="5">
        <v>1</v>
      </c>
      <c r="L2309" s="16">
        <v>198.66666666666666</v>
      </c>
      <c r="M2309" s="12"/>
      <c r="N2309" s="14">
        <f>L2309*M2309</f>
        <v>0</v>
      </c>
      <c r="O2309" s="23">
        <f>0.085*M2309</f>
        <v>0</v>
      </c>
      <c r="P2309" s="24">
        <f>0.00036*M2309</f>
        <v>0</v>
      </c>
      <c r="Q2309" s="25"/>
      <c r="R2309" s="26" t="s">
        <v>7161</v>
      </c>
      <c r="S2309" s="26" t="s">
        <v>29</v>
      </c>
      <c r="T2309" s="6" t="str">
        <f>HYPERLINK("https://kanzpp.ru/api/getInfo/image/c76cbb2a-392c-11eb-a25e-ac1f6b442184")</f>
        <v>https://kanzpp.ru/api/getInfo/image/c76cbb2a-392c-11eb-a25e-ac1f6b442184</v>
      </c>
      <c r="U2309" s="6"/>
      <c r="V2309" s="33" t="s">
        <v>35</v>
      </c>
    </row>
    <row r="2310" spans="2:22" ht="21" customHeight="1" outlineLevel="4" x14ac:dyDescent="0.2">
      <c r="B2310" s="69">
        <v>1701</v>
      </c>
      <c r="C2310" s="6" t="s">
        <v>7162</v>
      </c>
      <c r="D2310" s="6" t="s">
        <v>7163</v>
      </c>
      <c r="E2310" s="7" t="s">
        <v>7164</v>
      </c>
      <c r="F2310" s="13"/>
      <c r="G2310" s="14"/>
      <c r="H2310" s="15">
        <v>30</v>
      </c>
      <c r="I2310" s="14"/>
      <c r="J2310" s="15">
        <v>124</v>
      </c>
      <c r="K2310" s="5">
        <v>1</v>
      </c>
      <c r="L2310" s="16">
        <v>198.66666666666666</v>
      </c>
      <c r="M2310" s="12"/>
      <c r="N2310" s="14">
        <f>L2310*M2310</f>
        <v>0</v>
      </c>
      <c r="O2310" s="23">
        <f>0.085*M2310</f>
        <v>0</v>
      </c>
      <c r="P2310" s="24">
        <f>0.00036*M2310</f>
        <v>0</v>
      </c>
      <c r="Q2310" s="25"/>
      <c r="R2310" s="26" t="s">
        <v>7165</v>
      </c>
      <c r="S2310" s="26" t="s">
        <v>29</v>
      </c>
      <c r="T2310" s="6" t="str">
        <f>HYPERLINK("https://kanzpp.ru/api/getInfo/image/3cd8296d-392a-11eb-a25e-ac1f6b442184")</f>
        <v>https://kanzpp.ru/api/getInfo/image/3cd8296d-392a-11eb-a25e-ac1f6b442184</v>
      </c>
      <c r="U2310" s="6"/>
      <c r="V2310" s="33" t="s">
        <v>35</v>
      </c>
    </row>
    <row r="2311" spans="2:22" ht="21" customHeight="1" outlineLevel="4" x14ac:dyDescent="0.2">
      <c r="B2311" s="69">
        <v>1702</v>
      </c>
      <c r="C2311" s="6" t="s">
        <v>7166</v>
      </c>
      <c r="D2311" s="6" t="s">
        <v>7167</v>
      </c>
      <c r="E2311" s="7" t="s">
        <v>7168</v>
      </c>
      <c r="F2311" s="13"/>
      <c r="G2311" s="14"/>
      <c r="H2311" s="15">
        <v>30</v>
      </c>
      <c r="I2311" s="14"/>
      <c r="J2311" s="15">
        <v>195</v>
      </c>
      <c r="K2311" s="5">
        <v>1</v>
      </c>
      <c r="L2311" s="16">
        <v>198.66666666666666</v>
      </c>
      <c r="M2311" s="12"/>
      <c r="N2311" s="14">
        <f>L2311*M2311</f>
        <v>0</v>
      </c>
      <c r="O2311" s="23">
        <f>0.085*M2311</f>
        <v>0</v>
      </c>
      <c r="P2311" s="24">
        <f>0.00036*M2311</f>
        <v>0</v>
      </c>
      <c r="Q2311" s="25"/>
      <c r="R2311" s="26" t="s">
        <v>7169</v>
      </c>
      <c r="S2311" s="26" t="s">
        <v>29</v>
      </c>
      <c r="T2311" s="6" t="str">
        <f>HYPERLINK("https://kanzpp.ru/api/getInfo/image/a48043c5-392a-11eb-a25e-ac1f6b442184")</f>
        <v>https://kanzpp.ru/api/getInfo/image/a48043c5-392a-11eb-a25e-ac1f6b442184</v>
      </c>
      <c r="U2311" s="6"/>
      <c r="V2311" s="33" t="s">
        <v>35</v>
      </c>
    </row>
    <row r="2312" spans="2:22" ht="22.95" customHeight="1" outlineLevel="2" x14ac:dyDescent="0.2">
      <c r="B2312" s="80" t="s">
        <v>7170</v>
      </c>
      <c r="C2312" s="80"/>
      <c r="D2312" s="80"/>
      <c r="L2312">
        <v>0</v>
      </c>
    </row>
    <row r="2313" spans="2:22" ht="21" customHeight="1" outlineLevel="3" x14ac:dyDescent="0.2">
      <c r="B2313" s="69">
        <v>1703</v>
      </c>
      <c r="C2313" s="6" t="s">
        <v>7171</v>
      </c>
      <c r="D2313" s="6" t="s">
        <v>7172</v>
      </c>
      <c r="E2313" s="7" t="s">
        <v>7173</v>
      </c>
      <c r="F2313" s="13"/>
      <c r="G2313" s="14"/>
      <c r="H2313" s="15">
        <v>50</v>
      </c>
      <c r="I2313" s="14"/>
      <c r="J2313" s="15">
        <v>1</v>
      </c>
      <c r="K2313" s="5">
        <v>1</v>
      </c>
      <c r="L2313" s="16">
        <v>265.33333333333331</v>
      </c>
      <c r="M2313" s="12"/>
      <c r="N2313" s="14">
        <f>L2313*M2313</f>
        <v>0</v>
      </c>
      <c r="O2313" s="23">
        <f>0.308*M2313</f>
        <v>0</v>
      </c>
      <c r="P2313" s="24">
        <f>0.00113*M2313</f>
        <v>0</v>
      </c>
      <c r="Q2313" s="25"/>
      <c r="R2313" s="26" t="s">
        <v>7174</v>
      </c>
      <c r="S2313" s="26" t="s">
        <v>93</v>
      </c>
      <c r="T2313" s="6" t="str">
        <f>HYPERLINK("https://kanzpp.ru/api/getInfo/image/b79e0077-19c8-11ef-a25d-00155d82e908")</f>
        <v>https://kanzpp.ru/api/getInfo/image/b79e0077-19c8-11ef-a25d-00155d82e908</v>
      </c>
      <c r="U2313" s="6"/>
      <c r="V2313" s="33" t="s">
        <v>35</v>
      </c>
    </row>
    <row r="2314" spans="2:22" ht="22.95" customHeight="1" outlineLevel="3" x14ac:dyDescent="0.2">
      <c r="B2314" s="81" t="s">
        <v>7175</v>
      </c>
      <c r="C2314" s="81"/>
      <c r="D2314" s="81"/>
      <c r="L2314">
        <v>0</v>
      </c>
    </row>
    <row r="2315" spans="2:22" ht="21" customHeight="1" outlineLevel="4" x14ac:dyDescent="0.2">
      <c r="B2315" s="69">
        <v>1704</v>
      </c>
      <c r="C2315" s="6" t="s">
        <v>7176</v>
      </c>
      <c r="D2315" s="6" t="s">
        <v>7177</v>
      </c>
      <c r="E2315" s="7" t="s">
        <v>7178</v>
      </c>
      <c r="F2315" s="13"/>
      <c r="G2315" s="14"/>
      <c r="H2315" s="15">
        <v>20</v>
      </c>
      <c r="I2315" s="14"/>
      <c r="J2315" s="15">
        <v>68</v>
      </c>
      <c r="K2315" s="5">
        <v>3</v>
      </c>
      <c r="L2315" s="16">
        <v>105.33333333333333</v>
      </c>
      <c r="M2315" s="12"/>
      <c r="N2315" s="14">
        <f t="shared" ref="N2315:N2320" si="108">L2315*M2315</f>
        <v>0</v>
      </c>
      <c r="O2315" s="23">
        <f>0.232*M2315</f>
        <v>0</v>
      </c>
      <c r="P2315" s="24">
        <f>0.00335*M2315</f>
        <v>0</v>
      </c>
      <c r="Q2315" s="25"/>
      <c r="R2315" s="26" t="s">
        <v>7179</v>
      </c>
      <c r="S2315" s="26" t="s">
        <v>29</v>
      </c>
      <c r="T2315" s="6" t="str">
        <f>HYPERLINK("https://kanzpp.ru/api/getInfo/image/9f00bfcc-01c2-11ed-a213-ac1f6b442185")</f>
        <v>https://kanzpp.ru/api/getInfo/image/9f00bfcc-01c2-11ed-a213-ac1f6b442185</v>
      </c>
      <c r="U2315" s="6"/>
      <c r="V2315" s="33" t="s">
        <v>35</v>
      </c>
    </row>
    <row r="2316" spans="2:22" ht="21" customHeight="1" outlineLevel="4" x14ac:dyDescent="0.2">
      <c r="B2316" s="69">
        <v>1705</v>
      </c>
      <c r="C2316" s="6" t="s">
        <v>7180</v>
      </c>
      <c r="D2316" s="6" t="s">
        <v>7177</v>
      </c>
      <c r="E2316" s="7" t="s">
        <v>7178</v>
      </c>
      <c r="F2316" s="13"/>
      <c r="G2316" s="14"/>
      <c r="H2316" s="15">
        <v>20</v>
      </c>
      <c r="I2316" s="14"/>
      <c r="J2316" s="15">
        <v>348</v>
      </c>
      <c r="K2316" s="5">
        <v>3</v>
      </c>
      <c r="L2316" s="16">
        <v>105.33333333333333</v>
      </c>
      <c r="M2316" s="12"/>
      <c r="N2316" s="14">
        <f t="shared" si="108"/>
        <v>0</v>
      </c>
      <c r="O2316" s="28">
        <f>0.24*M2316</f>
        <v>0</v>
      </c>
      <c r="P2316" s="24">
        <f>0.00374*M2316</f>
        <v>0</v>
      </c>
      <c r="Q2316" s="25"/>
      <c r="R2316" s="26"/>
      <c r="S2316" s="26" t="s">
        <v>29</v>
      </c>
      <c r="T2316" s="6" t="str">
        <f>HYPERLINK("https://kanzpp.ru/api/getInfo/image/f952cecc-a580-11ee-a258-00155d82e908")</f>
        <v>https://kanzpp.ru/api/getInfo/image/f952cecc-a580-11ee-a258-00155d82e908</v>
      </c>
      <c r="U2316" s="6" t="s">
        <v>7179</v>
      </c>
      <c r="V2316" s="33" t="s">
        <v>35</v>
      </c>
    </row>
    <row r="2317" spans="2:22" ht="21" customHeight="1" outlineLevel="4" x14ac:dyDescent="0.2">
      <c r="B2317" s="69">
        <v>1706</v>
      </c>
      <c r="C2317" s="6" t="s">
        <v>7181</v>
      </c>
      <c r="D2317" s="6" t="s">
        <v>7182</v>
      </c>
      <c r="E2317" s="7" t="s">
        <v>7183</v>
      </c>
      <c r="F2317" s="13"/>
      <c r="G2317" s="14"/>
      <c r="H2317" s="15">
        <v>20</v>
      </c>
      <c r="I2317" s="14"/>
      <c r="J2317" s="15">
        <v>274</v>
      </c>
      <c r="K2317" s="5">
        <v>3</v>
      </c>
      <c r="L2317" s="16">
        <v>105.33333333333333</v>
      </c>
      <c r="M2317" s="12"/>
      <c r="N2317" s="14">
        <f t="shared" si="108"/>
        <v>0</v>
      </c>
      <c r="O2317" s="23">
        <f>0.242*M2317</f>
        <v>0</v>
      </c>
      <c r="P2317" s="24">
        <f>0.00306*M2317</f>
        <v>0</v>
      </c>
      <c r="Q2317" s="25"/>
      <c r="R2317" s="26"/>
      <c r="S2317" s="26" t="s">
        <v>29</v>
      </c>
      <c r="T2317" s="6" t="str">
        <f>HYPERLINK("https://kanzpp.ru/api/getInfo/image/e5ffd5ce-a498-11ee-a258-00155d82e908")</f>
        <v>https://kanzpp.ru/api/getInfo/image/e5ffd5ce-a498-11ee-a258-00155d82e908</v>
      </c>
      <c r="U2317" s="6" t="s">
        <v>7184</v>
      </c>
      <c r="V2317" s="33" t="s">
        <v>35</v>
      </c>
    </row>
    <row r="2318" spans="2:22" ht="21" customHeight="1" outlineLevel="4" x14ac:dyDescent="0.2">
      <c r="B2318" s="69">
        <v>1707</v>
      </c>
      <c r="C2318" s="6" t="s">
        <v>7185</v>
      </c>
      <c r="D2318" s="6" t="s">
        <v>7186</v>
      </c>
      <c r="E2318" s="7" t="s">
        <v>7183</v>
      </c>
      <c r="F2318" s="13"/>
      <c r="G2318" s="14"/>
      <c r="H2318" s="15">
        <v>20</v>
      </c>
      <c r="I2318" s="14"/>
      <c r="J2318" s="15">
        <v>573</v>
      </c>
      <c r="K2318" s="5">
        <v>3</v>
      </c>
      <c r="L2318" s="16">
        <v>105.33333333333333</v>
      </c>
      <c r="M2318" s="12"/>
      <c r="N2318" s="14">
        <f t="shared" si="108"/>
        <v>0</v>
      </c>
      <c r="O2318" s="23">
        <f>0.235*M2318</f>
        <v>0</v>
      </c>
      <c r="P2318" s="24">
        <f>0.00304*M2318</f>
        <v>0</v>
      </c>
      <c r="Q2318" s="25"/>
      <c r="R2318" s="26" t="s">
        <v>7184</v>
      </c>
      <c r="S2318" s="26" t="s">
        <v>29</v>
      </c>
      <c r="T2318" s="6" t="str">
        <f>HYPERLINK("https://kanzpp.ru/api/getInfo/image/0d8b01a5-01c3-11ed-a213-ac1f6b442185")</f>
        <v>https://kanzpp.ru/api/getInfo/image/0d8b01a5-01c3-11ed-a213-ac1f6b442185</v>
      </c>
      <c r="U2318" s="6"/>
      <c r="V2318" s="33" t="s">
        <v>35</v>
      </c>
    </row>
    <row r="2319" spans="2:22" ht="21" customHeight="1" outlineLevel="4" x14ac:dyDescent="0.2">
      <c r="B2319" s="69">
        <v>1708</v>
      </c>
      <c r="C2319" s="6" t="s">
        <v>7187</v>
      </c>
      <c r="D2319" s="6" t="s">
        <v>7188</v>
      </c>
      <c r="E2319" s="7" t="s">
        <v>7189</v>
      </c>
      <c r="F2319" s="13"/>
      <c r="G2319" s="14"/>
      <c r="H2319" s="15">
        <v>20</v>
      </c>
      <c r="I2319" s="14"/>
      <c r="J2319" s="15">
        <v>180</v>
      </c>
      <c r="K2319" s="5">
        <v>3</v>
      </c>
      <c r="L2319" s="16">
        <v>105.33333333333333</v>
      </c>
      <c r="M2319" s="12"/>
      <c r="N2319" s="14">
        <f t="shared" si="108"/>
        <v>0</v>
      </c>
      <c r="O2319" s="23">
        <f>0.338*M2319</f>
        <v>0</v>
      </c>
      <c r="P2319" s="24">
        <f>0.00235*M2319</f>
        <v>0</v>
      </c>
      <c r="Q2319" s="25"/>
      <c r="R2319" s="26" t="s">
        <v>7190</v>
      </c>
      <c r="S2319" s="26" t="s">
        <v>29</v>
      </c>
      <c r="T2319" s="6" t="str">
        <f>HYPERLINK("https://kanzpp.ru/api/getInfo/image/67a631c8-01c2-11ed-a213-ac1f6b442185")</f>
        <v>https://kanzpp.ru/api/getInfo/image/67a631c8-01c2-11ed-a213-ac1f6b442185</v>
      </c>
      <c r="U2319" s="6"/>
      <c r="V2319" s="33" t="s">
        <v>35</v>
      </c>
    </row>
    <row r="2320" spans="2:22" ht="21" customHeight="1" outlineLevel="4" x14ac:dyDescent="0.2">
      <c r="B2320" s="69">
        <v>1709</v>
      </c>
      <c r="C2320" s="6" t="s">
        <v>7191</v>
      </c>
      <c r="D2320" s="6" t="s">
        <v>7188</v>
      </c>
      <c r="E2320" s="7" t="s">
        <v>7189</v>
      </c>
      <c r="F2320" s="13"/>
      <c r="G2320" s="14"/>
      <c r="H2320" s="15">
        <v>20</v>
      </c>
      <c r="I2320" s="14"/>
      <c r="J2320" s="15">
        <v>75</v>
      </c>
      <c r="K2320" s="5">
        <v>3</v>
      </c>
      <c r="L2320" s="16">
        <v>105.33333333333333</v>
      </c>
      <c r="M2320" s="12"/>
      <c r="N2320" s="14">
        <f t="shared" si="108"/>
        <v>0</v>
      </c>
      <c r="O2320" s="28">
        <f>0.24*M2320</f>
        <v>0</v>
      </c>
      <c r="P2320" s="24">
        <f>0.00235*M2320</f>
        <v>0</v>
      </c>
      <c r="Q2320" s="25"/>
      <c r="R2320" s="26"/>
      <c r="S2320" s="26" t="s">
        <v>29</v>
      </c>
      <c r="T2320" s="6" t="str">
        <f>HYPERLINK("https://kanzpp.ru/api/getInfo/image/bd459670-dc5c-11ee-a25a-00155d82e908")</f>
        <v>https://kanzpp.ru/api/getInfo/image/bd459670-dc5c-11ee-a25a-00155d82e908</v>
      </c>
      <c r="U2320" s="6" t="s">
        <v>7190</v>
      </c>
      <c r="V2320" s="33" t="s">
        <v>35</v>
      </c>
    </row>
    <row r="2321" spans="2:22" ht="22.95" customHeight="1" outlineLevel="3" x14ac:dyDescent="0.2">
      <c r="B2321" s="81" t="s">
        <v>7192</v>
      </c>
      <c r="C2321" s="81"/>
      <c r="D2321" s="81"/>
      <c r="L2321">
        <v>0</v>
      </c>
    </row>
    <row r="2322" spans="2:22" ht="21" customHeight="1" outlineLevel="4" x14ac:dyDescent="0.2">
      <c r="B2322" s="69">
        <v>1710</v>
      </c>
      <c r="C2322" s="6" t="s">
        <v>7193</v>
      </c>
      <c r="D2322" s="6" t="s">
        <v>7194</v>
      </c>
      <c r="E2322" s="7" t="s">
        <v>7195</v>
      </c>
      <c r="F2322" s="13"/>
      <c r="G2322" s="14"/>
      <c r="H2322" s="15">
        <v>50</v>
      </c>
      <c r="I2322" s="14"/>
      <c r="J2322" s="15">
        <v>395</v>
      </c>
      <c r="K2322" s="5">
        <v>3</v>
      </c>
      <c r="L2322" s="16">
        <v>198.66666666666666</v>
      </c>
      <c r="M2322" s="12"/>
      <c r="N2322" s="14">
        <f>L2322*M2322</f>
        <v>0</v>
      </c>
      <c r="O2322" s="23">
        <f>0.136*M2322</f>
        <v>0</v>
      </c>
      <c r="P2322" s="24">
        <f>0.00234*M2322</f>
        <v>0</v>
      </c>
      <c r="Q2322" s="25"/>
      <c r="R2322" s="26" t="s">
        <v>7196</v>
      </c>
      <c r="S2322" s="26" t="s">
        <v>29</v>
      </c>
      <c r="T2322" s="6" t="str">
        <f>HYPERLINK("https://kanzpp.ru/api/getInfo/image/72d1961e-f09a-11ec-a213-ac1f6b442185")</f>
        <v>https://kanzpp.ru/api/getInfo/image/72d1961e-f09a-11ec-a213-ac1f6b442185</v>
      </c>
      <c r="U2322" s="6"/>
      <c r="V2322" s="33" t="s">
        <v>35</v>
      </c>
    </row>
    <row r="2323" spans="2:22" ht="21" customHeight="1" outlineLevel="4" x14ac:dyDescent="0.2">
      <c r="B2323" s="69">
        <v>1711</v>
      </c>
      <c r="C2323" s="6" t="s">
        <v>7197</v>
      </c>
      <c r="D2323" s="6" t="s">
        <v>7198</v>
      </c>
      <c r="E2323" s="7" t="s">
        <v>7199</v>
      </c>
      <c r="F2323" s="13"/>
      <c r="G2323" s="14"/>
      <c r="H2323" s="15">
        <v>50</v>
      </c>
      <c r="I2323" s="14"/>
      <c r="J2323" s="15">
        <v>1</v>
      </c>
      <c r="K2323" s="5">
        <v>1</v>
      </c>
      <c r="L2323" s="16">
        <v>198.66666666666666</v>
      </c>
      <c r="M2323" s="12"/>
      <c r="N2323" s="14">
        <f>L2323*M2323</f>
        <v>0</v>
      </c>
      <c r="O2323" s="23">
        <f>0.154*M2323</f>
        <v>0</v>
      </c>
      <c r="P2323" s="24">
        <f>0.00159*M2323</f>
        <v>0</v>
      </c>
      <c r="Q2323" s="25"/>
      <c r="R2323" s="26" t="s">
        <v>7200</v>
      </c>
      <c r="S2323" s="26" t="s">
        <v>29</v>
      </c>
      <c r="T2323" s="6" t="str">
        <f>HYPERLINK("https://kanzpp.ru/api/getInfo/image/27b81459-f09a-11ec-a213-ac1f6b442185")</f>
        <v>https://kanzpp.ru/api/getInfo/image/27b81459-f09a-11ec-a213-ac1f6b442185</v>
      </c>
      <c r="U2323" s="6"/>
      <c r="V2323" s="33" t="s">
        <v>35</v>
      </c>
    </row>
    <row r="2324" spans="2:22" ht="22.95" customHeight="1" outlineLevel="3" x14ac:dyDescent="0.2">
      <c r="B2324" s="81" t="s">
        <v>7201</v>
      </c>
      <c r="C2324" s="81"/>
      <c r="D2324" s="81"/>
      <c r="L2324">
        <v>0</v>
      </c>
    </row>
    <row r="2325" spans="2:22" ht="21" customHeight="1" outlineLevel="4" x14ac:dyDescent="0.2">
      <c r="B2325" s="69">
        <v>1712</v>
      </c>
      <c r="C2325" s="6" t="s">
        <v>7202</v>
      </c>
      <c r="D2325" s="6" t="s">
        <v>7203</v>
      </c>
      <c r="E2325" s="7" t="s">
        <v>7204</v>
      </c>
      <c r="F2325" s="13"/>
      <c r="G2325" s="14"/>
      <c r="H2325" s="15">
        <v>20</v>
      </c>
      <c r="I2325" s="14"/>
      <c r="J2325" s="15">
        <v>265</v>
      </c>
      <c r="K2325" s="5">
        <v>2</v>
      </c>
      <c r="L2325" s="16">
        <v>105.33333333333333</v>
      </c>
      <c r="M2325" s="12"/>
      <c r="N2325" s="14">
        <f>L2325*M2325</f>
        <v>0</v>
      </c>
      <c r="O2325" s="23">
        <f>0.245*M2325</f>
        <v>0</v>
      </c>
      <c r="P2325" s="24">
        <f>0.00279*M2325</f>
        <v>0</v>
      </c>
      <c r="Q2325" s="25"/>
      <c r="R2325" s="26" t="s">
        <v>7205</v>
      </c>
      <c r="S2325" s="26" t="s">
        <v>29</v>
      </c>
      <c r="T2325" s="6" t="str">
        <f>HYPERLINK("https://kanzpp.ru/api/getInfo/image/810c8146-5aea-11ef-a262-00155d82e908")</f>
        <v>https://kanzpp.ru/api/getInfo/image/810c8146-5aea-11ef-a262-00155d82e908</v>
      </c>
      <c r="U2325" s="6"/>
      <c r="V2325" s="33" t="s">
        <v>35</v>
      </c>
    </row>
    <row r="2326" spans="2:22" ht="21" customHeight="1" outlineLevel="4" x14ac:dyDescent="0.2">
      <c r="B2326" s="69">
        <v>1713</v>
      </c>
      <c r="C2326" s="6" t="s">
        <v>7206</v>
      </c>
      <c r="D2326" s="6" t="s">
        <v>7207</v>
      </c>
      <c r="E2326" s="7" t="s">
        <v>7208</v>
      </c>
      <c r="F2326" s="13"/>
      <c r="G2326" s="14"/>
      <c r="H2326" s="15">
        <v>20</v>
      </c>
      <c r="I2326" s="14"/>
      <c r="J2326" s="15">
        <v>77</v>
      </c>
      <c r="K2326" s="5">
        <v>2</v>
      </c>
      <c r="L2326" s="16">
        <v>132</v>
      </c>
      <c r="M2326" s="12"/>
      <c r="N2326" s="14">
        <f>L2326*M2326</f>
        <v>0</v>
      </c>
      <c r="O2326" s="23">
        <f>0.247*M2326</f>
        <v>0</v>
      </c>
      <c r="P2326" s="24">
        <f>0.00261*M2326</f>
        <v>0</v>
      </c>
      <c r="Q2326" s="25"/>
      <c r="R2326" s="26" t="s">
        <v>7209</v>
      </c>
      <c r="S2326" s="26" t="s">
        <v>29</v>
      </c>
      <c r="T2326" s="6" t="str">
        <f>HYPERLINK("https://kanzpp.ru/api/getInfo/image/e0a8b56b-5aea-11ef-a262-00155d82e908")</f>
        <v>https://kanzpp.ru/api/getInfo/image/e0a8b56b-5aea-11ef-a262-00155d82e908</v>
      </c>
      <c r="U2326" s="6"/>
      <c r="V2326" s="33" t="s">
        <v>35</v>
      </c>
    </row>
    <row r="2327" spans="2:22" ht="21" customHeight="1" outlineLevel="4" x14ac:dyDescent="0.2">
      <c r="B2327" s="69">
        <v>1714</v>
      </c>
      <c r="C2327" s="6" t="s">
        <v>7210</v>
      </c>
      <c r="D2327" s="6" t="s">
        <v>7211</v>
      </c>
      <c r="E2327" s="7" t="s">
        <v>7212</v>
      </c>
      <c r="F2327" s="13"/>
      <c r="G2327" s="14"/>
      <c r="H2327" s="15">
        <v>20</v>
      </c>
      <c r="I2327" s="14"/>
      <c r="J2327" s="15">
        <v>33</v>
      </c>
      <c r="K2327" s="5">
        <v>2</v>
      </c>
      <c r="L2327" s="16">
        <v>132</v>
      </c>
      <c r="M2327" s="12"/>
      <c r="N2327" s="14">
        <f>L2327*M2327</f>
        <v>0</v>
      </c>
      <c r="O2327" s="23">
        <f>0.247*M2327</f>
        <v>0</v>
      </c>
      <c r="P2327" s="24">
        <f>0.00261*M2327</f>
        <v>0</v>
      </c>
      <c r="Q2327" s="25"/>
      <c r="R2327" s="26" t="s">
        <v>7213</v>
      </c>
      <c r="S2327" s="26" t="s">
        <v>29</v>
      </c>
      <c r="T2327" s="6" t="str">
        <f>HYPERLINK("https://kanzpp.ru/api/getInfo/image/c3c289ad-5aea-11ef-a262-00155d82e908")</f>
        <v>https://kanzpp.ru/api/getInfo/image/c3c289ad-5aea-11ef-a262-00155d82e908</v>
      </c>
      <c r="U2327" s="6"/>
      <c r="V2327" s="33" t="s">
        <v>35</v>
      </c>
    </row>
    <row r="2328" spans="2:22" ht="22.95" customHeight="1" outlineLevel="3" x14ac:dyDescent="0.2">
      <c r="B2328" s="81" t="s">
        <v>7214</v>
      </c>
      <c r="C2328" s="81"/>
      <c r="D2328" s="81"/>
      <c r="L2328">
        <v>0</v>
      </c>
    </row>
    <row r="2329" spans="2:22" ht="21" customHeight="1" outlineLevel="4" x14ac:dyDescent="0.2">
      <c r="B2329" s="69">
        <v>1715</v>
      </c>
      <c r="C2329" s="6" t="s">
        <v>7215</v>
      </c>
      <c r="D2329" s="6" t="s">
        <v>7216</v>
      </c>
      <c r="E2329" s="7" t="s">
        <v>7217</v>
      </c>
      <c r="F2329" s="13"/>
      <c r="G2329" s="14"/>
      <c r="H2329" s="15">
        <v>40</v>
      </c>
      <c r="I2329" s="14"/>
      <c r="J2329" s="14" t="s">
        <v>144</v>
      </c>
      <c r="K2329" s="5">
        <v>3</v>
      </c>
      <c r="L2329" s="16">
        <v>105.33333333333333</v>
      </c>
      <c r="M2329" s="12"/>
      <c r="N2329" s="14">
        <f>L2329*M2329</f>
        <v>0</v>
      </c>
      <c r="O2329" s="28">
        <f>0.16*M2329</f>
        <v>0</v>
      </c>
      <c r="P2329" s="24">
        <f>0.00152*M2329</f>
        <v>0</v>
      </c>
      <c r="Q2329" s="25"/>
      <c r="R2329" s="26" t="s">
        <v>7218</v>
      </c>
      <c r="S2329" s="26" t="s">
        <v>29</v>
      </c>
      <c r="T2329" s="6" t="str">
        <f>HYPERLINK("https://kanzpp.ru/api/getInfo/image/f01cfac1-2475-11ed-a216-ac1f6b442185")</f>
        <v>https://kanzpp.ru/api/getInfo/image/f01cfac1-2475-11ed-a216-ac1f6b442185</v>
      </c>
      <c r="U2329" s="6"/>
      <c r="V2329" s="33" t="s">
        <v>35</v>
      </c>
    </row>
    <row r="2330" spans="2:22" ht="21" customHeight="1" outlineLevel="4" x14ac:dyDescent="0.2">
      <c r="B2330" s="69">
        <v>1716</v>
      </c>
      <c r="C2330" s="6" t="s">
        <v>7219</v>
      </c>
      <c r="D2330" s="6" t="s">
        <v>7220</v>
      </c>
      <c r="E2330" s="7" t="s">
        <v>7221</v>
      </c>
      <c r="F2330" s="13"/>
      <c r="G2330" s="14"/>
      <c r="H2330" s="15">
        <v>40</v>
      </c>
      <c r="I2330" s="14"/>
      <c r="J2330" s="14" t="s">
        <v>144</v>
      </c>
      <c r="K2330" s="5">
        <v>3</v>
      </c>
      <c r="L2330" s="16">
        <v>105.33333333333333</v>
      </c>
      <c r="M2330" s="12"/>
      <c r="N2330" s="14">
        <f>L2330*M2330</f>
        <v>0</v>
      </c>
      <c r="O2330" s="28">
        <f>0.16*M2330</f>
        <v>0</v>
      </c>
      <c r="P2330" s="24">
        <f>0.00152*M2330</f>
        <v>0</v>
      </c>
      <c r="Q2330" s="25"/>
      <c r="R2330" s="26" t="s">
        <v>7222</v>
      </c>
      <c r="S2330" s="26" t="s">
        <v>29</v>
      </c>
      <c r="T2330" s="6" t="str">
        <f>HYPERLINK("https://kanzpp.ru/api/getInfo/image/7ec2b511-2475-11ed-a216-ac1f6b442185")</f>
        <v>https://kanzpp.ru/api/getInfo/image/7ec2b511-2475-11ed-a216-ac1f6b442185</v>
      </c>
      <c r="U2330" s="6"/>
      <c r="V2330" s="33" t="s">
        <v>35</v>
      </c>
    </row>
    <row r="2331" spans="2:22" ht="21" customHeight="1" outlineLevel="4" x14ac:dyDescent="0.2">
      <c r="B2331" s="69">
        <v>1717</v>
      </c>
      <c r="C2331" s="6" t="s">
        <v>7223</v>
      </c>
      <c r="D2331" s="6" t="s">
        <v>7224</v>
      </c>
      <c r="E2331" s="7" t="s">
        <v>7225</v>
      </c>
      <c r="F2331" s="13"/>
      <c r="G2331" s="14"/>
      <c r="H2331" s="15">
        <v>40</v>
      </c>
      <c r="I2331" s="14"/>
      <c r="J2331" s="15">
        <v>328</v>
      </c>
      <c r="K2331" s="5">
        <v>3</v>
      </c>
      <c r="L2331" s="16">
        <v>105.33333333333333</v>
      </c>
      <c r="M2331" s="12"/>
      <c r="N2331" s="14">
        <f>L2331*M2331</f>
        <v>0</v>
      </c>
      <c r="O2331" s="28">
        <f>0.16*M2331</f>
        <v>0</v>
      </c>
      <c r="P2331" s="24">
        <f>0.00152*M2331</f>
        <v>0</v>
      </c>
      <c r="Q2331" s="25"/>
      <c r="R2331" s="26" t="s">
        <v>7226</v>
      </c>
      <c r="S2331" s="26" t="s">
        <v>29</v>
      </c>
      <c r="T2331" s="6" t="str">
        <f>HYPERLINK("https://kanzpp.ru/api/getInfo/image/4c36571a-2475-11ed-a216-ac1f6b442185")</f>
        <v>https://kanzpp.ru/api/getInfo/image/4c36571a-2475-11ed-a216-ac1f6b442185</v>
      </c>
      <c r="U2331" s="6"/>
      <c r="V2331" s="33" t="s">
        <v>35</v>
      </c>
    </row>
    <row r="2332" spans="2:22" ht="21" customHeight="1" outlineLevel="4" x14ac:dyDescent="0.2">
      <c r="B2332" s="69">
        <v>1718</v>
      </c>
      <c r="C2332" s="6" t="s">
        <v>7227</v>
      </c>
      <c r="D2332" s="6" t="s">
        <v>7228</v>
      </c>
      <c r="E2332" s="7" t="s">
        <v>7229</v>
      </c>
      <c r="F2332" s="13"/>
      <c r="G2332" s="14"/>
      <c r="H2332" s="15">
        <v>40</v>
      </c>
      <c r="I2332" s="14"/>
      <c r="J2332" s="15">
        <v>948</v>
      </c>
      <c r="K2332" s="5">
        <v>3</v>
      </c>
      <c r="L2332" s="16">
        <v>105.33333333333333</v>
      </c>
      <c r="M2332" s="12"/>
      <c r="N2332" s="14">
        <f>L2332*M2332</f>
        <v>0</v>
      </c>
      <c r="O2332" s="23">
        <f>0.149*M2332</f>
        <v>0</v>
      </c>
      <c r="P2332" s="31">
        <f>0.0016*M2332</f>
        <v>0</v>
      </c>
      <c r="Q2332" s="25"/>
      <c r="R2332" s="26" t="s">
        <v>7230</v>
      </c>
      <c r="S2332" s="26" t="s">
        <v>29</v>
      </c>
      <c r="T2332" s="6" t="str">
        <f>HYPERLINK("https://kanzpp.ru/api/getInfo/image/c999703d-2475-11ed-a216-ac1f6b442185")</f>
        <v>https://kanzpp.ru/api/getInfo/image/c999703d-2475-11ed-a216-ac1f6b442185</v>
      </c>
      <c r="U2332" s="6"/>
      <c r="V2332" s="33" t="s">
        <v>35</v>
      </c>
    </row>
    <row r="2333" spans="2:22" ht="21" customHeight="1" outlineLevel="4" x14ac:dyDescent="0.2">
      <c r="B2333" s="69">
        <v>1719</v>
      </c>
      <c r="C2333" s="6" t="s">
        <v>7231</v>
      </c>
      <c r="D2333" s="6" t="s">
        <v>7232</v>
      </c>
      <c r="E2333" s="7" t="s">
        <v>7233</v>
      </c>
      <c r="F2333" s="13"/>
      <c r="G2333" s="14"/>
      <c r="H2333" s="15">
        <v>40</v>
      </c>
      <c r="I2333" s="14"/>
      <c r="J2333" s="15">
        <v>7</v>
      </c>
      <c r="K2333" s="5">
        <v>3</v>
      </c>
      <c r="L2333" s="16">
        <v>132</v>
      </c>
      <c r="M2333" s="12"/>
      <c r="N2333" s="14">
        <f>L2333*M2333</f>
        <v>0</v>
      </c>
      <c r="O2333" s="28">
        <f>0.16*M2333</f>
        <v>0</v>
      </c>
      <c r="P2333" s="24">
        <f>0.00152*M2333</f>
        <v>0</v>
      </c>
      <c r="Q2333" s="25"/>
      <c r="R2333" s="26"/>
      <c r="S2333" s="26" t="s">
        <v>29</v>
      </c>
      <c r="T2333" s="6" t="str">
        <f>HYPERLINK("https://kanzpp.ru/api/getInfo/image/f540f1fc-a882-11ed-a230-00155d82e902")</f>
        <v>https://kanzpp.ru/api/getInfo/image/f540f1fc-a882-11ed-a230-00155d82e902</v>
      </c>
      <c r="U2333" s="6" t="s">
        <v>7234</v>
      </c>
      <c r="V2333" s="33" t="s">
        <v>35</v>
      </c>
    </row>
    <row r="2334" spans="2:22" ht="22.95" customHeight="1" outlineLevel="3" x14ac:dyDescent="0.2">
      <c r="B2334" s="81" t="s">
        <v>7235</v>
      </c>
      <c r="C2334" s="81"/>
      <c r="D2334" s="81"/>
      <c r="L2334">
        <v>0</v>
      </c>
    </row>
    <row r="2335" spans="2:22" ht="21" customHeight="1" outlineLevel="4" x14ac:dyDescent="0.2">
      <c r="B2335" s="69">
        <v>1720</v>
      </c>
      <c r="C2335" s="6" t="s">
        <v>7236</v>
      </c>
      <c r="D2335" s="6" t="s">
        <v>7237</v>
      </c>
      <c r="E2335" s="7" t="s">
        <v>7238</v>
      </c>
      <c r="F2335" s="13"/>
      <c r="G2335" s="14"/>
      <c r="H2335" s="15">
        <v>25</v>
      </c>
      <c r="I2335" s="14"/>
      <c r="J2335" s="15">
        <v>367</v>
      </c>
      <c r="K2335" s="5">
        <v>1</v>
      </c>
      <c r="L2335" s="16">
        <v>145.33333333333334</v>
      </c>
      <c r="M2335" s="12"/>
      <c r="N2335" s="14">
        <f>L2335*M2335</f>
        <v>0</v>
      </c>
      <c r="O2335" s="28">
        <f>0.24*M2335</f>
        <v>0</v>
      </c>
      <c r="P2335" s="24">
        <f>0.00017*M2335</f>
        <v>0</v>
      </c>
      <c r="Q2335" s="25"/>
      <c r="R2335" s="26" t="s">
        <v>7239</v>
      </c>
      <c r="S2335" s="26" t="s">
        <v>29</v>
      </c>
      <c r="T2335" s="6" t="str">
        <f>HYPERLINK("https://kanzpp.ru/api/getInfo/image/c13de7a4-16ed-11ec-a20f-ac1f6b442185")</f>
        <v>https://kanzpp.ru/api/getInfo/image/c13de7a4-16ed-11ec-a20f-ac1f6b442185</v>
      </c>
      <c r="U2335" s="6"/>
      <c r="V2335" s="33" t="s">
        <v>35</v>
      </c>
    </row>
    <row r="2336" spans="2:22" ht="21" customHeight="1" outlineLevel="4" x14ac:dyDescent="0.2">
      <c r="B2336" s="69">
        <v>1721</v>
      </c>
      <c r="C2336" s="6" t="s">
        <v>7240</v>
      </c>
      <c r="D2336" s="6" t="s">
        <v>7241</v>
      </c>
      <c r="E2336" s="7" t="s">
        <v>7242</v>
      </c>
      <c r="F2336" s="13"/>
      <c r="G2336" s="14"/>
      <c r="H2336" s="15">
        <v>25</v>
      </c>
      <c r="I2336" s="14"/>
      <c r="J2336" s="15">
        <v>64</v>
      </c>
      <c r="K2336" s="5">
        <v>1</v>
      </c>
      <c r="L2336" s="16">
        <v>145.33333333333334</v>
      </c>
      <c r="M2336" s="12"/>
      <c r="N2336" s="14">
        <f>L2336*M2336</f>
        <v>0</v>
      </c>
      <c r="O2336" s="28">
        <f>0.24*M2336</f>
        <v>0</v>
      </c>
      <c r="P2336" s="24">
        <f>0.00168*M2336</f>
        <v>0</v>
      </c>
      <c r="Q2336" s="25"/>
      <c r="R2336" s="26" t="s">
        <v>7243</v>
      </c>
      <c r="S2336" s="26" t="s">
        <v>29</v>
      </c>
      <c r="T2336" s="6" t="str">
        <f>HYPERLINK("https://kanzpp.ru/api/getInfo/image/7ec5a7aa-16ed-11ec-a20f-ac1f6b442185")</f>
        <v>https://kanzpp.ru/api/getInfo/image/7ec5a7aa-16ed-11ec-a20f-ac1f6b442185</v>
      </c>
      <c r="U2336" s="6"/>
      <c r="V2336" s="33" t="s">
        <v>35</v>
      </c>
    </row>
    <row r="2337" spans="2:22" ht="22.95" customHeight="1" outlineLevel="2" x14ac:dyDescent="0.2">
      <c r="B2337" s="80" t="s">
        <v>7244</v>
      </c>
      <c r="C2337" s="80"/>
      <c r="D2337" s="80"/>
      <c r="L2337">
        <v>0</v>
      </c>
    </row>
    <row r="2338" spans="2:22" ht="22.95" customHeight="1" outlineLevel="3" x14ac:dyDescent="0.2">
      <c r="B2338" s="81" t="s">
        <v>7245</v>
      </c>
      <c r="C2338" s="81"/>
      <c r="D2338" s="81"/>
      <c r="L2338">
        <v>0</v>
      </c>
    </row>
    <row r="2339" spans="2:22" ht="21" customHeight="1" outlineLevel="4" x14ac:dyDescent="0.2">
      <c r="B2339" s="69">
        <v>1722</v>
      </c>
      <c r="C2339" s="6" t="s">
        <v>7246</v>
      </c>
      <c r="D2339" s="6" t="s">
        <v>7247</v>
      </c>
      <c r="E2339" s="7" t="s">
        <v>7248</v>
      </c>
      <c r="F2339" s="13"/>
      <c r="G2339" s="14"/>
      <c r="H2339" s="15">
        <v>10</v>
      </c>
      <c r="I2339" s="14"/>
      <c r="J2339" s="15">
        <v>154</v>
      </c>
      <c r="K2339" s="5">
        <v>1</v>
      </c>
      <c r="L2339" s="16">
        <v>145.33333333333334</v>
      </c>
      <c r="M2339" s="12"/>
      <c r="N2339" s="14">
        <f>L2339*M2339</f>
        <v>0</v>
      </c>
      <c r="O2339" s="23">
        <f>0.818*M2339</f>
        <v>0</v>
      </c>
      <c r="P2339" s="24">
        <f>0.00803*M2339</f>
        <v>0</v>
      </c>
      <c r="Q2339" s="25"/>
      <c r="R2339" s="26"/>
      <c r="S2339" s="26" t="s">
        <v>93</v>
      </c>
      <c r="T2339" s="6" t="str">
        <f>HYPERLINK("https://kanzpp.ru/api/getInfo/image/1754916b-166d-11ee-a23b-00155d82e902")</f>
        <v>https://kanzpp.ru/api/getInfo/image/1754916b-166d-11ee-a23b-00155d82e902</v>
      </c>
      <c r="U2339" s="6" t="s">
        <v>7249</v>
      </c>
      <c r="V2339" s="33" t="s">
        <v>35</v>
      </c>
    </row>
    <row r="2340" spans="2:22" ht="22.95" customHeight="1" outlineLevel="3" x14ac:dyDescent="0.2">
      <c r="B2340" s="81" t="s">
        <v>7250</v>
      </c>
      <c r="C2340" s="81"/>
      <c r="D2340" s="81"/>
      <c r="L2340">
        <v>0</v>
      </c>
    </row>
    <row r="2341" spans="2:22" ht="21" customHeight="1" outlineLevel="4" x14ac:dyDescent="0.2">
      <c r="B2341" s="71">
        <v>1723</v>
      </c>
      <c r="C2341" s="37" t="s">
        <v>7251</v>
      </c>
      <c r="D2341" s="37" t="s">
        <v>7252</v>
      </c>
      <c r="E2341" s="38" t="s">
        <v>7253</v>
      </c>
      <c r="F2341" s="39"/>
      <c r="G2341" s="40"/>
      <c r="H2341" s="41">
        <v>30</v>
      </c>
      <c r="I2341" s="40"/>
      <c r="J2341" s="41">
        <v>182</v>
      </c>
      <c r="K2341" s="36">
        <v>3</v>
      </c>
      <c r="L2341" s="42">
        <f>(233.99*(1-O3/100))/0.75</f>
        <v>311.98666666666668</v>
      </c>
      <c r="M2341" s="12"/>
      <c r="N2341" s="40">
        <f t="shared" ref="N2341:N2346" si="109">L2341*M2341</f>
        <v>0</v>
      </c>
      <c r="O2341" s="43">
        <f>0.174*M2341</f>
        <v>0</v>
      </c>
      <c r="P2341" s="47">
        <f>0.00648*M2341</f>
        <v>0</v>
      </c>
      <c r="Q2341" s="44"/>
      <c r="R2341" s="45" t="s">
        <v>7254</v>
      </c>
      <c r="S2341" s="45" t="s">
        <v>29</v>
      </c>
      <c r="T2341" s="37" t="str">
        <f>HYPERLINK("https://kanzpp.ru/api/getInfo/image/6cf56160-cd45-11e8-a20d-ac1f6b442184")</f>
        <v>https://kanzpp.ru/api/getInfo/image/6cf56160-cd45-11e8-a20d-ac1f6b442184</v>
      </c>
      <c r="U2341" s="37"/>
    </row>
    <row r="2342" spans="2:22" ht="21" customHeight="1" outlineLevel="4" x14ac:dyDescent="0.2">
      <c r="B2342" s="71">
        <v>1724</v>
      </c>
      <c r="C2342" s="37" t="s">
        <v>7255</v>
      </c>
      <c r="D2342" s="37" t="s">
        <v>7256</v>
      </c>
      <c r="E2342" s="38" t="s">
        <v>7253</v>
      </c>
      <c r="F2342" s="39"/>
      <c r="G2342" s="40"/>
      <c r="H2342" s="41">
        <v>30</v>
      </c>
      <c r="I2342" s="40"/>
      <c r="J2342" s="41">
        <v>21</v>
      </c>
      <c r="K2342" s="36">
        <v>3</v>
      </c>
      <c r="L2342" s="42">
        <f>(226.73*(1-O3/100))/0.75</f>
        <v>302.30666666666667</v>
      </c>
      <c r="M2342" s="12"/>
      <c r="N2342" s="40">
        <f t="shared" si="109"/>
        <v>0</v>
      </c>
      <c r="O2342" s="43">
        <f>0.174*M2342</f>
        <v>0</v>
      </c>
      <c r="P2342" s="47">
        <f>0.00648*M2342</f>
        <v>0</v>
      </c>
      <c r="Q2342" s="44"/>
      <c r="R2342" s="45"/>
      <c r="S2342" s="45" t="s">
        <v>29</v>
      </c>
      <c r="T2342" s="37" t="str">
        <f>HYPERLINK("https://kanzpp.ru/api/getInfo/image/43a244a4-4595-11ee-a243-00155d82e902")</f>
        <v>https://kanzpp.ru/api/getInfo/image/43a244a4-4595-11ee-a243-00155d82e902</v>
      </c>
      <c r="U2342" s="37" t="s">
        <v>7254</v>
      </c>
    </row>
    <row r="2343" spans="2:22" ht="21" customHeight="1" outlineLevel="4" x14ac:dyDescent="0.2">
      <c r="B2343" s="69">
        <v>1725</v>
      </c>
      <c r="C2343" s="6" t="s">
        <v>7257</v>
      </c>
      <c r="D2343" s="6" t="s">
        <v>7258</v>
      </c>
      <c r="E2343" s="7" t="s">
        <v>7259</v>
      </c>
      <c r="F2343" s="13"/>
      <c r="G2343" s="14"/>
      <c r="H2343" s="15">
        <v>30</v>
      </c>
      <c r="I2343" s="14"/>
      <c r="J2343" s="15">
        <v>557</v>
      </c>
      <c r="K2343" s="5">
        <v>3</v>
      </c>
      <c r="L2343" s="16">
        <v>198.66666666666666</v>
      </c>
      <c r="M2343" s="12"/>
      <c r="N2343" s="14">
        <f t="shared" si="109"/>
        <v>0</v>
      </c>
      <c r="O2343" s="23">
        <f>0.169*M2343</f>
        <v>0</v>
      </c>
      <c r="P2343" s="24">
        <f>0.00496*M2343</f>
        <v>0</v>
      </c>
      <c r="Q2343" s="25"/>
      <c r="R2343" s="26" t="s">
        <v>7260</v>
      </c>
      <c r="S2343" s="26" t="s">
        <v>29</v>
      </c>
      <c r="T2343" s="6" t="str">
        <f>HYPERLINK("https://kanzpp.ru/api/getInfo/image/1a7fdaab-117f-11ed-a215-ac1f6b442185")</f>
        <v>https://kanzpp.ru/api/getInfo/image/1a7fdaab-117f-11ed-a215-ac1f6b442185</v>
      </c>
      <c r="U2343" s="6"/>
      <c r="V2343" s="33" t="s">
        <v>35</v>
      </c>
    </row>
    <row r="2344" spans="2:22" ht="21" customHeight="1" outlineLevel="4" x14ac:dyDescent="0.2">
      <c r="B2344" s="71">
        <v>1726</v>
      </c>
      <c r="C2344" s="37" t="s">
        <v>7261</v>
      </c>
      <c r="D2344" s="37" t="s">
        <v>7262</v>
      </c>
      <c r="E2344" s="38" t="s">
        <v>7263</v>
      </c>
      <c r="F2344" s="39"/>
      <c r="G2344" s="40"/>
      <c r="H2344" s="41">
        <v>30</v>
      </c>
      <c r="I2344" s="40"/>
      <c r="J2344" s="41">
        <v>27</v>
      </c>
      <c r="K2344" s="36">
        <v>3</v>
      </c>
      <c r="L2344" s="42">
        <f>(233.99*(1-O3/100))/0.75</f>
        <v>311.98666666666668</v>
      </c>
      <c r="M2344" s="12"/>
      <c r="N2344" s="40">
        <f t="shared" si="109"/>
        <v>0</v>
      </c>
      <c r="O2344" s="43">
        <f>0.165*M2344</f>
        <v>0</v>
      </c>
      <c r="P2344" s="47">
        <f>0.00626*M2344</f>
        <v>0</v>
      </c>
      <c r="Q2344" s="44"/>
      <c r="R2344" s="45" t="s">
        <v>7264</v>
      </c>
      <c r="S2344" s="45" t="s">
        <v>29</v>
      </c>
      <c r="T2344" s="37" t="str">
        <f>HYPERLINK("https://kanzpp.ru/api/getInfo/image/9fac69bc-cd43-11e8-a20d-ac1f6b442184")</f>
        <v>https://kanzpp.ru/api/getInfo/image/9fac69bc-cd43-11e8-a20d-ac1f6b442184</v>
      </c>
      <c r="U2344" s="37"/>
    </row>
    <row r="2345" spans="2:22" ht="21" customHeight="1" outlineLevel="4" x14ac:dyDescent="0.2">
      <c r="B2345" s="71">
        <v>1727</v>
      </c>
      <c r="C2345" s="37" t="s">
        <v>7265</v>
      </c>
      <c r="D2345" s="37" t="s">
        <v>7266</v>
      </c>
      <c r="E2345" s="38" t="s">
        <v>7267</v>
      </c>
      <c r="F2345" s="39"/>
      <c r="G2345" s="40"/>
      <c r="H2345" s="41">
        <v>30</v>
      </c>
      <c r="I2345" s="40"/>
      <c r="J2345" s="41">
        <v>125</v>
      </c>
      <c r="K2345" s="36">
        <v>3</v>
      </c>
      <c r="L2345" s="42">
        <f>(233.99*(1-O3/100))/0.75</f>
        <v>311.98666666666668</v>
      </c>
      <c r="M2345" s="12"/>
      <c r="N2345" s="40">
        <f t="shared" si="109"/>
        <v>0</v>
      </c>
      <c r="O2345" s="43">
        <f>0.172*M2345</f>
        <v>0</v>
      </c>
      <c r="P2345" s="47">
        <f>0.00638*M2345</f>
        <v>0</v>
      </c>
      <c r="Q2345" s="44"/>
      <c r="R2345" s="45" t="s">
        <v>7268</v>
      </c>
      <c r="S2345" s="45" t="s">
        <v>29</v>
      </c>
      <c r="T2345" s="37" t="str">
        <f>HYPERLINK("https://kanzpp.ru/api/getInfo/image/f6cd2de5-117e-11ed-a215-ac1f6b442185")</f>
        <v>https://kanzpp.ru/api/getInfo/image/f6cd2de5-117e-11ed-a215-ac1f6b442185</v>
      </c>
      <c r="U2345" s="37"/>
    </row>
    <row r="2346" spans="2:22" ht="21" customHeight="1" outlineLevel="4" x14ac:dyDescent="0.2">
      <c r="B2346" s="69">
        <v>1728</v>
      </c>
      <c r="C2346" s="6" t="s">
        <v>7269</v>
      </c>
      <c r="D2346" s="6" t="s">
        <v>7270</v>
      </c>
      <c r="E2346" s="7" t="s">
        <v>7271</v>
      </c>
      <c r="F2346" s="13"/>
      <c r="G2346" s="14"/>
      <c r="H2346" s="15">
        <v>30</v>
      </c>
      <c r="I2346" s="14"/>
      <c r="J2346" s="15">
        <v>483</v>
      </c>
      <c r="K2346" s="5">
        <v>3</v>
      </c>
      <c r="L2346" s="16">
        <v>198.66666666666666</v>
      </c>
      <c r="M2346" s="12"/>
      <c r="N2346" s="14">
        <f t="shared" si="109"/>
        <v>0</v>
      </c>
      <c r="O2346" s="23">
        <f>0.171*M2346</f>
        <v>0</v>
      </c>
      <c r="P2346" s="24">
        <f>0.00634*M2346</f>
        <v>0</v>
      </c>
      <c r="Q2346" s="25"/>
      <c r="R2346" s="26" t="s">
        <v>7272</v>
      </c>
      <c r="S2346" s="26" t="s">
        <v>29</v>
      </c>
      <c r="T2346" s="6" t="str">
        <f>HYPERLINK("https://kanzpp.ru/api/getInfo/image/48dbc8fa-cd43-11e8-a20d-ac1f6b442184")</f>
        <v>https://kanzpp.ru/api/getInfo/image/48dbc8fa-cd43-11e8-a20d-ac1f6b442184</v>
      </c>
      <c r="U2346" s="6"/>
      <c r="V2346" s="33" t="s">
        <v>35</v>
      </c>
    </row>
    <row r="2347" spans="2:22" ht="22.95" customHeight="1" outlineLevel="3" x14ac:dyDescent="0.2">
      <c r="B2347" s="81" t="s">
        <v>7273</v>
      </c>
      <c r="C2347" s="81"/>
      <c r="D2347" s="81"/>
      <c r="L2347">
        <v>0</v>
      </c>
    </row>
    <row r="2348" spans="2:22" ht="21" customHeight="1" outlineLevel="4" x14ac:dyDescent="0.2">
      <c r="B2348" s="69">
        <v>1729</v>
      </c>
      <c r="C2348" s="6" t="s">
        <v>7274</v>
      </c>
      <c r="D2348" s="6" t="s">
        <v>7275</v>
      </c>
      <c r="E2348" s="7" t="s">
        <v>7276</v>
      </c>
      <c r="F2348" s="13"/>
      <c r="G2348" s="14"/>
      <c r="H2348" s="15">
        <v>50</v>
      </c>
      <c r="I2348" s="14"/>
      <c r="J2348" s="15">
        <v>30</v>
      </c>
      <c r="K2348" s="5">
        <v>2</v>
      </c>
      <c r="L2348" s="16">
        <v>198.66666666666666</v>
      </c>
      <c r="M2348" s="12"/>
      <c r="N2348" s="14">
        <f>L2348*M2348</f>
        <v>0</v>
      </c>
      <c r="O2348" s="23">
        <f>0.198*M2348</f>
        <v>0</v>
      </c>
      <c r="P2348" s="24">
        <f>0.00081*M2348</f>
        <v>0</v>
      </c>
      <c r="Q2348" s="25"/>
      <c r="R2348" s="26" t="s">
        <v>7277</v>
      </c>
      <c r="S2348" s="26" t="s">
        <v>29</v>
      </c>
      <c r="T2348" s="6" t="str">
        <f>HYPERLINK("https://kanzpp.ru/api/getInfo/image/96ed45f7-4639-11ee-a243-00155d82e902")</f>
        <v>https://kanzpp.ru/api/getInfo/image/96ed45f7-4639-11ee-a243-00155d82e902</v>
      </c>
      <c r="U2348" s="6"/>
      <c r="V2348" s="33" t="s">
        <v>35</v>
      </c>
    </row>
    <row r="2349" spans="2:22" ht="21" customHeight="1" outlineLevel="4" x14ac:dyDescent="0.2">
      <c r="B2349" s="69">
        <v>1730</v>
      </c>
      <c r="C2349" s="6" t="s">
        <v>7278</v>
      </c>
      <c r="D2349" s="6" t="s">
        <v>7279</v>
      </c>
      <c r="E2349" s="7" t="s">
        <v>7280</v>
      </c>
      <c r="F2349" s="13"/>
      <c r="G2349" s="14"/>
      <c r="H2349" s="15">
        <v>50</v>
      </c>
      <c r="I2349" s="14"/>
      <c r="J2349" s="15">
        <v>23</v>
      </c>
      <c r="K2349" s="5">
        <v>2</v>
      </c>
      <c r="L2349" s="16">
        <v>198.66666666666666</v>
      </c>
      <c r="M2349" s="12"/>
      <c r="N2349" s="14">
        <f>L2349*M2349</f>
        <v>0</v>
      </c>
      <c r="O2349" s="27">
        <f>0.2*M2349</f>
        <v>0</v>
      </c>
      <c r="P2349" s="24">
        <f>0.00084*M2349</f>
        <v>0</v>
      </c>
      <c r="Q2349" s="25"/>
      <c r="R2349" s="26" t="s">
        <v>7281</v>
      </c>
      <c r="S2349" s="26" t="s">
        <v>29</v>
      </c>
      <c r="T2349" s="6" t="str">
        <f>HYPERLINK("https://kanzpp.ru/api/getInfo/image/e7046f14-4639-11ee-a243-00155d82e902")</f>
        <v>https://kanzpp.ru/api/getInfo/image/e7046f14-4639-11ee-a243-00155d82e902</v>
      </c>
      <c r="U2349" s="6"/>
      <c r="V2349" s="33" t="s">
        <v>35</v>
      </c>
    </row>
    <row r="2350" spans="2:22" ht="21" customHeight="1" outlineLevel="4" x14ac:dyDescent="0.2">
      <c r="B2350" s="69">
        <v>1731</v>
      </c>
      <c r="C2350" s="6" t="s">
        <v>7282</v>
      </c>
      <c r="D2350" s="6" t="s">
        <v>7283</v>
      </c>
      <c r="E2350" s="7" t="s">
        <v>7284</v>
      </c>
      <c r="F2350" s="13"/>
      <c r="G2350" s="14"/>
      <c r="H2350" s="15">
        <v>50</v>
      </c>
      <c r="I2350" s="14"/>
      <c r="J2350" s="15">
        <v>341</v>
      </c>
      <c r="K2350" s="5">
        <v>2</v>
      </c>
      <c r="L2350" s="16">
        <v>114.90666666666668</v>
      </c>
      <c r="M2350" s="12"/>
      <c r="N2350" s="14">
        <f>L2350*M2350</f>
        <v>0</v>
      </c>
      <c r="O2350" s="27">
        <f>0.2*M2350</f>
        <v>0</v>
      </c>
      <c r="P2350" s="24">
        <f>0.00315*M2350</f>
        <v>0</v>
      </c>
      <c r="Q2350" s="25"/>
      <c r="R2350" s="26"/>
      <c r="S2350" s="26" t="s">
        <v>93</v>
      </c>
      <c r="T2350" s="6" t="str">
        <f>HYPERLINK("https://kanzpp.ru/api/getInfo/image/f1f4f76f-4d87-11ef-a262-00155d82e908")</f>
        <v>https://kanzpp.ru/api/getInfo/image/f1f4f76f-4d87-11ef-a262-00155d82e908</v>
      </c>
      <c r="U2350" s="6" t="s">
        <v>7285</v>
      </c>
      <c r="V2350" s="33" t="s">
        <v>35</v>
      </c>
    </row>
    <row r="2351" spans="2:22" ht="22.95" customHeight="1" outlineLevel="2" x14ac:dyDescent="0.2">
      <c r="B2351" s="80" t="s">
        <v>7286</v>
      </c>
      <c r="C2351" s="80"/>
      <c r="D2351" s="80"/>
      <c r="L2351">
        <v>0</v>
      </c>
    </row>
    <row r="2352" spans="2:22" ht="22.95" customHeight="1" outlineLevel="3" x14ac:dyDescent="0.2">
      <c r="B2352" s="81" t="s">
        <v>7287</v>
      </c>
      <c r="C2352" s="81"/>
      <c r="D2352" s="81"/>
      <c r="L2352">
        <v>0</v>
      </c>
    </row>
    <row r="2353" spans="2:22" ht="21" customHeight="1" outlineLevel="4" x14ac:dyDescent="0.2">
      <c r="B2353" s="69">
        <v>1732</v>
      </c>
      <c r="C2353" s="6" t="s">
        <v>7288</v>
      </c>
      <c r="D2353" s="6" t="s">
        <v>7289</v>
      </c>
      <c r="E2353" s="7" t="s">
        <v>7290</v>
      </c>
      <c r="F2353" s="13"/>
      <c r="G2353" s="14"/>
      <c r="H2353" s="15">
        <v>25</v>
      </c>
      <c r="I2353" s="14"/>
      <c r="J2353" s="15">
        <v>389</v>
      </c>
      <c r="K2353" s="5">
        <v>1</v>
      </c>
      <c r="L2353" s="16">
        <v>665.33333333333337</v>
      </c>
      <c r="M2353" s="12"/>
      <c r="N2353" s="14">
        <f>L2353*M2353</f>
        <v>0</v>
      </c>
      <c r="O2353" s="28">
        <f>0.97*M2353</f>
        <v>0</v>
      </c>
      <c r="P2353" s="24">
        <f>0.00638*M2353</f>
        <v>0</v>
      </c>
      <c r="Q2353" s="25"/>
      <c r="R2353" s="26" t="s">
        <v>7291</v>
      </c>
      <c r="S2353" s="26" t="s">
        <v>29</v>
      </c>
      <c r="T2353" s="6" t="str">
        <f>HYPERLINK("https://kanzpp.ru/api/getInfo/image/84c8bbf7-5333-11ec-a20f-ac1f6b442185")</f>
        <v>https://kanzpp.ru/api/getInfo/image/84c8bbf7-5333-11ec-a20f-ac1f6b442185</v>
      </c>
      <c r="U2353" s="6"/>
      <c r="V2353" s="33" t="s">
        <v>35</v>
      </c>
    </row>
    <row r="2354" spans="2:22" ht="21" customHeight="1" outlineLevel="4" x14ac:dyDescent="0.2">
      <c r="B2354" s="69">
        <v>1733</v>
      </c>
      <c r="C2354" s="6" t="s">
        <v>7292</v>
      </c>
      <c r="D2354" s="6" t="s">
        <v>7293</v>
      </c>
      <c r="E2354" s="7" t="s">
        <v>7294</v>
      </c>
      <c r="F2354" s="13"/>
      <c r="G2354" s="14"/>
      <c r="H2354" s="15">
        <v>10</v>
      </c>
      <c r="I2354" s="14"/>
      <c r="J2354" s="15">
        <v>378</v>
      </c>
      <c r="K2354" s="5">
        <v>1</v>
      </c>
      <c r="L2354" s="16">
        <v>665.33333333333337</v>
      </c>
      <c r="M2354" s="12"/>
      <c r="N2354" s="14">
        <f>L2354*M2354</f>
        <v>0</v>
      </c>
      <c r="O2354" s="28">
        <f>0.97*M2354</f>
        <v>0</v>
      </c>
      <c r="P2354" s="24">
        <f>0.00958*M2354</f>
        <v>0</v>
      </c>
      <c r="Q2354" s="25"/>
      <c r="R2354" s="26" t="s">
        <v>7295</v>
      </c>
      <c r="S2354" s="26" t="s">
        <v>29</v>
      </c>
      <c r="T2354" s="6" t="str">
        <f>HYPERLINK("https://kanzpp.ru/api/getInfo/image/fd735672-5333-11ec-a20f-ac1f6b442185")</f>
        <v>https://kanzpp.ru/api/getInfo/image/fd735672-5333-11ec-a20f-ac1f6b442185</v>
      </c>
      <c r="U2354" s="6"/>
      <c r="V2354" s="33" t="s">
        <v>35</v>
      </c>
    </row>
    <row r="2355" spans="2:22" ht="21" customHeight="1" outlineLevel="4" x14ac:dyDescent="0.2">
      <c r="B2355" s="69">
        <v>1734</v>
      </c>
      <c r="C2355" s="6" t="s">
        <v>7296</v>
      </c>
      <c r="D2355" s="6" t="s">
        <v>7297</v>
      </c>
      <c r="E2355" s="7" t="s">
        <v>7298</v>
      </c>
      <c r="F2355" s="13"/>
      <c r="G2355" s="14"/>
      <c r="H2355" s="15">
        <v>10</v>
      </c>
      <c r="I2355" s="14"/>
      <c r="J2355" s="15">
        <v>455</v>
      </c>
      <c r="K2355" s="5">
        <v>1</v>
      </c>
      <c r="L2355" s="16">
        <v>665.33333333333337</v>
      </c>
      <c r="M2355" s="12"/>
      <c r="N2355" s="14">
        <f>L2355*M2355</f>
        <v>0</v>
      </c>
      <c r="O2355" s="28">
        <f>1.01*M2355</f>
        <v>0</v>
      </c>
      <c r="P2355" s="24">
        <f>0.00958*M2355</f>
        <v>0</v>
      </c>
      <c r="Q2355" s="25"/>
      <c r="R2355" s="26" t="s">
        <v>7299</v>
      </c>
      <c r="S2355" s="26" t="s">
        <v>29</v>
      </c>
      <c r="T2355" s="6" t="str">
        <f>HYPERLINK("https://kanzpp.ru/api/getInfo/image/9f9ebefd-5332-11ec-a20f-ac1f6b442185")</f>
        <v>https://kanzpp.ru/api/getInfo/image/9f9ebefd-5332-11ec-a20f-ac1f6b442185</v>
      </c>
      <c r="U2355" s="6"/>
      <c r="V2355" s="33" t="s">
        <v>35</v>
      </c>
    </row>
    <row r="2356" spans="2:22" ht="21" customHeight="1" outlineLevel="4" x14ac:dyDescent="0.2">
      <c r="B2356" s="69">
        <v>1735</v>
      </c>
      <c r="C2356" s="6" t="s">
        <v>7300</v>
      </c>
      <c r="D2356" s="6" t="s">
        <v>7301</v>
      </c>
      <c r="E2356" s="7" t="s">
        <v>7302</v>
      </c>
      <c r="F2356" s="13"/>
      <c r="G2356" s="14"/>
      <c r="H2356" s="15">
        <v>10</v>
      </c>
      <c r="I2356" s="14"/>
      <c r="J2356" s="15">
        <v>378</v>
      </c>
      <c r="K2356" s="5">
        <v>1</v>
      </c>
      <c r="L2356" s="16">
        <v>665.33333333333337</v>
      </c>
      <c r="M2356" s="12"/>
      <c r="N2356" s="14">
        <f>L2356*M2356</f>
        <v>0</v>
      </c>
      <c r="O2356" s="23">
        <f>0.995*M2356</f>
        <v>0</v>
      </c>
      <c r="P2356" s="24">
        <f>0.01113*M2356</f>
        <v>0</v>
      </c>
      <c r="Q2356" s="25"/>
      <c r="R2356" s="26" t="s">
        <v>7303</v>
      </c>
      <c r="S2356" s="26" t="s">
        <v>29</v>
      </c>
      <c r="T2356" s="6" t="str">
        <f>HYPERLINK("https://kanzpp.ru/api/getInfo/image/be67dfda-5333-11ec-a20f-ac1f6b442185")</f>
        <v>https://kanzpp.ru/api/getInfo/image/be67dfda-5333-11ec-a20f-ac1f6b442185</v>
      </c>
      <c r="U2356" s="6"/>
      <c r="V2356" s="33" t="s">
        <v>35</v>
      </c>
    </row>
    <row r="2357" spans="2:22" ht="22.95" customHeight="1" outlineLevel="3" x14ac:dyDescent="0.2">
      <c r="B2357" s="81" t="s">
        <v>7304</v>
      </c>
      <c r="C2357" s="81"/>
      <c r="D2357" s="81"/>
      <c r="L2357">
        <v>0</v>
      </c>
    </row>
    <row r="2358" spans="2:22" ht="21" customHeight="1" outlineLevel="4" x14ac:dyDescent="0.2">
      <c r="B2358" s="69">
        <v>1736</v>
      </c>
      <c r="C2358" s="6" t="s">
        <v>7305</v>
      </c>
      <c r="D2358" s="6" t="s">
        <v>7306</v>
      </c>
      <c r="E2358" s="7" t="s">
        <v>7307</v>
      </c>
      <c r="F2358" s="13"/>
      <c r="G2358" s="14"/>
      <c r="H2358" s="15">
        <v>10</v>
      </c>
      <c r="I2358" s="14"/>
      <c r="J2358" s="15">
        <v>369</v>
      </c>
      <c r="K2358" s="5">
        <v>1</v>
      </c>
      <c r="L2358" s="16">
        <v>665.33333333333337</v>
      </c>
      <c r="M2358" s="12"/>
      <c r="N2358" s="14">
        <f>L2358*M2358</f>
        <v>0</v>
      </c>
      <c r="O2358" s="23">
        <f>1.002*M2358</f>
        <v>0</v>
      </c>
      <c r="P2358" s="24">
        <f>0.00625*M2358</f>
        <v>0</v>
      </c>
      <c r="Q2358" s="25"/>
      <c r="R2358" s="26" t="s">
        <v>7308</v>
      </c>
      <c r="S2358" s="26" t="s">
        <v>29</v>
      </c>
      <c r="T2358" s="6" t="str">
        <f>HYPERLINK("https://kanzpp.ru/api/getInfo/image/2141fc6f-4b77-11ec-a20f-ac1f6b442185")</f>
        <v>https://kanzpp.ru/api/getInfo/image/2141fc6f-4b77-11ec-a20f-ac1f6b442185</v>
      </c>
      <c r="U2358" s="6"/>
      <c r="V2358" s="33" t="s">
        <v>35</v>
      </c>
    </row>
    <row r="2359" spans="2:22" ht="21" customHeight="1" outlineLevel="4" x14ac:dyDescent="0.2">
      <c r="B2359" s="69">
        <v>1737</v>
      </c>
      <c r="C2359" s="6" t="s">
        <v>7309</v>
      </c>
      <c r="D2359" s="6" t="s">
        <v>7310</v>
      </c>
      <c r="E2359" s="7" t="s">
        <v>7311</v>
      </c>
      <c r="F2359" s="13"/>
      <c r="G2359" s="14"/>
      <c r="H2359" s="15">
        <v>25</v>
      </c>
      <c r="I2359" s="14"/>
      <c r="J2359" s="15">
        <v>471</v>
      </c>
      <c r="K2359" s="5">
        <v>1</v>
      </c>
      <c r="L2359" s="16">
        <v>665.33333333333337</v>
      </c>
      <c r="M2359" s="12"/>
      <c r="N2359" s="14">
        <f>L2359*M2359</f>
        <v>0</v>
      </c>
      <c r="O2359" s="28">
        <f>0.97*M2359</f>
        <v>0</v>
      </c>
      <c r="P2359" s="24">
        <f>0.00638*M2359</f>
        <v>0</v>
      </c>
      <c r="Q2359" s="25"/>
      <c r="R2359" s="26" t="s">
        <v>7312</v>
      </c>
      <c r="S2359" s="26" t="s">
        <v>29</v>
      </c>
      <c r="T2359" s="6" t="str">
        <f>HYPERLINK("https://kanzpp.ru/api/getInfo/image/9c9a965d-4b77-11ec-a20f-ac1f6b442185")</f>
        <v>https://kanzpp.ru/api/getInfo/image/9c9a965d-4b77-11ec-a20f-ac1f6b442185</v>
      </c>
      <c r="U2359" s="6"/>
      <c r="V2359" s="33" t="s">
        <v>35</v>
      </c>
    </row>
    <row r="2360" spans="2:22" ht="21" customHeight="1" outlineLevel="4" x14ac:dyDescent="0.2">
      <c r="B2360" s="69">
        <v>1738</v>
      </c>
      <c r="C2360" s="6" t="s">
        <v>7313</v>
      </c>
      <c r="D2360" s="6" t="s">
        <v>7314</v>
      </c>
      <c r="E2360" s="7" t="s">
        <v>7315</v>
      </c>
      <c r="F2360" s="13"/>
      <c r="G2360" s="14"/>
      <c r="H2360" s="15">
        <v>10</v>
      </c>
      <c r="I2360" s="14"/>
      <c r="J2360" s="15">
        <v>361</v>
      </c>
      <c r="K2360" s="5">
        <v>1</v>
      </c>
      <c r="L2360" s="16">
        <v>665.33333333333337</v>
      </c>
      <c r="M2360" s="12"/>
      <c r="N2360" s="14">
        <f>L2360*M2360</f>
        <v>0</v>
      </c>
      <c r="O2360" s="23">
        <f>1.015*M2360</f>
        <v>0</v>
      </c>
      <c r="P2360" s="24">
        <f>0.00929*M2360</f>
        <v>0</v>
      </c>
      <c r="Q2360" s="25"/>
      <c r="R2360" s="26" t="s">
        <v>7316</v>
      </c>
      <c r="S2360" s="26" t="s">
        <v>29</v>
      </c>
      <c r="T2360" s="6" t="str">
        <f>HYPERLINK("https://kanzpp.ru/api/getInfo/image/745532d5-4b77-11ec-a20f-ac1f6b442185")</f>
        <v>https://kanzpp.ru/api/getInfo/image/745532d5-4b77-11ec-a20f-ac1f6b442185</v>
      </c>
      <c r="U2360" s="6"/>
      <c r="V2360" s="33" t="s">
        <v>35</v>
      </c>
    </row>
    <row r="2361" spans="2:22" ht="22.95" customHeight="1" outlineLevel="3" x14ac:dyDescent="0.2">
      <c r="B2361" s="81" t="s">
        <v>7317</v>
      </c>
      <c r="C2361" s="81"/>
      <c r="D2361" s="81"/>
      <c r="L2361">
        <v>0</v>
      </c>
    </row>
    <row r="2362" spans="2:22" ht="21" customHeight="1" outlineLevel="4" x14ac:dyDescent="0.2">
      <c r="B2362" s="69">
        <v>1739</v>
      </c>
      <c r="C2362" s="6" t="s">
        <v>7318</v>
      </c>
      <c r="D2362" s="6" t="s">
        <v>7319</v>
      </c>
      <c r="E2362" s="7" t="s">
        <v>7320</v>
      </c>
      <c r="F2362" s="13"/>
      <c r="G2362" s="14"/>
      <c r="H2362" s="15">
        <v>10</v>
      </c>
      <c r="I2362" s="14"/>
      <c r="J2362" s="15">
        <v>305</v>
      </c>
      <c r="K2362" s="5">
        <v>1</v>
      </c>
      <c r="L2362" s="16">
        <v>665.33333333333337</v>
      </c>
      <c r="M2362" s="12"/>
      <c r="N2362" s="14">
        <f>L2362*M2362</f>
        <v>0</v>
      </c>
      <c r="O2362" s="23">
        <f>1.326*M2362</f>
        <v>0</v>
      </c>
      <c r="P2362" s="24">
        <f>0.01287*M2362</f>
        <v>0</v>
      </c>
      <c r="Q2362" s="25"/>
      <c r="R2362" s="26" t="s">
        <v>7321</v>
      </c>
      <c r="S2362" s="26" t="s">
        <v>29</v>
      </c>
      <c r="T2362" s="6" t="str">
        <f>HYPERLINK("https://kanzpp.ru/api/getInfo/image/ddf4b196-4847-11ec-a20f-ac1f6b442185")</f>
        <v>https://kanzpp.ru/api/getInfo/image/ddf4b196-4847-11ec-a20f-ac1f6b442185</v>
      </c>
      <c r="U2362" s="6"/>
      <c r="V2362" s="33" t="s">
        <v>35</v>
      </c>
    </row>
    <row r="2363" spans="2:22" ht="22.95" customHeight="1" outlineLevel="2" x14ac:dyDescent="0.2">
      <c r="B2363" s="80" t="s">
        <v>7322</v>
      </c>
      <c r="C2363" s="80"/>
      <c r="D2363" s="80"/>
      <c r="L2363">
        <v>0</v>
      </c>
    </row>
    <row r="2364" spans="2:22" ht="22.95" customHeight="1" outlineLevel="3" x14ac:dyDescent="0.2">
      <c r="B2364" s="81" t="s">
        <v>7323</v>
      </c>
      <c r="C2364" s="81"/>
      <c r="D2364" s="81"/>
      <c r="L2364">
        <v>0</v>
      </c>
    </row>
    <row r="2365" spans="2:22" ht="22.95" customHeight="1" outlineLevel="4" x14ac:dyDescent="0.2">
      <c r="B2365" s="82" t="s">
        <v>7324</v>
      </c>
      <c r="C2365" s="82"/>
      <c r="D2365" s="82"/>
      <c r="L2365">
        <v>0</v>
      </c>
    </row>
    <row r="2366" spans="2:22" ht="21" customHeight="1" outlineLevel="5" x14ac:dyDescent="0.2">
      <c r="B2366" s="69">
        <v>1740</v>
      </c>
      <c r="C2366" s="6" t="s">
        <v>7325</v>
      </c>
      <c r="D2366" s="6" t="s">
        <v>7326</v>
      </c>
      <c r="E2366" s="7" t="s">
        <v>7327</v>
      </c>
      <c r="F2366" s="13"/>
      <c r="G2366" s="14"/>
      <c r="H2366" s="15">
        <v>20</v>
      </c>
      <c r="I2366" s="14"/>
      <c r="J2366" s="15">
        <v>195</v>
      </c>
      <c r="K2366" s="5">
        <v>1</v>
      </c>
      <c r="L2366" s="16">
        <v>398.66666666666669</v>
      </c>
      <c r="M2366" s="12"/>
      <c r="N2366" s="14">
        <f>L2366*M2366</f>
        <v>0</v>
      </c>
      <c r="O2366" s="28">
        <f>0.28*M2366</f>
        <v>0</v>
      </c>
      <c r="P2366" s="31">
        <f>0.0045*M2366</f>
        <v>0</v>
      </c>
      <c r="Q2366" s="25"/>
      <c r="R2366" s="26" t="s">
        <v>7328</v>
      </c>
      <c r="S2366" s="26" t="s">
        <v>93</v>
      </c>
      <c r="T2366" s="6" t="str">
        <f>HYPERLINK("https://kanzpp.ru/api/getInfo/image/d6c1ebc9-1ce3-11ef-a25e-00155d82e908")</f>
        <v>https://kanzpp.ru/api/getInfo/image/d6c1ebc9-1ce3-11ef-a25e-00155d82e908</v>
      </c>
      <c r="U2366" s="6"/>
      <c r="V2366" s="33" t="s">
        <v>35</v>
      </c>
    </row>
    <row r="2367" spans="2:22" ht="21" customHeight="1" outlineLevel="5" x14ac:dyDescent="0.2">
      <c r="B2367" s="69">
        <v>1741</v>
      </c>
      <c r="C2367" s="6" t="s">
        <v>7329</v>
      </c>
      <c r="D2367" s="6" t="s">
        <v>7330</v>
      </c>
      <c r="E2367" s="7" t="s">
        <v>7331</v>
      </c>
      <c r="F2367" s="13"/>
      <c r="G2367" s="14"/>
      <c r="H2367" s="15">
        <v>20</v>
      </c>
      <c r="I2367" s="14"/>
      <c r="J2367" s="15">
        <v>298</v>
      </c>
      <c r="K2367" s="5">
        <v>1</v>
      </c>
      <c r="L2367" s="16">
        <v>398.66666666666669</v>
      </c>
      <c r="M2367" s="12"/>
      <c r="N2367" s="14">
        <f>L2367*M2367</f>
        <v>0</v>
      </c>
      <c r="O2367" s="23">
        <f>0.292*M2367</f>
        <v>0</v>
      </c>
      <c r="P2367" s="24">
        <f>0.00453*M2367</f>
        <v>0</v>
      </c>
      <c r="Q2367" s="25"/>
      <c r="R2367" s="26" t="s">
        <v>7332</v>
      </c>
      <c r="S2367" s="26" t="s">
        <v>93</v>
      </c>
      <c r="T2367" s="6" t="str">
        <f>HYPERLINK("https://kanzpp.ru/api/getInfo/image/3b97d507-1ce4-11ef-a25e-00155d82e908")</f>
        <v>https://kanzpp.ru/api/getInfo/image/3b97d507-1ce4-11ef-a25e-00155d82e908</v>
      </c>
      <c r="U2367" s="6"/>
      <c r="V2367" s="33" t="s">
        <v>35</v>
      </c>
    </row>
    <row r="2368" spans="2:22" ht="21" customHeight="1" outlineLevel="5" x14ac:dyDescent="0.2">
      <c r="B2368" s="69">
        <v>1742</v>
      </c>
      <c r="C2368" s="6" t="s">
        <v>7333</v>
      </c>
      <c r="D2368" s="6" t="s">
        <v>7334</v>
      </c>
      <c r="E2368" s="7" t="s">
        <v>7335</v>
      </c>
      <c r="F2368" s="13"/>
      <c r="G2368" s="14"/>
      <c r="H2368" s="15">
        <v>20</v>
      </c>
      <c r="I2368" s="14"/>
      <c r="J2368" s="15">
        <v>411</v>
      </c>
      <c r="K2368" s="5">
        <v>1</v>
      </c>
      <c r="L2368" s="16">
        <v>398.66666666666669</v>
      </c>
      <c r="M2368" s="12"/>
      <c r="N2368" s="14">
        <f>L2368*M2368</f>
        <v>0</v>
      </c>
      <c r="O2368" s="23">
        <f>0.281*M2368</f>
        <v>0</v>
      </c>
      <c r="P2368" s="24">
        <f>0.00446*M2368</f>
        <v>0</v>
      </c>
      <c r="Q2368" s="25"/>
      <c r="R2368" s="26" t="s">
        <v>7336</v>
      </c>
      <c r="S2368" s="26" t="s">
        <v>93</v>
      </c>
      <c r="T2368" s="6" t="str">
        <f>HYPERLINK("https://kanzpp.ru/api/getInfo/image/1ed7c044-1ce4-11ef-a25e-00155d82e908")</f>
        <v>https://kanzpp.ru/api/getInfo/image/1ed7c044-1ce4-11ef-a25e-00155d82e908</v>
      </c>
      <c r="U2368" s="6"/>
      <c r="V2368" s="33" t="s">
        <v>35</v>
      </c>
    </row>
    <row r="2369" spans="2:22" ht="21" customHeight="1" outlineLevel="5" x14ac:dyDescent="0.2">
      <c r="B2369" s="69">
        <v>1743</v>
      </c>
      <c r="C2369" s="6" t="s">
        <v>7337</v>
      </c>
      <c r="D2369" s="6" t="s">
        <v>7338</v>
      </c>
      <c r="E2369" s="7" t="s">
        <v>7339</v>
      </c>
      <c r="F2369" s="13"/>
      <c r="G2369" s="14"/>
      <c r="H2369" s="15">
        <v>20</v>
      </c>
      <c r="I2369" s="14"/>
      <c r="J2369" s="15">
        <v>1</v>
      </c>
      <c r="K2369" s="5">
        <v>1</v>
      </c>
      <c r="L2369" s="16">
        <v>398.66666666666669</v>
      </c>
      <c r="M2369" s="12"/>
      <c r="N2369" s="14">
        <f>L2369*M2369</f>
        <v>0</v>
      </c>
      <c r="O2369" s="23">
        <f>0.303*M2369</f>
        <v>0</v>
      </c>
      <c r="P2369" s="24">
        <f>0.00559*M2369</f>
        <v>0</v>
      </c>
      <c r="Q2369" s="25"/>
      <c r="R2369" s="26" t="s">
        <v>7340</v>
      </c>
      <c r="S2369" s="26" t="s">
        <v>93</v>
      </c>
      <c r="T2369" s="6" t="str">
        <f>HYPERLINK("https://kanzpp.ru/api/getInfo/image/01568e15-1ce4-11ef-a25e-00155d82e908")</f>
        <v>https://kanzpp.ru/api/getInfo/image/01568e15-1ce4-11ef-a25e-00155d82e908</v>
      </c>
      <c r="U2369" s="6"/>
      <c r="V2369" s="33" t="s">
        <v>35</v>
      </c>
    </row>
    <row r="2370" spans="2:22" ht="22.95" customHeight="1" outlineLevel="2" x14ac:dyDescent="0.2">
      <c r="B2370" s="80" t="s">
        <v>7341</v>
      </c>
      <c r="C2370" s="80"/>
      <c r="D2370" s="80"/>
      <c r="L2370">
        <v>0</v>
      </c>
    </row>
    <row r="2371" spans="2:22" ht="22.95" customHeight="1" outlineLevel="3" x14ac:dyDescent="0.2">
      <c r="B2371" s="81" t="s">
        <v>7342</v>
      </c>
      <c r="C2371" s="81"/>
      <c r="D2371" s="81"/>
      <c r="L2371">
        <v>0</v>
      </c>
    </row>
    <row r="2372" spans="2:22" ht="21" customHeight="1" outlineLevel="4" x14ac:dyDescent="0.2">
      <c r="B2372" s="69">
        <v>1744</v>
      </c>
      <c r="C2372" s="6" t="s">
        <v>7343</v>
      </c>
      <c r="D2372" s="6" t="s">
        <v>543</v>
      </c>
      <c r="E2372" s="7" t="s">
        <v>544</v>
      </c>
      <c r="F2372" s="13"/>
      <c r="G2372" s="14"/>
      <c r="H2372" s="15">
        <v>120</v>
      </c>
      <c r="I2372" s="14"/>
      <c r="J2372" s="15">
        <v>89</v>
      </c>
      <c r="K2372" s="5">
        <v>1</v>
      </c>
      <c r="L2372" s="16">
        <v>132</v>
      </c>
      <c r="M2372" s="12"/>
      <c r="N2372" s="14">
        <f>L2372*M2372</f>
        <v>0</v>
      </c>
      <c r="O2372" s="23">
        <f>0.348*M2372</f>
        <v>0</v>
      </c>
      <c r="P2372" s="24">
        <f>0.00113*M2372</f>
        <v>0</v>
      </c>
      <c r="Q2372" s="25"/>
      <c r="R2372" s="26" t="s">
        <v>545</v>
      </c>
      <c r="S2372" s="26" t="s">
        <v>93</v>
      </c>
      <c r="T2372" s="6" t="str">
        <f>HYPERLINK("https://kanzpp.ru/api/getInfo/image/a8cc0040-212a-11ec-a20f-ac1f6b442185")</f>
        <v>https://kanzpp.ru/api/getInfo/image/a8cc0040-212a-11ec-a20f-ac1f6b442185</v>
      </c>
      <c r="U2372" s="6"/>
      <c r="V2372" s="33" t="s">
        <v>35</v>
      </c>
    </row>
    <row r="2373" spans="2:22" ht="21" customHeight="1" outlineLevel="4" x14ac:dyDescent="0.2">
      <c r="B2373" s="69">
        <v>1745</v>
      </c>
      <c r="C2373" s="6" t="s">
        <v>7344</v>
      </c>
      <c r="D2373" s="6" t="s">
        <v>555</v>
      </c>
      <c r="E2373" s="7" t="s">
        <v>556</v>
      </c>
      <c r="F2373" s="13"/>
      <c r="G2373" s="14"/>
      <c r="H2373" s="15">
        <v>120</v>
      </c>
      <c r="I2373" s="14"/>
      <c r="J2373" s="15">
        <v>74</v>
      </c>
      <c r="K2373" s="5">
        <v>1</v>
      </c>
      <c r="L2373" s="16">
        <v>132</v>
      </c>
      <c r="M2373" s="12"/>
      <c r="N2373" s="14">
        <f>L2373*M2373</f>
        <v>0</v>
      </c>
      <c r="O2373" s="23">
        <f>0.438*M2373</f>
        <v>0</v>
      </c>
      <c r="P2373" s="24">
        <f>0.00486*M2373</f>
        <v>0</v>
      </c>
      <c r="Q2373" s="25"/>
      <c r="R2373" s="26" t="s">
        <v>557</v>
      </c>
      <c r="S2373" s="26" t="s">
        <v>93</v>
      </c>
      <c r="T2373" s="6" t="str">
        <f>HYPERLINK("https://kanzpp.ru/api/getInfo/image/1581b373-212a-11ec-a20f-ac1f6b442185")</f>
        <v>https://kanzpp.ru/api/getInfo/image/1581b373-212a-11ec-a20f-ac1f6b442185</v>
      </c>
      <c r="U2373" s="6"/>
      <c r="V2373" s="33" t="s">
        <v>35</v>
      </c>
    </row>
    <row r="2374" spans="2:22" ht="21" customHeight="1" outlineLevel="4" x14ac:dyDescent="0.2">
      <c r="B2374" s="69">
        <v>1746</v>
      </c>
      <c r="C2374" s="6" t="s">
        <v>7345</v>
      </c>
      <c r="D2374" s="6" t="s">
        <v>563</v>
      </c>
      <c r="E2374" s="7" t="s">
        <v>564</v>
      </c>
      <c r="F2374" s="13"/>
      <c r="G2374" s="14"/>
      <c r="H2374" s="15">
        <v>120</v>
      </c>
      <c r="I2374" s="14"/>
      <c r="J2374" s="15">
        <v>42</v>
      </c>
      <c r="K2374" s="5">
        <v>1</v>
      </c>
      <c r="L2374" s="16">
        <v>132</v>
      </c>
      <c r="M2374" s="12"/>
      <c r="N2374" s="14">
        <f>L2374*M2374</f>
        <v>0</v>
      </c>
      <c r="O2374" s="23">
        <f>0.346*M2374</f>
        <v>0</v>
      </c>
      <c r="P2374" s="24">
        <f>0.00144*M2374</f>
        <v>0</v>
      </c>
      <c r="Q2374" s="25"/>
      <c r="R2374" s="26" t="s">
        <v>565</v>
      </c>
      <c r="S2374" s="26" t="s">
        <v>93</v>
      </c>
      <c r="T2374" s="6" t="str">
        <f>HYPERLINK("https://kanzpp.ru/api/getInfo/image/5b83d09f-212a-11ec-a20f-ac1f6b442185")</f>
        <v>https://kanzpp.ru/api/getInfo/image/5b83d09f-212a-11ec-a20f-ac1f6b442185</v>
      </c>
      <c r="U2374" s="6"/>
      <c r="V2374" s="33" t="s">
        <v>35</v>
      </c>
    </row>
    <row r="2375" spans="2:22" ht="22.95" customHeight="1" outlineLevel="3" x14ac:dyDescent="0.2">
      <c r="B2375" s="81" t="s">
        <v>7346</v>
      </c>
      <c r="C2375" s="81"/>
      <c r="D2375" s="81"/>
      <c r="L2375">
        <v>0</v>
      </c>
    </row>
    <row r="2376" spans="2:22" ht="21" customHeight="1" outlineLevel="4" x14ac:dyDescent="0.2">
      <c r="B2376" s="69">
        <v>1747</v>
      </c>
      <c r="C2376" s="6" t="s">
        <v>7347</v>
      </c>
      <c r="D2376" s="6" t="s">
        <v>7348</v>
      </c>
      <c r="E2376" s="7" t="s">
        <v>7349</v>
      </c>
      <c r="F2376" s="13"/>
      <c r="G2376" s="14"/>
      <c r="H2376" s="15">
        <v>50</v>
      </c>
      <c r="I2376" s="14"/>
      <c r="J2376" s="15">
        <v>7</v>
      </c>
      <c r="K2376" s="5">
        <v>2</v>
      </c>
      <c r="L2376" s="16">
        <v>212</v>
      </c>
      <c r="M2376" s="12"/>
      <c r="N2376" s="14">
        <f>L2376*M2376</f>
        <v>0</v>
      </c>
      <c r="O2376" s="23">
        <f>0.172*M2376</f>
        <v>0</v>
      </c>
      <c r="P2376" s="24">
        <f>0.00199*M2376</f>
        <v>0</v>
      </c>
      <c r="Q2376" s="25"/>
      <c r="R2376" s="26"/>
      <c r="S2376" s="26" t="s">
        <v>93</v>
      </c>
      <c r="T2376" s="6" t="str">
        <f>HYPERLINK("https://kanzpp.ru/api/getInfo/image/788d2173-a885-11ed-a230-00155d82e902")</f>
        <v>https://kanzpp.ru/api/getInfo/image/788d2173-a885-11ed-a230-00155d82e902</v>
      </c>
      <c r="U2376" s="6" t="s">
        <v>7350</v>
      </c>
      <c r="V2376" s="33" t="s">
        <v>35</v>
      </c>
    </row>
    <row r="2377" spans="2:22" ht="22.95" customHeight="1" outlineLevel="3" x14ac:dyDescent="0.2">
      <c r="B2377" s="81" t="s">
        <v>7351</v>
      </c>
      <c r="C2377" s="81"/>
      <c r="D2377" s="81"/>
      <c r="L2377">
        <v>0</v>
      </c>
    </row>
    <row r="2378" spans="2:22" ht="21" customHeight="1" outlineLevel="4" x14ac:dyDescent="0.2">
      <c r="B2378" s="69">
        <v>1748</v>
      </c>
      <c r="C2378" s="6" t="s">
        <v>7352</v>
      </c>
      <c r="D2378" s="6" t="s">
        <v>7353</v>
      </c>
      <c r="E2378" s="7" t="s">
        <v>7354</v>
      </c>
      <c r="F2378" s="13"/>
      <c r="G2378" s="14"/>
      <c r="H2378" s="15">
        <v>50</v>
      </c>
      <c r="I2378" s="14"/>
      <c r="J2378" s="15">
        <v>491</v>
      </c>
      <c r="K2378" s="5">
        <v>1</v>
      </c>
      <c r="L2378" s="16">
        <v>52</v>
      </c>
      <c r="M2378" s="12"/>
      <c r="N2378" s="14">
        <f>L2378*M2378</f>
        <v>0</v>
      </c>
      <c r="O2378" s="23">
        <f>0.262*M2378</f>
        <v>0</v>
      </c>
      <c r="P2378" s="24">
        <f>0.00033*M2378</f>
        <v>0</v>
      </c>
      <c r="Q2378" s="25"/>
      <c r="R2378" s="26" t="s">
        <v>7355</v>
      </c>
      <c r="S2378" s="26" t="s">
        <v>93</v>
      </c>
      <c r="T2378" s="6" t="str">
        <f>HYPERLINK("https://kanzpp.ru/api/getInfo/image/3896f1ff-24d7-11ec-a20f-ac1f6b442185")</f>
        <v>https://kanzpp.ru/api/getInfo/image/3896f1ff-24d7-11ec-a20f-ac1f6b442185</v>
      </c>
      <c r="U2378" s="6"/>
      <c r="V2378" s="33" t="s">
        <v>35</v>
      </c>
    </row>
    <row r="2379" spans="2:22" ht="22.95" customHeight="1" outlineLevel="3" x14ac:dyDescent="0.2">
      <c r="B2379" s="81" t="s">
        <v>7356</v>
      </c>
      <c r="C2379" s="81"/>
      <c r="D2379" s="81"/>
      <c r="L2379">
        <v>0</v>
      </c>
    </row>
    <row r="2380" spans="2:22" ht="21" customHeight="1" outlineLevel="4" x14ac:dyDescent="0.2">
      <c r="B2380" s="69">
        <v>1749</v>
      </c>
      <c r="C2380" s="6" t="s">
        <v>7357</v>
      </c>
      <c r="D2380" s="6" t="s">
        <v>7358</v>
      </c>
      <c r="E2380" s="7" t="s">
        <v>7359</v>
      </c>
      <c r="F2380" s="13"/>
      <c r="G2380" s="14"/>
      <c r="H2380" s="15">
        <v>50</v>
      </c>
      <c r="I2380" s="14"/>
      <c r="J2380" s="15">
        <v>12</v>
      </c>
      <c r="K2380" s="5">
        <v>2</v>
      </c>
      <c r="L2380" s="16">
        <v>52</v>
      </c>
      <c r="M2380" s="12"/>
      <c r="N2380" s="14">
        <f>L2380*M2380</f>
        <v>0</v>
      </c>
      <c r="O2380" s="23">
        <f>0.201*M2380</f>
        <v>0</v>
      </c>
      <c r="P2380" s="24">
        <f>0.00026*M2380</f>
        <v>0</v>
      </c>
      <c r="Q2380" s="25"/>
      <c r="R2380" s="26"/>
      <c r="S2380" s="26" t="s">
        <v>93</v>
      </c>
      <c r="T2380" s="6"/>
      <c r="U2380" s="6" t="s">
        <v>7360</v>
      </c>
      <c r="V2380" s="33" t="s">
        <v>35</v>
      </c>
    </row>
    <row r="2381" spans="2:22" ht="21" customHeight="1" outlineLevel="4" x14ac:dyDescent="0.2">
      <c r="B2381" s="69">
        <v>1750</v>
      </c>
      <c r="C2381" s="6" t="s">
        <v>7361</v>
      </c>
      <c r="D2381" s="6" t="s">
        <v>7362</v>
      </c>
      <c r="E2381" s="7" t="s">
        <v>7363</v>
      </c>
      <c r="F2381" s="13"/>
      <c r="G2381" s="14"/>
      <c r="H2381" s="15">
        <v>50</v>
      </c>
      <c r="I2381" s="14"/>
      <c r="J2381" s="15">
        <v>19</v>
      </c>
      <c r="K2381" s="5">
        <v>2</v>
      </c>
      <c r="L2381" s="16">
        <v>52</v>
      </c>
      <c r="M2381" s="12"/>
      <c r="N2381" s="14">
        <f>L2381*M2381</f>
        <v>0</v>
      </c>
      <c r="O2381" s="23">
        <f>0.201*M2381</f>
        <v>0</v>
      </c>
      <c r="P2381" s="24">
        <f>0.00026*M2381</f>
        <v>0</v>
      </c>
      <c r="Q2381" s="25"/>
      <c r="R2381" s="26"/>
      <c r="S2381" s="26" t="s">
        <v>93</v>
      </c>
      <c r="T2381" s="6"/>
      <c r="U2381" s="6" t="s">
        <v>7364</v>
      </c>
      <c r="V2381" s="33" t="s">
        <v>35</v>
      </c>
    </row>
    <row r="2382" spans="2:22" ht="22.95" customHeight="1" outlineLevel="3" x14ac:dyDescent="0.2">
      <c r="B2382" s="81" t="s">
        <v>7365</v>
      </c>
      <c r="C2382" s="81"/>
      <c r="D2382" s="81"/>
      <c r="L2382">
        <v>0</v>
      </c>
    </row>
    <row r="2383" spans="2:22" ht="21" customHeight="1" outlineLevel="4" x14ac:dyDescent="0.2">
      <c r="B2383" s="69">
        <v>1751</v>
      </c>
      <c r="C2383" s="6" t="s">
        <v>7366</v>
      </c>
      <c r="D2383" s="6" t="s">
        <v>7367</v>
      </c>
      <c r="E2383" s="7" t="s">
        <v>7368</v>
      </c>
      <c r="F2383" s="13"/>
      <c r="G2383" s="14"/>
      <c r="H2383" s="15">
        <v>20</v>
      </c>
      <c r="I2383" s="14"/>
      <c r="J2383" s="15">
        <v>1</v>
      </c>
      <c r="K2383" s="5">
        <v>1</v>
      </c>
      <c r="L2383" s="16">
        <v>225.33333333333334</v>
      </c>
      <c r="M2383" s="12"/>
      <c r="N2383" s="14">
        <f>L2383*M2383</f>
        <v>0</v>
      </c>
      <c r="O2383" s="28">
        <f>0.39*M2383</f>
        <v>0</v>
      </c>
      <c r="P2383" s="24">
        <f>0.00178*M2383</f>
        <v>0</v>
      </c>
      <c r="Q2383" s="25"/>
      <c r="R2383" s="26"/>
      <c r="S2383" s="26" t="s">
        <v>93</v>
      </c>
      <c r="T2383" s="6" t="str">
        <f>HYPERLINK("https://kanzpp.ru/api/getInfo/image/507f6184-b9a4-11ec-a211-ac1f6b442185")</f>
        <v>https://kanzpp.ru/api/getInfo/image/507f6184-b9a4-11ec-a211-ac1f6b442185</v>
      </c>
      <c r="U2383" s="6" t="s">
        <v>7369</v>
      </c>
      <c r="V2383" s="33" t="s">
        <v>35</v>
      </c>
    </row>
    <row r="2384" spans="2:22" ht="21" customHeight="1" outlineLevel="4" x14ac:dyDescent="0.2">
      <c r="B2384" s="69">
        <v>1752</v>
      </c>
      <c r="C2384" s="6" t="s">
        <v>7370</v>
      </c>
      <c r="D2384" s="6" t="s">
        <v>7371</v>
      </c>
      <c r="E2384" s="7" t="s">
        <v>7372</v>
      </c>
      <c r="F2384" s="13"/>
      <c r="G2384" s="14"/>
      <c r="H2384" s="15">
        <v>100</v>
      </c>
      <c r="I2384" s="14"/>
      <c r="J2384" s="15">
        <v>4</v>
      </c>
      <c r="K2384" s="5">
        <v>2</v>
      </c>
      <c r="L2384" s="16">
        <v>225.33333333333334</v>
      </c>
      <c r="M2384" s="12"/>
      <c r="N2384" s="14">
        <f>L2384*M2384</f>
        <v>0</v>
      </c>
      <c r="O2384" s="28">
        <f>0.25*M2384</f>
        <v>0</v>
      </c>
      <c r="P2384" s="24">
        <f>0.00059*M2384</f>
        <v>0</v>
      </c>
      <c r="Q2384" s="25"/>
      <c r="R2384" s="26" t="s">
        <v>7373</v>
      </c>
      <c r="S2384" s="26" t="s">
        <v>93</v>
      </c>
      <c r="T2384" s="6" t="str">
        <f>HYPERLINK("https://kanzpp.ru/api/getInfo/image/6c3fbc68-8aa2-11ee-a24a-00155d82e902")</f>
        <v>https://kanzpp.ru/api/getInfo/image/6c3fbc68-8aa2-11ee-a24a-00155d82e902</v>
      </c>
      <c r="U2384" s="6"/>
      <c r="V2384" s="33" t="s">
        <v>35</v>
      </c>
    </row>
    <row r="2385" spans="2:22" ht="21" customHeight="1" outlineLevel="4" x14ac:dyDescent="0.2">
      <c r="B2385" s="69">
        <v>1753</v>
      </c>
      <c r="C2385" s="6" t="s">
        <v>7374</v>
      </c>
      <c r="D2385" s="6" t="s">
        <v>7375</v>
      </c>
      <c r="E2385" s="7" t="s">
        <v>7376</v>
      </c>
      <c r="F2385" s="13"/>
      <c r="G2385" s="14"/>
      <c r="H2385" s="15">
        <v>100</v>
      </c>
      <c r="I2385" s="14"/>
      <c r="J2385" s="15">
        <v>549</v>
      </c>
      <c r="K2385" s="5">
        <v>2</v>
      </c>
      <c r="L2385" s="16">
        <v>225.33333333333334</v>
      </c>
      <c r="M2385" s="12"/>
      <c r="N2385" s="14">
        <f>L2385*M2385</f>
        <v>0</v>
      </c>
      <c r="O2385" s="28">
        <f>0.26*M2385</f>
        <v>0</v>
      </c>
      <c r="P2385" s="24">
        <f>0.00078*M2385</f>
        <v>0</v>
      </c>
      <c r="Q2385" s="25"/>
      <c r="R2385" s="26" t="s">
        <v>7377</v>
      </c>
      <c r="S2385" s="26" t="s">
        <v>93</v>
      </c>
      <c r="T2385" s="6" t="str">
        <f>HYPERLINK("https://kanzpp.ru/api/getInfo/image/9d18df99-8aa2-11ee-a24a-00155d82e902")</f>
        <v>https://kanzpp.ru/api/getInfo/image/9d18df99-8aa2-11ee-a24a-00155d82e902</v>
      </c>
      <c r="U2385" s="6"/>
      <c r="V2385" s="33" t="s">
        <v>35</v>
      </c>
    </row>
    <row r="2386" spans="2:22" ht="22.95" customHeight="1" outlineLevel="3" x14ac:dyDescent="0.2">
      <c r="B2386" s="81" t="s">
        <v>7378</v>
      </c>
      <c r="C2386" s="81"/>
      <c r="D2386" s="81"/>
      <c r="L2386">
        <v>0</v>
      </c>
    </row>
    <row r="2387" spans="2:22" ht="21" customHeight="1" outlineLevel="4" x14ac:dyDescent="0.2">
      <c r="B2387" s="69">
        <v>1754</v>
      </c>
      <c r="C2387" s="6" t="s">
        <v>7379</v>
      </c>
      <c r="D2387" s="6" t="s">
        <v>7380</v>
      </c>
      <c r="E2387" s="7" t="s">
        <v>7381</v>
      </c>
      <c r="F2387" s="13"/>
      <c r="G2387" s="14"/>
      <c r="H2387" s="15">
        <v>20</v>
      </c>
      <c r="I2387" s="14"/>
      <c r="J2387" s="15">
        <v>78</v>
      </c>
      <c r="K2387" s="5">
        <v>1</v>
      </c>
      <c r="L2387" s="16">
        <v>120.64</v>
      </c>
      <c r="M2387" s="12"/>
      <c r="N2387" s="14">
        <f>L2387*M2387</f>
        <v>0</v>
      </c>
      <c r="O2387" s="28">
        <f>0.39*M2387</f>
        <v>0</v>
      </c>
      <c r="P2387" s="24">
        <f>0.00184*M2387</f>
        <v>0</v>
      </c>
      <c r="Q2387" s="25"/>
      <c r="R2387" s="26"/>
      <c r="S2387" s="26" t="s">
        <v>93</v>
      </c>
      <c r="T2387" s="6" t="str">
        <f>HYPERLINK("https://kanzpp.ru/api/getInfo/image/9c93593a-b9a2-11ec-a211-ac1f6b442185")</f>
        <v>https://kanzpp.ru/api/getInfo/image/9c93593a-b9a2-11ec-a211-ac1f6b442185</v>
      </c>
      <c r="U2387" s="6" t="s">
        <v>7382</v>
      </c>
      <c r="V2387" s="33" t="s">
        <v>35</v>
      </c>
    </row>
    <row r="2388" spans="2:22" ht="22.95" customHeight="1" outlineLevel="3" x14ac:dyDescent="0.2">
      <c r="B2388" s="81" t="s">
        <v>7383</v>
      </c>
      <c r="C2388" s="81"/>
      <c r="D2388" s="81"/>
      <c r="L2388">
        <v>0</v>
      </c>
    </row>
    <row r="2389" spans="2:22" ht="22.95" customHeight="1" outlineLevel="4" x14ac:dyDescent="0.2">
      <c r="B2389" s="82" t="s">
        <v>7384</v>
      </c>
      <c r="C2389" s="82"/>
      <c r="D2389" s="82"/>
      <c r="L2389">
        <v>0</v>
      </c>
    </row>
    <row r="2390" spans="2:22" ht="21" customHeight="1" outlineLevel="5" x14ac:dyDescent="0.2">
      <c r="B2390" s="69">
        <v>1755</v>
      </c>
      <c r="C2390" s="6" t="s">
        <v>7385</v>
      </c>
      <c r="D2390" s="6" t="s">
        <v>7386</v>
      </c>
      <c r="E2390" s="7" t="s">
        <v>7387</v>
      </c>
      <c r="F2390" s="13"/>
      <c r="G2390" s="14"/>
      <c r="H2390" s="15">
        <v>50</v>
      </c>
      <c r="I2390" s="14"/>
      <c r="J2390" s="15">
        <v>494</v>
      </c>
      <c r="K2390" s="5">
        <v>2</v>
      </c>
      <c r="L2390" s="16">
        <v>105.33333333333333</v>
      </c>
      <c r="M2390" s="12"/>
      <c r="N2390" s="14">
        <f>L2390*M2390</f>
        <v>0</v>
      </c>
      <c r="O2390" s="23">
        <f>0.154*M2390</f>
        <v>0</v>
      </c>
      <c r="P2390" s="24">
        <f>0.00691*M2390</f>
        <v>0</v>
      </c>
      <c r="Q2390" s="25"/>
      <c r="R2390" s="26" t="s">
        <v>7388</v>
      </c>
      <c r="S2390" s="26" t="s">
        <v>93</v>
      </c>
      <c r="T2390" s="6" t="str">
        <f>HYPERLINK("https://kanzpp.ru/api/getInfo/image/c1934112-4ad3-11ed-a217-ac1f6b442185")</f>
        <v>https://kanzpp.ru/api/getInfo/image/c1934112-4ad3-11ed-a217-ac1f6b442185</v>
      </c>
      <c r="U2390" s="6"/>
      <c r="V2390" s="33" t="s">
        <v>35</v>
      </c>
    </row>
    <row r="2391" spans="2:22" ht="21" customHeight="1" outlineLevel="5" x14ac:dyDescent="0.2">
      <c r="B2391" s="69">
        <v>1756</v>
      </c>
      <c r="C2391" s="6" t="s">
        <v>7389</v>
      </c>
      <c r="D2391" s="6" t="s">
        <v>7390</v>
      </c>
      <c r="E2391" s="7" t="s">
        <v>7391</v>
      </c>
      <c r="F2391" s="13"/>
      <c r="G2391" s="14"/>
      <c r="H2391" s="15">
        <v>50</v>
      </c>
      <c r="I2391" s="14"/>
      <c r="J2391" s="15">
        <v>484</v>
      </c>
      <c r="K2391" s="5">
        <v>2</v>
      </c>
      <c r="L2391" s="16">
        <v>105.33333333333333</v>
      </c>
      <c r="M2391" s="12"/>
      <c r="N2391" s="14">
        <f>L2391*M2391</f>
        <v>0</v>
      </c>
      <c r="O2391" s="23">
        <f>0.154*M2391</f>
        <v>0</v>
      </c>
      <c r="P2391" s="24">
        <f>0.00757*M2391</f>
        <v>0</v>
      </c>
      <c r="Q2391" s="25"/>
      <c r="R2391" s="26" t="s">
        <v>7392</v>
      </c>
      <c r="S2391" s="26" t="s">
        <v>93</v>
      </c>
      <c r="T2391" s="6" t="str">
        <f>HYPERLINK("https://kanzpp.ru/api/getInfo/image/49f91a74-4ad3-11ed-a217-ac1f6b442185")</f>
        <v>https://kanzpp.ru/api/getInfo/image/49f91a74-4ad3-11ed-a217-ac1f6b442185</v>
      </c>
      <c r="U2391" s="6"/>
      <c r="V2391" s="33" t="s">
        <v>35</v>
      </c>
    </row>
    <row r="2392" spans="2:22" ht="21" customHeight="1" outlineLevel="5" x14ac:dyDescent="0.2">
      <c r="B2392" s="69">
        <v>1757</v>
      </c>
      <c r="C2392" s="6" t="s">
        <v>7393</v>
      </c>
      <c r="D2392" s="6" t="s">
        <v>7394</v>
      </c>
      <c r="E2392" s="7" t="s">
        <v>7395</v>
      </c>
      <c r="F2392" s="13"/>
      <c r="G2392" s="14"/>
      <c r="H2392" s="15">
        <v>50</v>
      </c>
      <c r="I2392" s="14"/>
      <c r="J2392" s="15">
        <v>341</v>
      </c>
      <c r="K2392" s="5">
        <v>2</v>
      </c>
      <c r="L2392" s="16">
        <v>105.33333333333333</v>
      </c>
      <c r="M2392" s="12"/>
      <c r="N2392" s="14">
        <f>L2392*M2392</f>
        <v>0</v>
      </c>
      <c r="O2392" s="28">
        <f>0.15*M2392</f>
        <v>0</v>
      </c>
      <c r="P2392" s="24">
        <f>0.00733*M2392</f>
        <v>0</v>
      </c>
      <c r="Q2392" s="25"/>
      <c r="R2392" s="26" t="s">
        <v>7396</v>
      </c>
      <c r="S2392" s="26" t="s">
        <v>93</v>
      </c>
      <c r="T2392" s="6" t="str">
        <f>HYPERLINK("https://kanzpp.ru/api/getInfo/image/18f75b93-4ad3-11ed-a217-ac1f6b442185")</f>
        <v>https://kanzpp.ru/api/getInfo/image/18f75b93-4ad3-11ed-a217-ac1f6b442185</v>
      </c>
      <c r="U2392" s="6"/>
      <c r="V2392" s="33" t="s">
        <v>35</v>
      </c>
    </row>
    <row r="2393" spans="2:22" ht="21" customHeight="1" outlineLevel="5" x14ac:dyDescent="0.2">
      <c r="B2393" s="69">
        <v>1758</v>
      </c>
      <c r="C2393" s="6" t="s">
        <v>7397</v>
      </c>
      <c r="D2393" s="6" t="s">
        <v>7398</v>
      </c>
      <c r="E2393" s="7" t="s">
        <v>7399</v>
      </c>
      <c r="F2393" s="13"/>
      <c r="G2393" s="14"/>
      <c r="H2393" s="15">
        <v>50</v>
      </c>
      <c r="I2393" s="14"/>
      <c r="J2393" s="15">
        <v>289</v>
      </c>
      <c r="K2393" s="5">
        <v>2</v>
      </c>
      <c r="L2393" s="16">
        <v>105.33333333333333</v>
      </c>
      <c r="M2393" s="12"/>
      <c r="N2393" s="14">
        <f>L2393*M2393</f>
        <v>0</v>
      </c>
      <c r="O2393" s="23">
        <f>0.154*M2393</f>
        <v>0</v>
      </c>
      <c r="P2393" s="24">
        <f>0.00287*M2393</f>
        <v>0</v>
      </c>
      <c r="Q2393" s="25"/>
      <c r="R2393" s="26" t="s">
        <v>7400</v>
      </c>
      <c r="S2393" s="26" t="s">
        <v>93</v>
      </c>
      <c r="T2393" s="6" t="str">
        <f>HYPERLINK("https://kanzpp.ru/api/getInfo/image/77569f3d-4ad3-11ed-a217-ac1f6b442185")</f>
        <v>https://kanzpp.ru/api/getInfo/image/77569f3d-4ad3-11ed-a217-ac1f6b442185</v>
      </c>
      <c r="U2393" s="6"/>
      <c r="V2393" s="33" t="s">
        <v>35</v>
      </c>
    </row>
    <row r="2394" spans="2:22" ht="22.95" customHeight="1" outlineLevel="3" x14ac:dyDescent="0.2">
      <c r="B2394" s="81" t="s">
        <v>7401</v>
      </c>
      <c r="C2394" s="81"/>
      <c r="D2394" s="81"/>
      <c r="L2394">
        <v>0</v>
      </c>
    </row>
    <row r="2395" spans="2:22" ht="22.95" customHeight="1" outlineLevel="4" x14ac:dyDescent="0.2">
      <c r="B2395" s="82" t="s">
        <v>7402</v>
      </c>
      <c r="C2395" s="82"/>
      <c r="D2395" s="82"/>
      <c r="L2395">
        <v>0</v>
      </c>
    </row>
    <row r="2396" spans="2:22" ht="21" customHeight="1" outlineLevel="5" x14ac:dyDescent="0.2">
      <c r="B2396" s="69">
        <v>1759</v>
      </c>
      <c r="C2396" s="6" t="s">
        <v>7403</v>
      </c>
      <c r="D2396" s="6" t="s">
        <v>7404</v>
      </c>
      <c r="E2396" s="7" t="s">
        <v>7405</v>
      </c>
      <c r="F2396" s="13"/>
      <c r="G2396" s="14"/>
      <c r="H2396" s="15">
        <v>50</v>
      </c>
      <c r="I2396" s="14"/>
      <c r="J2396" s="15">
        <v>240</v>
      </c>
      <c r="K2396" s="5">
        <v>1</v>
      </c>
      <c r="L2396" s="16">
        <v>198.66666666666666</v>
      </c>
      <c r="M2396" s="12"/>
      <c r="N2396" s="14">
        <f>L2396*M2396</f>
        <v>0</v>
      </c>
      <c r="O2396" s="23">
        <f>0.289*M2396</f>
        <v>0</v>
      </c>
      <c r="P2396" s="24">
        <f>0.00259*M2396</f>
        <v>0</v>
      </c>
      <c r="Q2396" s="25"/>
      <c r="R2396" s="26" t="s">
        <v>7406</v>
      </c>
      <c r="S2396" s="26" t="s">
        <v>93</v>
      </c>
      <c r="T2396" s="6" t="str">
        <f>HYPERLINK("https://kanzpp.ru/api/getInfo/image/a9a62467-8a9c-11ee-a24a-00155d82e902")</f>
        <v>https://kanzpp.ru/api/getInfo/image/a9a62467-8a9c-11ee-a24a-00155d82e902</v>
      </c>
      <c r="U2396" s="6"/>
      <c r="V2396" s="33" t="s">
        <v>35</v>
      </c>
    </row>
    <row r="2397" spans="2:22" ht="21" customHeight="1" outlineLevel="5" x14ac:dyDescent="0.2">
      <c r="B2397" s="69">
        <v>1760</v>
      </c>
      <c r="C2397" s="6" t="s">
        <v>7407</v>
      </c>
      <c r="D2397" s="6" t="s">
        <v>7408</v>
      </c>
      <c r="E2397" s="7" t="s">
        <v>7409</v>
      </c>
      <c r="F2397" s="13"/>
      <c r="G2397" s="14"/>
      <c r="H2397" s="15">
        <v>50</v>
      </c>
      <c r="I2397" s="14"/>
      <c r="J2397" s="15">
        <v>2</v>
      </c>
      <c r="K2397" s="5">
        <v>1</v>
      </c>
      <c r="L2397" s="16">
        <v>198.66666666666666</v>
      </c>
      <c r="M2397" s="12"/>
      <c r="N2397" s="14">
        <f>L2397*M2397</f>
        <v>0</v>
      </c>
      <c r="O2397" s="23">
        <f>0.277*M2397</f>
        <v>0</v>
      </c>
      <c r="P2397" s="24">
        <f>0.00147*M2397</f>
        <v>0</v>
      </c>
      <c r="Q2397" s="25"/>
      <c r="R2397" s="26" t="s">
        <v>7410</v>
      </c>
      <c r="S2397" s="26" t="s">
        <v>93</v>
      </c>
      <c r="T2397" s="6" t="str">
        <f>HYPERLINK("https://kanzpp.ru/api/getInfo/image/e2ee4439-8a9b-11ee-a24a-00155d82e902")</f>
        <v>https://kanzpp.ru/api/getInfo/image/e2ee4439-8a9b-11ee-a24a-00155d82e902</v>
      </c>
      <c r="U2397" s="6"/>
      <c r="V2397" s="33" t="s">
        <v>35</v>
      </c>
    </row>
    <row r="2398" spans="2:22" ht="22.95" customHeight="1" outlineLevel="3" x14ac:dyDescent="0.2">
      <c r="B2398" s="81" t="s">
        <v>7411</v>
      </c>
      <c r="C2398" s="81"/>
      <c r="D2398" s="81"/>
      <c r="L2398">
        <v>0</v>
      </c>
    </row>
    <row r="2399" spans="2:22" ht="22.95" customHeight="1" outlineLevel="4" x14ac:dyDescent="0.2">
      <c r="B2399" s="82" t="s">
        <v>7412</v>
      </c>
      <c r="C2399" s="82"/>
      <c r="D2399" s="82"/>
      <c r="L2399">
        <v>0</v>
      </c>
    </row>
    <row r="2400" spans="2:22" ht="21" customHeight="1" outlineLevel="5" x14ac:dyDescent="0.2">
      <c r="B2400" s="69">
        <v>1761</v>
      </c>
      <c r="C2400" s="6" t="s">
        <v>7413</v>
      </c>
      <c r="D2400" s="6" t="s">
        <v>7414</v>
      </c>
      <c r="E2400" s="7" t="s">
        <v>7415</v>
      </c>
      <c r="F2400" s="13"/>
      <c r="G2400" s="14"/>
      <c r="H2400" s="15">
        <v>50</v>
      </c>
      <c r="I2400" s="14"/>
      <c r="J2400" s="14" t="s">
        <v>144</v>
      </c>
      <c r="K2400" s="5">
        <v>1</v>
      </c>
      <c r="L2400" s="16">
        <v>185.33333333333334</v>
      </c>
      <c r="M2400" s="12"/>
      <c r="N2400" s="14">
        <f>L2400*M2400</f>
        <v>0</v>
      </c>
      <c r="O2400" s="23">
        <f>0.182*M2400</f>
        <v>0</v>
      </c>
      <c r="P2400" s="24">
        <f>0.00145*M2400</f>
        <v>0</v>
      </c>
      <c r="Q2400" s="25"/>
      <c r="R2400" s="26" t="s">
        <v>7416</v>
      </c>
      <c r="S2400" s="26" t="s">
        <v>93</v>
      </c>
      <c r="T2400" s="6" t="str">
        <f>HYPERLINK("https://kanzpp.ru/api/getInfo/image/500f534c-24da-11ec-a20f-ac1f6b442185")</f>
        <v>https://kanzpp.ru/api/getInfo/image/500f534c-24da-11ec-a20f-ac1f6b442185</v>
      </c>
      <c r="U2400" s="6"/>
      <c r="V2400" s="33" t="s">
        <v>35</v>
      </c>
    </row>
    <row r="2401" spans="2:22" ht="21" customHeight="1" outlineLevel="5" x14ac:dyDescent="0.2">
      <c r="B2401" s="69">
        <v>1762</v>
      </c>
      <c r="C2401" s="6" t="s">
        <v>7417</v>
      </c>
      <c r="D2401" s="6" t="s">
        <v>7418</v>
      </c>
      <c r="E2401" s="7" t="s">
        <v>7419</v>
      </c>
      <c r="F2401" s="13"/>
      <c r="G2401" s="14"/>
      <c r="H2401" s="15">
        <v>50</v>
      </c>
      <c r="I2401" s="14"/>
      <c r="J2401" s="14" t="s">
        <v>144</v>
      </c>
      <c r="K2401" s="5">
        <v>1</v>
      </c>
      <c r="L2401" s="16">
        <v>185.33333333333334</v>
      </c>
      <c r="M2401" s="12"/>
      <c r="N2401" s="14">
        <f>L2401*M2401</f>
        <v>0</v>
      </c>
      <c r="O2401" s="23">
        <f>0.178*M2401</f>
        <v>0</v>
      </c>
      <c r="P2401" s="24">
        <f>0.00281*M2401</f>
        <v>0</v>
      </c>
      <c r="Q2401" s="25"/>
      <c r="R2401" s="26" t="s">
        <v>7420</v>
      </c>
      <c r="S2401" s="26" t="s">
        <v>93</v>
      </c>
      <c r="T2401" s="6" t="str">
        <f>HYPERLINK("https://kanzpp.ru/api/getInfo/image/9cdf6592-8a9a-11ee-a24a-00155d82e902")</f>
        <v>https://kanzpp.ru/api/getInfo/image/9cdf6592-8a9a-11ee-a24a-00155d82e902</v>
      </c>
      <c r="U2401" s="6"/>
      <c r="V2401" s="33" t="s">
        <v>35</v>
      </c>
    </row>
    <row r="2402" spans="2:22" ht="22.95" customHeight="1" outlineLevel="4" x14ac:dyDescent="0.2">
      <c r="B2402" s="82" t="s">
        <v>7421</v>
      </c>
      <c r="C2402" s="82"/>
      <c r="D2402" s="82"/>
      <c r="L2402">
        <v>0</v>
      </c>
    </row>
    <row r="2403" spans="2:22" ht="21" customHeight="1" outlineLevel="5" x14ac:dyDescent="0.2">
      <c r="B2403" s="69">
        <v>1763</v>
      </c>
      <c r="C2403" s="6" t="s">
        <v>7422</v>
      </c>
      <c r="D2403" s="6" t="s">
        <v>7423</v>
      </c>
      <c r="E2403" s="7" t="s">
        <v>7424</v>
      </c>
      <c r="F2403" s="13"/>
      <c r="G2403" s="14"/>
      <c r="H2403" s="15">
        <v>40</v>
      </c>
      <c r="I2403" s="14"/>
      <c r="J2403" s="15">
        <v>497</v>
      </c>
      <c r="K2403" s="5">
        <v>1</v>
      </c>
      <c r="L2403" s="16">
        <v>185.33333333333334</v>
      </c>
      <c r="M2403" s="12"/>
      <c r="N2403" s="14">
        <f>L2403*M2403</f>
        <v>0</v>
      </c>
      <c r="O2403" s="23">
        <f>0.316*M2403</f>
        <v>0</v>
      </c>
      <c r="P2403" s="24">
        <f>0.00237*M2403</f>
        <v>0</v>
      </c>
      <c r="Q2403" s="25"/>
      <c r="R2403" s="26" t="s">
        <v>7425</v>
      </c>
      <c r="S2403" s="26" t="s">
        <v>93</v>
      </c>
      <c r="T2403" s="6" t="str">
        <f>HYPERLINK("https://kanzpp.ru/api/getInfo/image/0d0fe06e-3520-11ef-a261-00155d82e908")</f>
        <v>https://kanzpp.ru/api/getInfo/image/0d0fe06e-3520-11ef-a261-00155d82e908</v>
      </c>
      <c r="U2403" s="6"/>
      <c r="V2403" s="33" t="s">
        <v>35</v>
      </c>
    </row>
    <row r="2404" spans="2:22" ht="21" customHeight="1" outlineLevel="5" x14ac:dyDescent="0.2">
      <c r="B2404" s="69">
        <v>1764</v>
      </c>
      <c r="C2404" s="6" t="s">
        <v>7426</v>
      </c>
      <c r="D2404" s="6" t="s">
        <v>7427</v>
      </c>
      <c r="E2404" s="7" t="s">
        <v>7428</v>
      </c>
      <c r="F2404" s="13"/>
      <c r="G2404" s="14"/>
      <c r="H2404" s="15">
        <v>20</v>
      </c>
      <c r="I2404" s="14"/>
      <c r="J2404" s="15">
        <v>5</v>
      </c>
      <c r="K2404" s="5">
        <v>1</v>
      </c>
      <c r="L2404" s="16">
        <v>852.26666666666677</v>
      </c>
      <c r="M2404" s="12"/>
      <c r="N2404" s="14">
        <f>L2404*M2404</f>
        <v>0</v>
      </c>
      <c r="O2404" s="23">
        <f>0.371*M2404</f>
        <v>0</v>
      </c>
      <c r="P2404" s="24">
        <f>0.00488*M2404</f>
        <v>0</v>
      </c>
      <c r="Q2404" s="25"/>
      <c r="R2404" s="26" t="s">
        <v>7429</v>
      </c>
      <c r="S2404" s="26" t="s">
        <v>93</v>
      </c>
      <c r="T2404" s="6" t="str">
        <f>HYPERLINK("https://kanzpp.ru/api/getInfo/image/b3815476-351f-11ef-a261-00155d82e908")</f>
        <v>https://kanzpp.ru/api/getInfo/image/b3815476-351f-11ef-a261-00155d82e908</v>
      </c>
      <c r="U2404" s="6"/>
      <c r="V2404" s="33" t="s">
        <v>35</v>
      </c>
    </row>
    <row r="2405" spans="2:22" ht="21" customHeight="1" outlineLevel="5" x14ac:dyDescent="0.2">
      <c r="B2405" s="69">
        <v>1765</v>
      </c>
      <c r="C2405" s="6" t="s">
        <v>7430</v>
      </c>
      <c r="D2405" s="6" t="s">
        <v>7431</v>
      </c>
      <c r="E2405" s="7" t="s">
        <v>7432</v>
      </c>
      <c r="F2405" s="13"/>
      <c r="G2405" s="14"/>
      <c r="H2405" s="15">
        <v>20</v>
      </c>
      <c r="I2405" s="14"/>
      <c r="J2405" s="15">
        <v>189</v>
      </c>
      <c r="K2405" s="5">
        <v>1</v>
      </c>
      <c r="L2405" s="16">
        <v>1065.3333333333333</v>
      </c>
      <c r="M2405" s="12"/>
      <c r="N2405" s="14">
        <f>L2405*M2405</f>
        <v>0</v>
      </c>
      <c r="O2405" s="23">
        <f>0.531*M2405</f>
        <v>0</v>
      </c>
      <c r="P2405" s="24">
        <f>0.00493*M2405</f>
        <v>0</v>
      </c>
      <c r="Q2405" s="25"/>
      <c r="R2405" s="26" t="s">
        <v>7433</v>
      </c>
      <c r="S2405" s="26" t="s">
        <v>93</v>
      </c>
      <c r="T2405" s="6" t="str">
        <f>HYPERLINK("https://kanzpp.ru/api/getInfo/image/18db628e-351e-11ef-a261-00155d82e908")</f>
        <v>https://kanzpp.ru/api/getInfo/image/18db628e-351e-11ef-a261-00155d82e908</v>
      </c>
      <c r="U2405" s="6"/>
      <c r="V2405" s="33" t="s">
        <v>35</v>
      </c>
    </row>
    <row r="2406" spans="2:22" ht="21" customHeight="1" outlineLevel="5" x14ac:dyDescent="0.2">
      <c r="B2406" s="69">
        <v>1766</v>
      </c>
      <c r="C2406" s="6" t="s">
        <v>7434</v>
      </c>
      <c r="D2406" s="6" t="s">
        <v>7435</v>
      </c>
      <c r="E2406" s="7" t="s">
        <v>7436</v>
      </c>
      <c r="F2406" s="13"/>
      <c r="G2406" s="14"/>
      <c r="H2406" s="15">
        <v>20</v>
      </c>
      <c r="I2406" s="14"/>
      <c r="J2406" s="15">
        <v>107</v>
      </c>
      <c r="K2406" s="5">
        <v>1</v>
      </c>
      <c r="L2406" s="16">
        <v>1065.3333333333333</v>
      </c>
      <c r="M2406" s="12"/>
      <c r="N2406" s="14">
        <f>L2406*M2406</f>
        <v>0</v>
      </c>
      <c r="O2406" s="23">
        <f>0.541*M2406</f>
        <v>0</v>
      </c>
      <c r="P2406" s="24">
        <f>0.00539*M2406</f>
        <v>0</v>
      </c>
      <c r="Q2406" s="25"/>
      <c r="R2406" s="26" t="s">
        <v>7437</v>
      </c>
      <c r="S2406" s="26" t="s">
        <v>93</v>
      </c>
      <c r="T2406" s="6" t="str">
        <f>HYPERLINK("https://kanzpp.ru/api/getInfo/image/cece7adc-351d-11ef-a261-00155d82e908")</f>
        <v>https://kanzpp.ru/api/getInfo/image/cece7adc-351d-11ef-a261-00155d82e908</v>
      </c>
      <c r="U2406" s="6"/>
      <c r="V2406" s="33" t="s">
        <v>35</v>
      </c>
    </row>
    <row r="2407" spans="2:22" ht="21" customHeight="1" outlineLevel="5" x14ac:dyDescent="0.2">
      <c r="B2407" s="69">
        <v>1767</v>
      </c>
      <c r="C2407" s="6" t="s">
        <v>7438</v>
      </c>
      <c r="D2407" s="6" t="s">
        <v>7439</v>
      </c>
      <c r="E2407" s="7" t="s">
        <v>7440</v>
      </c>
      <c r="F2407" s="13"/>
      <c r="G2407" s="14"/>
      <c r="H2407" s="15">
        <v>20</v>
      </c>
      <c r="I2407" s="14"/>
      <c r="J2407" s="15">
        <v>461</v>
      </c>
      <c r="K2407" s="5">
        <v>1</v>
      </c>
      <c r="L2407" s="16">
        <v>1065.3333333333333</v>
      </c>
      <c r="M2407" s="12"/>
      <c r="N2407" s="14">
        <f>L2407*M2407</f>
        <v>0</v>
      </c>
      <c r="O2407" s="23">
        <f>0.537*M2407</f>
        <v>0</v>
      </c>
      <c r="P2407" s="24">
        <f>0.00358*M2407</f>
        <v>0</v>
      </c>
      <c r="Q2407" s="25"/>
      <c r="R2407" s="26" t="s">
        <v>7441</v>
      </c>
      <c r="S2407" s="26" t="s">
        <v>93</v>
      </c>
      <c r="T2407" s="6" t="str">
        <f>HYPERLINK("https://kanzpp.ru/api/getInfo/image/6b6d7b40-351e-11ef-a261-00155d82e908")</f>
        <v>https://kanzpp.ru/api/getInfo/image/6b6d7b40-351e-11ef-a261-00155d82e908</v>
      </c>
      <c r="U2407" s="6"/>
      <c r="V2407" s="33" t="s">
        <v>35</v>
      </c>
    </row>
    <row r="2408" spans="2:22" ht="22.95" customHeight="1" outlineLevel="2" x14ac:dyDescent="0.2">
      <c r="B2408" s="80" t="s">
        <v>7442</v>
      </c>
      <c r="C2408" s="80"/>
      <c r="D2408" s="80"/>
      <c r="L2408">
        <v>0</v>
      </c>
    </row>
    <row r="2409" spans="2:22" ht="22.95" customHeight="1" outlineLevel="3" x14ac:dyDescent="0.2">
      <c r="B2409" s="81" t="s">
        <v>7443</v>
      </c>
      <c r="C2409" s="81"/>
      <c r="D2409" s="81"/>
      <c r="L2409">
        <v>0</v>
      </c>
    </row>
    <row r="2410" spans="2:22" ht="21" customHeight="1" outlineLevel="4" x14ac:dyDescent="0.2">
      <c r="B2410" s="69">
        <v>1768</v>
      </c>
      <c r="C2410" s="6" t="s">
        <v>7444</v>
      </c>
      <c r="D2410" s="6" t="s">
        <v>7445</v>
      </c>
      <c r="E2410" s="7" t="s">
        <v>7446</v>
      </c>
      <c r="F2410" s="13"/>
      <c r="G2410" s="14"/>
      <c r="H2410" s="15">
        <v>20</v>
      </c>
      <c r="I2410" s="14"/>
      <c r="J2410" s="15">
        <v>451</v>
      </c>
      <c r="K2410" s="5">
        <v>1</v>
      </c>
      <c r="L2410" s="16">
        <v>665.33333333333337</v>
      </c>
      <c r="M2410" s="12"/>
      <c r="N2410" s="14">
        <f t="shared" ref="N2410:N2420" si="110">L2410*M2410</f>
        <v>0</v>
      </c>
      <c r="O2410" s="23">
        <f>0.447*M2410</f>
        <v>0</v>
      </c>
      <c r="P2410" s="24">
        <f>0.00528*M2410</f>
        <v>0</v>
      </c>
      <c r="Q2410" s="25"/>
      <c r="R2410" s="26" t="s">
        <v>7447</v>
      </c>
      <c r="S2410" s="26" t="s">
        <v>93</v>
      </c>
      <c r="T2410" s="6" t="str">
        <f>HYPERLINK("https://kanzpp.ru/api/getInfo/image/95c09b05-53b6-11ef-a262-00155d82e908")</f>
        <v>https://kanzpp.ru/api/getInfo/image/95c09b05-53b6-11ef-a262-00155d82e908</v>
      </c>
      <c r="U2410" s="6"/>
      <c r="V2410" s="33" t="s">
        <v>35</v>
      </c>
    </row>
    <row r="2411" spans="2:22" ht="21" customHeight="1" outlineLevel="4" x14ac:dyDescent="0.2">
      <c r="B2411" s="69">
        <v>1769</v>
      </c>
      <c r="C2411" s="6" t="s">
        <v>7448</v>
      </c>
      <c r="D2411" s="6" t="s">
        <v>7449</v>
      </c>
      <c r="E2411" s="7" t="s">
        <v>7450</v>
      </c>
      <c r="F2411" s="13"/>
      <c r="G2411" s="14"/>
      <c r="H2411" s="15">
        <v>20</v>
      </c>
      <c r="I2411" s="14"/>
      <c r="J2411" s="15">
        <v>485</v>
      </c>
      <c r="K2411" s="5">
        <v>1</v>
      </c>
      <c r="L2411" s="16">
        <v>665.33333333333337</v>
      </c>
      <c r="M2411" s="12"/>
      <c r="N2411" s="14">
        <f t="shared" si="110"/>
        <v>0</v>
      </c>
      <c r="O2411" s="23">
        <f>0.447*M2411</f>
        <v>0</v>
      </c>
      <c r="P2411" s="24">
        <f>0.00718*M2411</f>
        <v>0</v>
      </c>
      <c r="Q2411" s="25"/>
      <c r="R2411" s="26" t="s">
        <v>7451</v>
      </c>
      <c r="S2411" s="26" t="s">
        <v>93</v>
      </c>
      <c r="T2411" s="6" t="str">
        <f>HYPERLINK("https://kanzpp.ru/api/getInfo/image/4ce03bb9-53b6-11ef-a262-00155d82e908")</f>
        <v>https://kanzpp.ru/api/getInfo/image/4ce03bb9-53b6-11ef-a262-00155d82e908</v>
      </c>
      <c r="U2411" s="6"/>
      <c r="V2411" s="33" t="s">
        <v>35</v>
      </c>
    </row>
    <row r="2412" spans="2:22" ht="21" customHeight="1" outlineLevel="4" x14ac:dyDescent="0.2">
      <c r="B2412" s="69">
        <v>1770</v>
      </c>
      <c r="C2412" s="6" t="s">
        <v>7452</v>
      </c>
      <c r="D2412" s="6" t="s">
        <v>7453</v>
      </c>
      <c r="E2412" s="7" t="s">
        <v>7454</v>
      </c>
      <c r="F2412" s="13"/>
      <c r="G2412" s="14"/>
      <c r="H2412" s="15">
        <v>20</v>
      </c>
      <c r="I2412" s="14"/>
      <c r="J2412" s="15">
        <v>516</v>
      </c>
      <c r="K2412" s="5">
        <v>1</v>
      </c>
      <c r="L2412" s="16">
        <v>665.33333333333337</v>
      </c>
      <c r="M2412" s="12"/>
      <c r="N2412" s="14">
        <f t="shared" si="110"/>
        <v>0</v>
      </c>
      <c r="O2412" s="23">
        <f>0.438*M2412</f>
        <v>0</v>
      </c>
      <c r="P2412" s="24">
        <f>0.00543*M2412</f>
        <v>0</v>
      </c>
      <c r="Q2412" s="25"/>
      <c r="R2412" s="26" t="s">
        <v>7455</v>
      </c>
      <c r="S2412" s="26" t="s">
        <v>93</v>
      </c>
      <c r="T2412" s="6" t="str">
        <f>HYPERLINK("https://kanzpp.ru/api/getInfo/image/716bd644-53b6-11ef-a262-00155d82e908")</f>
        <v>https://kanzpp.ru/api/getInfo/image/716bd644-53b6-11ef-a262-00155d82e908</v>
      </c>
      <c r="U2412" s="6"/>
      <c r="V2412" s="33" t="s">
        <v>35</v>
      </c>
    </row>
    <row r="2413" spans="2:22" ht="21" customHeight="1" outlineLevel="4" x14ac:dyDescent="0.2">
      <c r="B2413" s="69">
        <v>1771</v>
      </c>
      <c r="C2413" s="6" t="s">
        <v>7456</v>
      </c>
      <c r="D2413" s="6" t="s">
        <v>7457</v>
      </c>
      <c r="E2413" s="7" t="s">
        <v>7458</v>
      </c>
      <c r="F2413" s="13"/>
      <c r="G2413" s="14"/>
      <c r="H2413" s="15">
        <v>8</v>
      </c>
      <c r="I2413" s="14"/>
      <c r="J2413" s="15">
        <v>345</v>
      </c>
      <c r="K2413" s="5">
        <v>1</v>
      </c>
      <c r="L2413" s="16">
        <v>665.33333333333337</v>
      </c>
      <c r="M2413" s="12"/>
      <c r="N2413" s="14">
        <f t="shared" si="110"/>
        <v>0</v>
      </c>
      <c r="O2413" s="23">
        <f>0.991*M2413</f>
        <v>0</v>
      </c>
      <c r="P2413" s="24">
        <f>0.01353*M2413</f>
        <v>0</v>
      </c>
      <c r="Q2413" s="25"/>
      <c r="R2413" s="26" t="s">
        <v>7459</v>
      </c>
      <c r="S2413" s="26" t="s">
        <v>93</v>
      </c>
      <c r="T2413" s="6" t="str">
        <f>HYPERLINK("https://kanzpp.ru/api/getInfo/image/13159aec-53b5-11ef-a262-00155d82e908")</f>
        <v>https://kanzpp.ru/api/getInfo/image/13159aec-53b5-11ef-a262-00155d82e908</v>
      </c>
      <c r="U2413" s="6"/>
      <c r="V2413" s="33" t="s">
        <v>35</v>
      </c>
    </row>
    <row r="2414" spans="2:22" ht="21" customHeight="1" outlineLevel="4" x14ac:dyDescent="0.2">
      <c r="B2414" s="69">
        <v>1772</v>
      </c>
      <c r="C2414" s="6" t="s">
        <v>7460</v>
      </c>
      <c r="D2414" s="6" t="s">
        <v>7461</v>
      </c>
      <c r="E2414" s="7" t="s">
        <v>7462</v>
      </c>
      <c r="F2414" s="13"/>
      <c r="G2414" s="14"/>
      <c r="H2414" s="15">
        <v>8</v>
      </c>
      <c r="I2414" s="14"/>
      <c r="J2414" s="15">
        <v>199</v>
      </c>
      <c r="K2414" s="5">
        <v>1</v>
      </c>
      <c r="L2414" s="16">
        <v>665.33333333333337</v>
      </c>
      <c r="M2414" s="12"/>
      <c r="N2414" s="14">
        <f t="shared" si="110"/>
        <v>0</v>
      </c>
      <c r="O2414" s="23">
        <f>0.821*M2414</f>
        <v>0</v>
      </c>
      <c r="P2414" s="24">
        <f>0.01131*M2414</f>
        <v>0</v>
      </c>
      <c r="Q2414" s="25"/>
      <c r="R2414" s="26" t="s">
        <v>7463</v>
      </c>
      <c r="S2414" s="26" t="s">
        <v>93</v>
      </c>
      <c r="T2414" s="6" t="str">
        <f>HYPERLINK("https://kanzpp.ru/api/getInfo/image/2e79e2af-4ad8-11ed-a217-ac1f6b442185")</f>
        <v>https://kanzpp.ru/api/getInfo/image/2e79e2af-4ad8-11ed-a217-ac1f6b442185</v>
      </c>
      <c r="U2414" s="6"/>
      <c r="V2414" s="33" t="s">
        <v>35</v>
      </c>
    </row>
    <row r="2415" spans="2:22" ht="21" customHeight="1" outlineLevel="4" x14ac:dyDescent="0.2">
      <c r="B2415" s="69">
        <v>1773</v>
      </c>
      <c r="C2415" s="6" t="s">
        <v>7464</v>
      </c>
      <c r="D2415" s="6" t="s">
        <v>7465</v>
      </c>
      <c r="E2415" s="7" t="s">
        <v>7466</v>
      </c>
      <c r="F2415" s="13"/>
      <c r="G2415" s="14"/>
      <c r="H2415" s="15">
        <v>10</v>
      </c>
      <c r="I2415" s="14"/>
      <c r="J2415" s="15">
        <v>33</v>
      </c>
      <c r="K2415" s="5">
        <v>1</v>
      </c>
      <c r="L2415" s="16">
        <v>1065.3333333333333</v>
      </c>
      <c r="M2415" s="12"/>
      <c r="N2415" s="14">
        <f t="shared" si="110"/>
        <v>0</v>
      </c>
      <c r="O2415" s="23">
        <f>0.712*M2415</f>
        <v>0</v>
      </c>
      <c r="P2415" s="24">
        <f>0.00806*M2415</f>
        <v>0</v>
      </c>
      <c r="Q2415" s="25"/>
      <c r="R2415" s="26" t="s">
        <v>7467</v>
      </c>
      <c r="S2415" s="26" t="s">
        <v>93</v>
      </c>
      <c r="T2415" s="6" t="str">
        <f>HYPERLINK("https://kanzpp.ru/api/getInfo/image/98a9c6b4-8235-11ef-a265-00155d82e908")</f>
        <v>https://kanzpp.ru/api/getInfo/image/98a9c6b4-8235-11ef-a265-00155d82e908</v>
      </c>
      <c r="U2415" s="6"/>
      <c r="V2415" s="33" t="s">
        <v>35</v>
      </c>
    </row>
    <row r="2416" spans="2:22" ht="21" customHeight="1" outlineLevel="4" x14ac:dyDescent="0.2">
      <c r="B2416" s="70">
        <v>1774</v>
      </c>
      <c r="C2416" s="3" t="s">
        <v>7468</v>
      </c>
      <c r="D2416" s="3" t="s">
        <v>7469</v>
      </c>
      <c r="E2416" s="4" t="s">
        <v>7470</v>
      </c>
      <c r="F2416" s="8"/>
      <c r="G2416" s="9"/>
      <c r="H2416" s="10">
        <v>6</v>
      </c>
      <c r="I2416" s="9"/>
      <c r="J2416" s="10">
        <v>1</v>
      </c>
      <c r="K2416" s="2">
        <v>1</v>
      </c>
      <c r="L2416" s="18">
        <v>1026.5733333333333</v>
      </c>
      <c r="M2416" s="12"/>
      <c r="N2416" s="9">
        <f t="shared" si="110"/>
        <v>0</v>
      </c>
      <c r="O2416" s="29">
        <f>0.856*M2416</f>
        <v>0</v>
      </c>
      <c r="P2416" s="30">
        <f>0.01985*M2416</f>
        <v>0</v>
      </c>
      <c r="Q2416" s="21"/>
      <c r="R2416" s="22" t="s">
        <v>7471</v>
      </c>
      <c r="S2416" s="22" t="s">
        <v>93</v>
      </c>
      <c r="T2416" s="3" t="str">
        <f>HYPERLINK("https://kanzpp.ru/api/getInfo/image/4d9c4f01-4ad8-11ed-a217-ac1f6b442185")</f>
        <v>https://kanzpp.ru/api/getInfo/image/4d9c4f01-4ad8-11ed-a217-ac1f6b442185</v>
      </c>
      <c r="U2416" s="3"/>
      <c r="V2416" s="32" t="s">
        <v>30</v>
      </c>
    </row>
    <row r="2417" spans="2:22" ht="21" customHeight="1" outlineLevel="4" x14ac:dyDescent="0.2">
      <c r="B2417" s="69">
        <v>1775</v>
      </c>
      <c r="C2417" s="6" t="s">
        <v>7472</v>
      </c>
      <c r="D2417" s="6" t="s">
        <v>7473</v>
      </c>
      <c r="E2417" s="7" t="s">
        <v>7474</v>
      </c>
      <c r="F2417" s="13"/>
      <c r="G2417" s="14"/>
      <c r="H2417" s="15">
        <v>8</v>
      </c>
      <c r="I2417" s="14"/>
      <c r="J2417" s="15">
        <v>280</v>
      </c>
      <c r="K2417" s="5">
        <v>1</v>
      </c>
      <c r="L2417" s="16">
        <v>1065.3333333333333</v>
      </c>
      <c r="M2417" s="12"/>
      <c r="N2417" s="14">
        <f t="shared" si="110"/>
        <v>0</v>
      </c>
      <c r="O2417" s="23">
        <f>1.017*M2417</f>
        <v>0</v>
      </c>
      <c r="P2417" s="31">
        <f>0.0117*M2417</f>
        <v>0</v>
      </c>
      <c r="Q2417" s="25"/>
      <c r="R2417" s="26" t="s">
        <v>7475</v>
      </c>
      <c r="S2417" s="26" t="s">
        <v>93</v>
      </c>
      <c r="T2417" s="6" t="str">
        <f>HYPERLINK("https://kanzpp.ru/api/getInfo/image/938ebc78-53b4-11ef-a262-00155d82e908")</f>
        <v>https://kanzpp.ru/api/getInfo/image/938ebc78-53b4-11ef-a262-00155d82e908</v>
      </c>
      <c r="U2417" s="6"/>
      <c r="V2417" s="33" t="s">
        <v>35</v>
      </c>
    </row>
    <row r="2418" spans="2:22" ht="21" customHeight="1" outlineLevel="4" x14ac:dyDescent="0.2">
      <c r="B2418" s="69">
        <v>1776</v>
      </c>
      <c r="C2418" s="6" t="s">
        <v>7476</v>
      </c>
      <c r="D2418" s="6" t="s">
        <v>7477</v>
      </c>
      <c r="E2418" s="7" t="s">
        <v>7478</v>
      </c>
      <c r="F2418" s="13"/>
      <c r="G2418" s="14"/>
      <c r="H2418" s="15">
        <v>10</v>
      </c>
      <c r="I2418" s="14"/>
      <c r="J2418" s="15">
        <v>2</v>
      </c>
      <c r="K2418" s="5">
        <v>1</v>
      </c>
      <c r="L2418" s="52">
        <v>1465.3333333333333</v>
      </c>
      <c r="M2418" s="12"/>
      <c r="N2418" s="14">
        <f t="shared" si="110"/>
        <v>0</v>
      </c>
      <c r="O2418" s="23">
        <f>0.714*M2418</f>
        <v>0</v>
      </c>
      <c r="P2418" s="24">
        <f>0.01109*M2418</f>
        <v>0</v>
      </c>
      <c r="Q2418" s="25"/>
      <c r="R2418" s="26" t="s">
        <v>7479</v>
      </c>
      <c r="S2418" s="26" t="s">
        <v>93</v>
      </c>
      <c r="T2418" s="6" t="str">
        <f>HYPERLINK("https://kanzpp.ru/api/getInfo/image/c4edf326-8235-11ef-a265-00155d82e908")</f>
        <v>https://kanzpp.ru/api/getInfo/image/c4edf326-8235-11ef-a265-00155d82e908</v>
      </c>
      <c r="U2418" s="6"/>
      <c r="V2418" s="33" t="s">
        <v>35</v>
      </c>
    </row>
    <row r="2419" spans="2:22" ht="21" customHeight="1" outlineLevel="4" x14ac:dyDescent="0.2">
      <c r="B2419" s="69">
        <v>1777</v>
      </c>
      <c r="C2419" s="6" t="s">
        <v>7480</v>
      </c>
      <c r="D2419" s="6" t="s">
        <v>7481</v>
      </c>
      <c r="E2419" s="7" t="s">
        <v>7482</v>
      </c>
      <c r="F2419" s="13"/>
      <c r="G2419" s="14"/>
      <c r="H2419" s="15">
        <v>8</v>
      </c>
      <c r="I2419" s="14"/>
      <c r="J2419" s="15">
        <v>220</v>
      </c>
      <c r="K2419" s="5">
        <v>1</v>
      </c>
      <c r="L2419" s="16">
        <v>1065.3333333333333</v>
      </c>
      <c r="M2419" s="12"/>
      <c r="N2419" s="14">
        <f t="shared" si="110"/>
        <v>0</v>
      </c>
      <c r="O2419" s="23">
        <f>0.999*M2419</f>
        <v>0</v>
      </c>
      <c r="P2419" s="24">
        <f>0.01453*M2419</f>
        <v>0</v>
      </c>
      <c r="Q2419" s="25"/>
      <c r="R2419" s="26" t="s">
        <v>7483</v>
      </c>
      <c r="S2419" s="26" t="s">
        <v>93</v>
      </c>
      <c r="T2419" s="6" t="str">
        <f>HYPERLINK("https://kanzpp.ru/api/getInfo/image/c55d7246-53b4-11ef-a262-00155d82e908")</f>
        <v>https://kanzpp.ru/api/getInfo/image/c55d7246-53b4-11ef-a262-00155d82e908</v>
      </c>
      <c r="U2419" s="6"/>
      <c r="V2419" s="33" t="s">
        <v>35</v>
      </c>
    </row>
    <row r="2420" spans="2:22" ht="21" customHeight="1" outlineLevel="4" x14ac:dyDescent="0.2">
      <c r="B2420" s="69">
        <v>1778</v>
      </c>
      <c r="C2420" s="6" t="s">
        <v>7484</v>
      </c>
      <c r="D2420" s="6" t="s">
        <v>7485</v>
      </c>
      <c r="E2420" s="7" t="s">
        <v>7486</v>
      </c>
      <c r="F2420" s="13"/>
      <c r="G2420" s="14"/>
      <c r="H2420" s="15">
        <v>8</v>
      </c>
      <c r="I2420" s="14"/>
      <c r="J2420" s="15">
        <v>491</v>
      </c>
      <c r="K2420" s="5">
        <v>1</v>
      </c>
      <c r="L2420" s="16">
        <v>1065.3333333333333</v>
      </c>
      <c r="M2420" s="12"/>
      <c r="N2420" s="14">
        <f t="shared" si="110"/>
        <v>0</v>
      </c>
      <c r="O2420" s="23">
        <f>0.996*M2420</f>
        <v>0</v>
      </c>
      <c r="P2420" s="24">
        <f>0.02149*M2420</f>
        <v>0</v>
      </c>
      <c r="Q2420" s="25"/>
      <c r="R2420" s="26" t="s">
        <v>7487</v>
      </c>
      <c r="S2420" s="26" t="s">
        <v>93</v>
      </c>
      <c r="T2420" s="6" t="str">
        <f>HYPERLINK("https://kanzpp.ru/api/getInfo/image/dca7a8e2-4ad8-11ed-a217-ac1f6b442185")</f>
        <v>https://kanzpp.ru/api/getInfo/image/dca7a8e2-4ad8-11ed-a217-ac1f6b442185</v>
      </c>
      <c r="U2420" s="6"/>
      <c r="V2420" s="33" t="s">
        <v>35</v>
      </c>
    </row>
    <row r="2421" spans="2:22" ht="22.95" customHeight="1" outlineLevel="3" x14ac:dyDescent="0.2">
      <c r="B2421" s="81" t="s">
        <v>7488</v>
      </c>
      <c r="C2421" s="81"/>
      <c r="D2421" s="81"/>
      <c r="L2421">
        <v>0</v>
      </c>
    </row>
    <row r="2422" spans="2:22" ht="21" customHeight="1" outlineLevel="4" x14ac:dyDescent="0.2">
      <c r="B2422" s="69">
        <v>1779</v>
      </c>
      <c r="C2422" s="6" t="s">
        <v>7489</v>
      </c>
      <c r="D2422" s="6" t="s">
        <v>7490</v>
      </c>
      <c r="E2422" s="7" t="s">
        <v>7491</v>
      </c>
      <c r="F2422" s="13"/>
      <c r="G2422" s="14"/>
      <c r="H2422" s="15">
        <v>20</v>
      </c>
      <c r="I2422" s="14"/>
      <c r="J2422" s="15">
        <v>6</v>
      </c>
      <c r="K2422" s="5">
        <v>1</v>
      </c>
      <c r="L2422" s="16">
        <v>665.33333333333337</v>
      </c>
      <c r="M2422" s="12"/>
      <c r="N2422" s="14">
        <f t="shared" ref="N2422:N2438" si="111">L2422*M2422</f>
        <v>0</v>
      </c>
      <c r="O2422" s="23">
        <f>0.452*M2422</f>
        <v>0</v>
      </c>
      <c r="P2422" s="24">
        <f>0.01096*M2422</f>
        <v>0</v>
      </c>
      <c r="Q2422" s="25"/>
      <c r="R2422" s="26" t="s">
        <v>7492</v>
      </c>
      <c r="S2422" s="26" t="s">
        <v>93</v>
      </c>
      <c r="T2422" s="6" t="str">
        <f>HYPERLINK("https://kanzpp.ru/api/getInfo/image/4f3f588e-8235-11ef-a265-00155d82e908")</f>
        <v>https://kanzpp.ru/api/getInfo/image/4f3f588e-8235-11ef-a265-00155d82e908</v>
      </c>
      <c r="U2422" s="6"/>
      <c r="V2422" s="33" t="s">
        <v>35</v>
      </c>
    </row>
    <row r="2423" spans="2:22" ht="21" customHeight="1" outlineLevel="4" x14ac:dyDescent="0.2">
      <c r="B2423" s="69">
        <v>1780</v>
      </c>
      <c r="C2423" s="6" t="s">
        <v>7493</v>
      </c>
      <c r="D2423" s="6" t="s">
        <v>7494</v>
      </c>
      <c r="E2423" s="7" t="s">
        <v>7495</v>
      </c>
      <c r="F2423" s="13"/>
      <c r="G2423" s="14"/>
      <c r="H2423" s="15">
        <v>20</v>
      </c>
      <c r="I2423" s="14"/>
      <c r="J2423" s="15">
        <v>578</v>
      </c>
      <c r="K2423" s="5">
        <v>1</v>
      </c>
      <c r="L2423" s="16">
        <v>665.33333333333337</v>
      </c>
      <c r="M2423" s="12"/>
      <c r="N2423" s="14">
        <f t="shared" si="111"/>
        <v>0</v>
      </c>
      <c r="O2423" s="28">
        <f>0.45*M2423</f>
        <v>0</v>
      </c>
      <c r="P2423" s="24">
        <f>0.00959*M2423</f>
        <v>0</v>
      </c>
      <c r="Q2423" s="25"/>
      <c r="R2423" s="26" t="s">
        <v>7496</v>
      </c>
      <c r="S2423" s="26" t="s">
        <v>93</v>
      </c>
      <c r="T2423" s="6" t="str">
        <f>HYPERLINK("https://kanzpp.ru/api/getInfo/image/2841e716-8235-11ef-a265-00155d82e908")</f>
        <v>https://kanzpp.ru/api/getInfo/image/2841e716-8235-11ef-a265-00155d82e908</v>
      </c>
      <c r="U2423" s="6"/>
      <c r="V2423" s="33" t="s">
        <v>35</v>
      </c>
    </row>
    <row r="2424" spans="2:22" ht="21" customHeight="1" outlineLevel="4" x14ac:dyDescent="0.2">
      <c r="B2424" s="69">
        <v>1781</v>
      </c>
      <c r="C2424" s="6" t="s">
        <v>7497</v>
      </c>
      <c r="D2424" s="6" t="s">
        <v>7498</v>
      </c>
      <c r="E2424" s="7" t="s">
        <v>7499</v>
      </c>
      <c r="F2424" s="13"/>
      <c r="G2424" s="14"/>
      <c r="H2424" s="15">
        <v>20</v>
      </c>
      <c r="I2424" s="14"/>
      <c r="J2424" s="15">
        <v>612</v>
      </c>
      <c r="K2424" s="5">
        <v>1</v>
      </c>
      <c r="L2424" s="16">
        <v>665.33333333333337</v>
      </c>
      <c r="M2424" s="12"/>
      <c r="N2424" s="14">
        <f t="shared" si="111"/>
        <v>0</v>
      </c>
      <c r="O2424" s="23">
        <f>0.362*M2424</f>
        <v>0</v>
      </c>
      <c r="P2424" s="23">
        <f>0.008*M2424</f>
        <v>0</v>
      </c>
      <c r="Q2424" s="25"/>
      <c r="R2424" s="26" t="s">
        <v>7500</v>
      </c>
      <c r="S2424" s="26" t="s">
        <v>93</v>
      </c>
      <c r="T2424" s="6" t="str">
        <f>HYPERLINK("https://kanzpp.ru/api/getInfo/image/7f677217-53b7-11ef-a262-00155d82e908")</f>
        <v>https://kanzpp.ru/api/getInfo/image/7f677217-53b7-11ef-a262-00155d82e908</v>
      </c>
      <c r="U2424" s="6"/>
      <c r="V2424" s="33" t="s">
        <v>35</v>
      </c>
    </row>
    <row r="2425" spans="2:22" ht="21" customHeight="1" outlineLevel="4" x14ac:dyDescent="0.2">
      <c r="B2425" s="69">
        <v>1782</v>
      </c>
      <c r="C2425" s="6" t="s">
        <v>7501</v>
      </c>
      <c r="D2425" s="6" t="s">
        <v>7502</v>
      </c>
      <c r="E2425" s="7" t="s">
        <v>7503</v>
      </c>
      <c r="F2425" s="13"/>
      <c r="G2425" s="14"/>
      <c r="H2425" s="15">
        <v>20</v>
      </c>
      <c r="I2425" s="14"/>
      <c r="J2425" s="15">
        <v>533</v>
      </c>
      <c r="K2425" s="5">
        <v>1</v>
      </c>
      <c r="L2425" s="16">
        <v>665.33333333333337</v>
      </c>
      <c r="M2425" s="12"/>
      <c r="N2425" s="14">
        <f t="shared" si="111"/>
        <v>0</v>
      </c>
      <c r="O2425" s="28">
        <f>0.36*M2425</f>
        <v>0</v>
      </c>
      <c r="P2425" s="24">
        <f>0.00819*M2425</f>
        <v>0</v>
      </c>
      <c r="Q2425" s="25"/>
      <c r="R2425" s="26" t="s">
        <v>7504</v>
      </c>
      <c r="S2425" s="26" t="s">
        <v>93</v>
      </c>
      <c r="T2425" s="6" t="str">
        <f>HYPERLINK("https://kanzpp.ru/api/getInfo/image/08235dac-53b7-11ef-a262-00155d82e908")</f>
        <v>https://kanzpp.ru/api/getInfo/image/08235dac-53b7-11ef-a262-00155d82e908</v>
      </c>
      <c r="U2425" s="6"/>
      <c r="V2425" s="33" t="s">
        <v>35</v>
      </c>
    </row>
    <row r="2426" spans="2:22" ht="21" customHeight="1" outlineLevel="4" x14ac:dyDescent="0.2">
      <c r="B2426" s="69">
        <v>1783</v>
      </c>
      <c r="C2426" s="6" t="s">
        <v>7505</v>
      </c>
      <c r="D2426" s="6" t="s">
        <v>7506</v>
      </c>
      <c r="E2426" s="7" t="s">
        <v>7507</v>
      </c>
      <c r="F2426" s="13"/>
      <c r="G2426" s="14"/>
      <c r="H2426" s="15">
        <v>20</v>
      </c>
      <c r="I2426" s="14"/>
      <c r="J2426" s="15">
        <v>473</v>
      </c>
      <c r="K2426" s="5">
        <v>1</v>
      </c>
      <c r="L2426" s="16">
        <v>665.33333333333337</v>
      </c>
      <c r="M2426" s="12"/>
      <c r="N2426" s="14">
        <f t="shared" si="111"/>
        <v>0</v>
      </c>
      <c r="O2426" s="23">
        <f>0.373*M2426</f>
        <v>0</v>
      </c>
      <c r="P2426" s="31">
        <f>0.0072*M2426</f>
        <v>0</v>
      </c>
      <c r="Q2426" s="25"/>
      <c r="R2426" s="26" t="s">
        <v>7508</v>
      </c>
      <c r="S2426" s="26" t="s">
        <v>93</v>
      </c>
      <c r="T2426" s="6" t="str">
        <f>HYPERLINK("https://kanzpp.ru/api/getInfo/image/cf5d7200-80c4-11ef-a265-00155d82e908")</f>
        <v>https://kanzpp.ru/api/getInfo/image/cf5d7200-80c4-11ef-a265-00155d82e908</v>
      </c>
      <c r="U2426" s="6"/>
      <c r="V2426" s="33" t="s">
        <v>35</v>
      </c>
    </row>
    <row r="2427" spans="2:22" ht="21" customHeight="1" outlineLevel="4" x14ac:dyDescent="0.2">
      <c r="B2427" s="69">
        <v>1784</v>
      </c>
      <c r="C2427" s="6" t="s">
        <v>7509</v>
      </c>
      <c r="D2427" s="6" t="s">
        <v>7510</v>
      </c>
      <c r="E2427" s="7" t="s">
        <v>7511</v>
      </c>
      <c r="F2427" s="13"/>
      <c r="G2427" s="14"/>
      <c r="H2427" s="15">
        <v>20</v>
      </c>
      <c r="I2427" s="14"/>
      <c r="J2427" s="15">
        <v>655</v>
      </c>
      <c r="K2427" s="5">
        <v>1</v>
      </c>
      <c r="L2427" s="16">
        <v>665.33333333333337</v>
      </c>
      <c r="M2427" s="12"/>
      <c r="N2427" s="14">
        <f t="shared" si="111"/>
        <v>0</v>
      </c>
      <c r="O2427" s="23">
        <f>0.392*M2427</f>
        <v>0</v>
      </c>
      <c r="P2427" s="24">
        <f>0.00963*M2427</f>
        <v>0</v>
      </c>
      <c r="Q2427" s="25"/>
      <c r="R2427" s="26" t="s">
        <v>7512</v>
      </c>
      <c r="S2427" s="26" t="s">
        <v>93</v>
      </c>
      <c r="T2427" s="6" t="str">
        <f>HYPERLINK("https://kanzpp.ru/api/getInfo/image/571d644c-53b7-11ef-a262-00155d82e908")</f>
        <v>https://kanzpp.ru/api/getInfo/image/571d644c-53b7-11ef-a262-00155d82e908</v>
      </c>
      <c r="U2427" s="6"/>
      <c r="V2427" s="33" t="s">
        <v>35</v>
      </c>
    </row>
    <row r="2428" spans="2:22" ht="21" customHeight="1" outlineLevel="4" x14ac:dyDescent="0.2">
      <c r="B2428" s="69">
        <v>1785</v>
      </c>
      <c r="C2428" s="6" t="s">
        <v>7513</v>
      </c>
      <c r="D2428" s="6" t="s">
        <v>7514</v>
      </c>
      <c r="E2428" s="7" t="s">
        <v>7515</v>
      </c>
      <c r="F2428" s="13"/>
      <c r="G2428" s="14"/>
      <c r="H2428" s="15">
        <v>50</v>
      </c>
      <c r="I2428" s="14"/>
      <c r="J2428" s="15">
        <v>494</v>
      </c>
      <c r="K2428" s="5">
        <v>1</v>
      </c>
      <c r="L2428" s="16">
        <v>398.66666666666669</v>
      </c>
      <c r="M2428" s="12"/>
      <c r="N2428" s="14">
        <f t="shared" si="111"/>
        <v>0</v>
      </c>
      <c r="O2428" s="23">
        <f>0.397*M2428</f>
        <v>0</v>
      </c>
      <c r="P2428" s="24">
        <f>0.00788*M2428</f>
        <v>0</v>
      </c>
      <c r="Q2428" s="25"/>
      <c r="R2428" s="26" t="s">
        <v>7516</v>
      </c>
      <c r="S2428" s="26" t="s">
        <v>93</v>
      </c>
      <c r="T2428" s="6" t="str">
        <f>HYPERLINK("https://kanzpp.ru/api/getInfo/image/24dc4434-4ad7-11ed-a217-ac1f6b442185")</f>
        <v>https://kanzpp.ru/api/getInfo/image/24dc4434-4ad7-11ed-a217-ac1f6b442185</v>
      </c>
      <c r="U2428" s="6"/>
      <c r="V2428" s="33" t="s">
        <v>35</v>
      </c>
    </row>
    <row r="2429" spans="2:22" ht="21" customHeight="1" outlineLevel="4" x14ac:dyDescent="0.2">
      <c r="B2429" s="69">
        <v>1786</v>
      </c>
      <c r="C2429" s="6" t="s">
        <v>7517</v>
      </c>
      <c r="D2429" s="6" t="s">
        <v>7518</v>
      </c>
      <c r="E2429" s="7" t="s">
        <v>7519</v>
      </c>
      <c r="F2429" s="13"/>
      <c r="G2429" s="14"/>
      <c r="H2429" s="15">
        <v>50</v>
      </c>
      <c r="I2429" s="14"/>
      <c r="J2429" s="15">
        <v>48</v>
      </c>
      <c r="K2429" s="5">
        <v>1</v>
      </c>
      <c r="L2429" s="16">
        <v>398.66666666666669</v>
      </c>
      <c r="M2429" s="12"/>
      <c r="N2429" s="14">
        <f t="shared" si="111"/>
        <v>0</v>
      </c>
      <c r="O2429" s="23">
        <f>0.205*M2429</f>
        <v>0</v>
      </c>
      <c r="P2429" s="24">
        <f>0.00714*M2429</f>
        <v>0</v>
      </c>
      <c r="Q2429" s="25"/>
      <c r="R2429" s="26" t="s">
        <v>7520</v>
      </c>
      <c r="S2429" s="26" t="s">
        <v>93</v>
      </c>
      <c r="T2429" s="6" t="str">
        <f>HYPERLINK("https://kanzpp.ru/api/getInfo/image/01738e1c-4ad7-11ed-a217-ac1f6b442185")</f>
        <v>https://kanzpp.ru/api/getInfo/image/01738e1c-4ad7-11ed-a217-ac1f6b442185</v>
      </c>
      <c r="U2429" s="6"/>
      <c r="V2429" s="33" t="s">
        <v>35</v>
      </c>
    </row>
    <row r="2430" spans="2:22" ht="21" customHeight="1" outlineLevel="4" x14ac:dyDescent="0.2">
      <c r="B2430" s="69">
        <v>1787</v>
      </c>
      <c r="C2430" s="6" t="s">
        <v>7521</v>
      </c>
      <c r="D2430" s="6" t="s">
        <v>7522</v>
      </c>
      <c r="E2430" s="7" t="s">
        <v>7523</v>
      </c>
      <c r="F2430" s="13"/>
      <c r="G2430" s="14"/>
      <c r="H2430" s="15">
        <v>36</v>
      </c>
      <c r="I2430" s="14"/>
      <c r="J2430" s="15">
        <v>1</v>
      </c>
      <c r="K2430" s="5">
        <v>1</v>
      </c>
      <c r="L2430" s="16">
        <v>265.33333333333331</v>
      </c>
      <c r="M2430" s="12"/>
      <c r="N2430" s="14">
        <f t="shared" si="111"/>
        <v>0</v>
      </c>
      <c r="O2430" s="23">
        <f>0.147*M2430</f>
        <v>0</v>
      </c>
      <c r="P2430" s="24">
        <f>0.00098*M2430</f>
        <v>0</v>
      </c>
      <c r="Q2430" s="25"/>
      <c r="R2430" s="26" t="s">
        <v>7524</v>
      </c>
      <c r="S2430" s="26" t="s">
        <v>93</v>
      </c>
      <c r="T2430" s="6" t="str">
        <f>HYPERLINK("https://kanzpp.ru/api/getInfo/image/6ae845cf-cbf9-11ee-a25a-00155d82e908")</f>
        <v>https://kanzpp.ru/api/getInfo/image/6ae845cf-cbf9-11ee-a25a-00155d82e908</v>
      </c>
      <c r="U2430" s="6"/>
      <c r="V2430" s="33" t="s">
        <v>35</v>
      </c>
    </row>
    <row r="2431" spans="2:22" ht="21" customHeight="1" outlineLevel="4" x14ac:dyDescent="0.2">
      <c r="B2431" s="69">
        <v>1788</v>
      </c>
      <c r="C2431" s="6" t="s">
        <v>7525</v>
      </c>
      <c r="D2431" s="6" t="s">
        <v>7526</v>
      </c>
      <c r="E2431" s="7" t="s">
        <v>7527</v>
      </c>
      <c r="F2431" s="13"/>
      <c r="G2431" s="14"/>
      <c r="H2431" s="15">
        <v>50</v>
      </c>
      <c r="I2431" s="14"/>
      <c r="J2431" s="15">
        <v>46</v>
      </c>
      <c r="K2431" s="5">
        <v>1</v>
      </c>
      <c r="L2431" s="16">
        <v>398.66666666666669</v>
      </c>
      <c r="M2431" s="12"/>
      <c r="N2431" s="14">
        <f t="shared" si="111"/>
        <v>0</v>
      </c>
      <c r="O2431" s="23">
        <f>0.205*M2431</f>
        <v>0</v>
      </c>
      <c r="P2431" s="24">
        <f>0.00756*M2431</f>
        <v>0</v>
      </c>
      <c r="Q2431" s="25"/>
      <c r="R2431" s="26" t="s">
        <v>7528</v>
      </c>
      <c r="S2431" s="26" t="s">
        <v>93</v>
      </c>
      <c r="T2431" s="6" t="str">
        <f>HYPERLINK("https://kanzpp.ru/api/getInfo/image/51657d50-4ad7-11ed-a217-ac1f6b442185")</f>
        <v>https://kanzpp.ru/api/getInfo/image/51657d50-4ad7-11ed-a217-ac1f6b442185</v>
      </c>
      <c r="U2431" s="6"/>
      <c r="V2431" s="33" t="s">
        <v>35</v>
      </c>
    </row>
    <row r="2432" spans="2:22" ht="21" customHeight="1" outlineLevel="4" x14ac:dyDescent="0.2">
      <c r="B2432" s="69">
        <v>1789</v>
      </c>
      <c r="C2432" s="6" t="s">
        <v>7529</v>
      </c>
      <c r="D2432" s="6" t="s">
        <v>7530</v>
      </c>
      <c r="E2432" s="7" t="s">
        <v>7531</v>
      </c>
      <c r="F2432" s="13"/>
      <c r="G2432" s="14"/>
      <c r="H2432" s="15">
        <v>50</v>
      </c>
      <c r="I2432" s="14"/>
      <c r="J2432" s="15">
        <v>80</v>
      </c>
      <c r="K2432" s="5">
        <v>1</v>
      </c>
      <c r="L2432" s="16">
        <v>398.66666666666669</v>
      </c>
      <c r="M2432" s="12"/>
      <c r="N2432" s="14">
        <f t="shared" si="111"/>
        <v>0</v>
      </c>
      <c r="O2432" s="23">
        <f>0.203*M2432</f>
        <v>0</v>
      </c>
      <c r="P2432" s="24">
        <f>0.00745*M2432</f>
        <v>0</v>
      </c>
      <c r="Q2432" s="25"/>
      <c r="R2432" s="26" t="s">
        <v>7532</v>
      </c>
      <c r="S2432" s="26" t="s">
        <v>93</v>
      </c>
      <c r="T2432" s="6" t="str">
        <f>HYPERLINK("https://kanzpp.ru/api/getInfo/image/ce73b2c8-4ad6-11ed-a217-ac1f6b442185")</f>
        <v>https://kanzpp.ru/api/getInfo/image/ce73b2c8-4ad6-11ed-a217-ac1f6b442185</v>
      </c>
      <c r="U2432" s="6"/>
      <c r="V2432" s="33" t="s">
        <v>35</v>
      </c>
    </row>
    <row r="2433" spans="2:22" ht="21" customHeight="1" outlineLevel="4" x14ac:dyDescent="0.2">
      <c r="B2433" s="69">
        <v>1790</v>
      </c>
      <c r="C2433" s="6" t="s">
        <v>7533</v>
      </c>
      <c r="D2433" s="6" t="s">
        <v>7534</v>
      </c>
      <c r="E2433" s="7" t="s">
        <v>7535</v>
      </c>
      <c r="F2433" s="13"/>
      <c r="G2433" s="14"/>
      <c r="H2433" s="15">
        <v>20</v>
      </c>
      <c r="I2433" s="14"/>
      <c r="J2433" s="15">
        <v>904</v>
      </c>
      <c r="K2433" s="5">
        <v>1</v>
      </c>
      <c r="L2433" s="16">
        <v>665.33333333333337</v>
      </c>
      <c r="M2433" s="12"/>
      <c r="N2433" s="14">
        <f t="shared" si="111"/>
        <v>0</v>
      </c>
      <c r="O2433" s="23">
        <f>0.353*M2433</f>
        <v>0</v>
      </c>
      <c r="P2433" s="24">
        <f>0.00545*M2433</f>
        <v>0</v>
      </c>
      <c r="Q2433" s="25"/>
      <c r="R2433" s="26" t="s">
        <v>7536</v>
      </c>
      <c r="S2433" s="26" t="s">
        <v>93</v>
      </c>
      <c r="T2433" s="6" t="str">
        <f>HYPERLINK("https://kanzpp.ru/api/getInfo/image/f7006c53-5eca-11ee-a245-00155d82e902")</f>
        <v>https://kanzpp.ru/api/getInfo/image/f7006c53-5eca-11ee-a245-00155d82e902</v>
      </c>
      <c r="U2433" s="6"/>
      <c r="V2433" s="33" t="s">
        <v>35</v>
      </c>
    </row>
    <row r="2434" spans="2:22" ht="21" customHeight="1" outlineLevel="4" x14ac:dyDescent="0.2">
      <c r="B2434" s="69">
        <v>1791</v>
      </c>
      <c r="C2434" s="6" t="s">
        <v>7537</v>
      </c>
      <c r="D2434" s="6" t="s">
        <v>7538</v>
      </c>
      <c r="E2434" s="7" t="s">
        <v>7539</v>
      </c>
      <c r="F2434" s="13"/>
      <c r="G2434" s="14"/>
      <c r="H2434" s="15">
        <v>16</v>
      </c>
      <c r="I2434" s="14"/>
      <c r="J2434" s="15">
        <v>332</v>
      </c>
      <c r="K2434" s="5">
        <v>1</v>
      </c>
      <c r="L2434" s="16">
        <v>665.33333333333337</v>
      </c>
      <c r="M2434" s="12"/>
      <c r="N2434" s="14">
        <f t="shared" si="111"/>
        <v>0</v>
      </c>
      <c r="O2434" s="23">
        <f>0.586*M2434</f>
        <v>0</v>
      </c>
      <c r="P2434" s="24">
        <f>0.02038*M2434</f>
        <v>0</v>
      </c>
      <c r="Q2434" s="25"/>
      <c r="R2434" s="26" t="s">
        <v>7540</v>
      </c>
      <c r="S2434" s="26" t="s">
        <v>93</v>
      </c>
      <c r="T2434" s="6" t="str">
        <f>HYPERLINK("https://kanzpp.ru/api/getInfo/image/216284d0-5ecd-11ee-a245-00155d82e902")</f>
        <v>https://kanzpp.ru/api/getInfo/image/216284d0-5ecd-11ee-a245-00155d82e902</v>
      </c>
      <c r="U2434" s="6"/>
      <c r="V2434" s="33" t="s">
        <v>35</v>
      </c>
    </row>
    <row r="2435" spans="2:22" ht="21" customHeight="1" outlineLevel="4" x14ac:dyDescent="0.2">
      <c r="B2435" s="71">
        <v>1792</v>
      </c>
      <c r="C2435" s="37" t="s">
        <v>7541</v>
      </c>
      <c r="D2435" s="37" t="s">
        <v>7542</v>
      </c>
      <c r="E2435" s="38" t="s">
        <v>7543</v>
      </c>
      <c r="F2435" s="39"/>
      <c r="G2435" s="40"/>
      <c r="H2435" s="41">
        <v>20</v>
      </c>
      <c r="I2435" s="40"/>
      <c r="J2435" s="41">
        <v>2</v>
      </c>
      <c r="K2435" s="36">
        <v>1</v>
      </c>
      <c r="L2435" s="53">
        <f>(1111.67*(1-O3/100))/0.75</f>
        <v>1482.2266666666667</v>
      </c>
      <c r="M2435" s="12"/>
      <c r="N2435" s="40">
        <f t="shared" si="111"/>
        <v>0</v>
      </c>
      <c r="O2435" s="43">
        <f>0.335*M2435</f>
        <v>0</v>
      </c>
      <c r="P2435" s="47">
        <f>0.00137*M2435</f>
        <v>0</v>
      </c>
      <c r="Q2435" s="44"/>
      <c r="R2435" s="45" t="s">
        <v>7544</v>
      </c>
      <c r="S2435" s="45" t="s">
        <v>93</v>
      </c>
      <c r="T2435" s="37" t="str">
        <f>HYPERLINK("https://kanzpp.ru/api/getInfo/image/b7066848-591a-11ee-a245-00155d82e902")</f>
        <v>https://kanzpp.ru/api/getInfo/image/b7066848-591a-11ee-a245-00155d82e902</v>
      </c>
      <c r="U2435" s="37"/>
    </row>
    <row r="2436" spans="2:22" ht="21" customHeight="1" outlineLevel="4" x14ac:dyDescent="0.2">
      <c r="B2436" s="69">
        <v>1793</v>
      </c>
      <c r="C2436" s="6" t="s">
        <v>7545</v>
      </c>
      <c r="D2436" s="6" t="s">
        <v>7546</v>
      </c>
      <c r="E2436" s="7" t="s">
        <v>7547</v>
      </c>
      <c r="F2436" s="13"/>
      <c r="G2436" s="14"/>
      <c r="H2436" s="15">
        <v>20</v>
      </c>
      <c r="I2436" s="14"/>
      <c r="J2436" s="15">
        <v>95</v>
      </c>
      <c r="K2436" s="5">
        <v>1</v>
      </c>
      <c r="L2436" s="16">
        <v>665.33333333333337</v>
      </c>
      <c r="M2436" s="12"/>
      <c r="N2436" s="14">
        <f t="shared" si="111"/>
        <v>0</v>
      </c>
      <c r="O2436" s="23">
        <f>0.587*M2436</f>
        <v>0</v>
      </c>
      <c r="P2436" s="31">
        <f>0.0097*M2436</f>
        <v>0</v>
      </c>
      <c r="Q2436" s="25"/>
      <c r="R2436" s="26" t="s">
        <v>7548</v>
      </c>
      <c r="S2436" s="26" t="s">
        <v>93</v>
      </c>
      <c r="T2436" s="6" t="str">
        <f>HYPERLINK("https://kanzpp.ru/api/getInfo/image/ff07f342-351b-11ef-a261-00155d82e908")</f>
        <v>https://kanzpp.ru/api/getInfo/image/ff07f342-351b-11ef-a261-00155d82e908</v>
      </c>
      <c r="U2436" s="6"/>
      <c r="V2436" s="33" t="s">
        <v>35</v>
      </c>
    </row>
    <row r="2437" spans="2:22" ht="21" customHeight="1" outlineLevel="4" x14ac:dyDescent="0.2">
      <c r="B2437" s="69">
        <v>1794</v>
      </c>
      <c r="C2437" s="6" t="s">
        <v>7549</v>
      </c>
      <c r="D2437" s="6" t="s">
        <v>7550</v>
      </c>
      <c r="E2437" s="7" t="s">
        <v>7551</v>
      </c>
      <c r="F2437" s="13"/>
      <c r="G2437" s="14"/>
      <c r="H2437" s="15">
        <v>20</v>
      </c>
      <c r="I2437" s="14"/>
      <c r="J2437" s="15">
        <v>148</v>
      </c>
      <c r="K2437" s="5">
        <v>1</v>
      </c>
      <c r="L2437" s="16">
        <v>665.33333333333337</v>
      </c>
      <c r="M2437" s="12"/>
      <c r="N2437" s="14">
        <f t="shared" si="111"/>
        <v>0</v>
      </c>
      <c r="O2437" s="23">
        <f>0.544*M2437</f>
        <v>0</v>
      </c>
      <c r="P2437" s="24">
        <f>0.00975*M2437</f>
        <v>0</v>
      </c>
      <c r="Q2437" s="25"/>
      <c r="R2437" s="26" t="s">
        <v>7552</v>
      </c>
      <c r="S2437" s="26" t="s">
        <v>93</v>
      </c>
      <c r="T2437" s="6" t="str">
        <f>HYPERLINK("https://kanzpp.ru/api/getInfo/image/616f6b3e-351c-11ef-a261-00155d82e908")</f>
        <v>https://kanzpp.ru/api/getInfo/image/616f6b3e-351c-11ef-a261-00155d82e908</v>
      </c>
      <c r="U2437" s="6"/>
      <c r="V2437" s="33" t="s">
        <v>35</v>
      </c>
    </row>
    <row r="2438" spans="2:22" ht="21" customHeight="1" outlineLevel="4" x14ac:dyDescent="0.2">
      <c r="B2438" s="71">
        <v>1795</v>
      </c>
      <c r="C2438" s="37" t="s">
        <v>7553</v>
      </c>
      <c r="D2438" s="37" t="s">
        <v>7554</v>
      </c>
      <c r="E2438" s="38" t="s">
        <v>7555</v>
      </c>
      <c r="F2438" s="39"/>
      <c r="G2438" s="40"/>
      <c r="H2438" s="41">
        <v>20</v>
      </c>
      <c r="I2438" s="40"/>
      <c r="J2438" s="41">
        <v>24</v>
      </c>
      <c r="K2438" s="36">
        <v>1</v>
      </c>
      <c r="L2438" s="53">
        <f>(2000*(1-O3/100))/0.75</f>
        <v>2666.6666666666665</v>
      </c>
      <c r="M2438" s="12"/>
      <c r="N2438" s="40">
        <f t="shared" si="111"/>
        <v>0</v>
      </c>
      <c r="O2438" s="43">
        <f>0.562*M2438</f>
        <v>0</v>
      </c>
      <c r="P2438" s="47">
        <f>0.00776*M2438</f>
        <v>0</v>
      </c>
      <c r="Q2438" s="44"/>
      <c r="R2438" s="45" t="s">
        <v>7556</v>
      </c>
      <c r="S2438" s="45" t="s">
        <v>93</v>
      </c>
      <c r="T2438" s="37" t="str">
        <f>HYPERLINK("https://kanzpp.ru/api/getInfo/image/ea57a339-4ad9-11ed-a217-ac1f6b442185")</f>
        <v>https://kanzpp.ru/api/getInfo/image/ea57a339-4ad9-11ed-a217-ac1f6b442185</v>
      </c>
      <c r="U2438" s="37"/>
    </row>
    <row r="2439" spans="2:22" ht="22.95" customHeight="1" outlineLevel="3" x14ac:dyDescent="0.2">
      <c r="B2439" s="81" t="s">
        <v>7557</v>
      </c>
      <c r="C2439" s="81"/>
      <c r="D2439" s="81"/>
      <c r="L2439">
        <v>0</v>
      </c>
    </row>
    <row r="2440" spans="2:22" ht="21" customHeight="1" outlineLevel="4" x14ac:dyDescent="0.2">
      <c r="B2440" s="69">
        <v>1796</v>
      </c>
      <c r="C2440" s="6" t="s">
        <v>7558</v>
      </c>
      <c r="D2440" s="6" t="s">
        <v>7559</v>
      </c>
      <c r="E2440" s="7" t="s">
        <v>7560</v>
      </c>
      <c r="F2440" s="13"/>
      <c r="G2440" s="14"/>
      <c r="H2440" s="15">
        <v>10</v>
      </c>
      <c r="I2440" s="14"/>
      <c r="J2440" s="15">
        <v>332</v>
      </c>
      <c r="K2440" s="5">
        <v>1</v>
      </c>
      <c r="L2440" s="16">
        <v>665.33333333333337</v>
      </c>
      <c r="M2440" s="12"/>
      <c r="N2440" s="14">
        <f>L2440*M2440</f>
        <v>0</v>
      </c>
      <c r="O2440" s="23">
        <f>0.848*M2440</f>
        <v>0</v>
      </c>
      <c r="P2440" s="24">
        <f>0.00891*M2440</f>
        <v>0</v>
      </c>
      <c r="Q2440" s="25"/>
      <c r="R2440" s="26" t="s">
        <v>7561</v>
      </c>
      <c r="S2440" s="26" t="s">
        <v>93</v>
      </c>
      <c r="T2440" s="6" t="str">
        <f>HYPERLINK("https://kanzpp.ru/api/getInfo/image/a0a1a74e-635d-11ee-a245-00155d82e902")</f>
        <v>https://kanzpp.ru/api/getInfo/image/a0a1a74e-635d-11ee-a245-00155d82e902</v>
      </c>
      <c r="U2440" s="6"/>
      <c r="V2440" s="33" t="s">
        <v>35</v>
      </c>
    </row>
    <row r="2441" spans="2:22" ht="21" customHeight="1" outlineLevel="4" x14ac:dyDescent="0.2">
      <c r="B2441" s="69">
        <v>1797</v>
      </c>
      <c r="C2441" s="6" t="s">
        <v>7562</v>
      </c>
      <c r="D2441" s="6" t="s">
        <v>7563</v>
      </c>
      <c r="E2441" s="7" t="s">
        <v>7564</v>
      </c>
      <c r="F2441" s="13"/>
      <c r="G2441" s="14"/>
      <c r="H2441" s="15">
        <v>10</v>
      </c>
      <c r="I2441" s="14"/>
      <c r="J2441" s="15">
        <v>688</v>
      </c>
      <c r="K2441" s="5">
        <v>1</v>
      </c>
      <c r="L2441" s="16">
        <v>665.33333333333337</v>
      </c>
      <c r="M2441" s="12"/>
      <c r="N2441" s="14">
        <f>L2441*M2441</f>
        <v>0</v>
      </c>
      <c r="O2441" s="27">
        <f>0.9*M2441</f>
        <v>0</v>
      </c>
      <c r="P2441" s="24">
        <f>0.01255*M2441</f>
        <v>0</v>
      </c>
      <c r="Q2441" s="25"/>
      <c r="R2441" s="26" t="s">
        <v>7565</v>
      </c>
      <c r="S2441" s="26" t="s">
        <v>93</v>
      </c>
      <c r="T2441" s="6" t="str">
        <f>HYPERLINK("https://kanzpp.ru/api/getInfo/image/c9ed41b0-635d-11ee-a245-00155d82e902")</f>
        <v>https://kanzpp.ru/api/getInfo/image/c9ed41b0-635d-11ee-a245-00155d82e902</v>
      </c>
      <c r="U2441" s="6"/>
      <c r="V2441" s="33" t="s">
        <v>35</v>
      </c>
    </row>
    <row r="2442" spans="2:22" ht="21" customHeight="1" outlineLevel="4" x14ac:dyDescent="0.2">
      <c r="B2442" s="69">
        <v>1798</v>
      </c>
      <c r="C2442" s="6" t="s">
        <v>7566</v>
      </c>
      <c r="D2442" s="6" t="s">
        <v>7567</v>
      </c>
      <c r="E2442" s="7" t="s">
        <v>7568</v>
      </c>
      <c r="F2442" s="13"/>
      <c r="G2442" s="14"/>
      <c r="H2442" s="15">
        <v>10</v>
      </c>
      <c r="I2442" s="14"/>
      <c r="J2442" s="15">
        <v>1</v>
      </c>
      <c r="K2442" s="5">
        <v>1</v>
      </c>
      <c r="L2442" s="16">
        <v>665.33333333333337</v>
      </c>
      <c r="M2442" s="12"/>
      <c r="N2442" s="14">
        <f>L2442*M2442</f>
        <v>0</v>
      </c>
      <c r="O2442" s="27">
        <f>1.4*M2442</f>
        <v>0</v>
      </c>
      <c r="P2442" s="24">
        <f>0.01408*M2442</f>
        <v>0</v>
      </c>
      <c r="Q2442" s="25"/>
      <c r="R2442" s="26" t="s">
        <v>7569</v>
      </c>
      <c r="S2442" s="26" t="s">
        <v>93</v>
      </c>
      <c r="T2442" s="6" t="str">
        <f>HYPERLINK("https://kanzpp.ru/api/getInfo/image/ac2c0f89-5ecd-11ee-a245-00155d82e902")</f>
        <v>https://kanzpp.ru/api/getInfo/image/ac2c0f89-5ecd-11ee-a245-00155d82e902</v>
      </c>
      <c r="U2442" s="6"/>
      <c r="V2442" s="33" t="s">
        <v>35</v>
      </c>
    </row>
    <row r="2443" spans="2:22" ht="22.95" customHeight="1" outlineLevel="1" x14ac:dyDescent="0.2">
      <c r="B2443" s="79" t="s">
        <v>7570</v>
      </c>
      <c r="C2443" s="79"/>
      <c r="D2443" s="79"/>
      <c r="L2443">
        <v>0</v>
      </c>
    </row>
    <row r="2444" spans="2:22" ht="22.95" customHeight="1" outlineLevel="2" x14ac:dyDescent="0.2">
      <c r="B2444" s="80" t="s">
        <v>7571</v>
      </c>
      <c r="C2444" s="80"/>
      <c r="D2444" s="80"/>
      <c r="L2444">
        <v>0</v>
      </c>
    </row>
    <row r="2445" spans="2:22" ht="22.95" customHeight="1" outlineLevel="3" x14ac:dyDescent="0.2">
      <c r="B2445" s="81" t="s">
        <v>7572</v>
      </c>
      <c r="C2445" s="81"/>
      <c r="D2445" s="81"/>
      <c r="L2445">
        <v>0</v>
      </c>
    </row>
    <row r="2446" spans="2:22" ht="21" customHeight="1" outlineLevel="4" x14ac:dyDescent="0.2">
      <c r="B2446" s="69">
        <v>1799</v>
      </c>
      <c r="C2446" s="6" t="s">
        <v>7573</v>
      </c>
      <c r="D2446" s="6" t="s">
        <v>7574</v>
      </c>
      <c r="E2446" s="7" t="s">
        <v>7575</v>
      </c>
      <c r="F2446" s="13"/>
      <c r="G2446" s="14"/>
      <c r="H2446" s="15">
        <v>40</v>
      </c>
      <c r="I2446" s="14"/>
      <c r="J2446" s="15">
        <v>103</v>
      </c>
      <c r="K2446" s="5">
        <v>10</v>
      </c>
      <c r="L2446" s="16">
        <v>52</v>
      </c>
      <c r="M2446" s="12"/>
      <c r="N2446" s="14">
        <f>L2446*M2446</f>
        <v>0</v>
      </c>
      <c r="O2446" s="23">
        <f>0.197*M2446</f>
        <v>0</v>
      </c>
      <c r="P2446" s="24">
        <f>0.00023*M2446</f>
        <v>0</v>
      </c>
      <c r="Q2446" s="25"/>
      <c r="R2446" s="26" t="s">
        <v>7576</v>
      </c>
      <c r="S2446" s="26" t="s">
        <v>29</v>
      </c>
      <c r="T2446" s="6" t="str">
        <f>HYPERLINK("https://kanzpp.ru/api/getInfo/image/774e0b4e-e1d2-11ee-a25a-00155d82e908")</f>
        <v>https://kanzpp.ru/api/getInfo/image/774e0b4e-e1d2-11ee-a25a-00155d82e908</v>
      </c>
      <c r="U2446" s="6"/>
      <c r="V2446" s="33" t="s">
        <v>35</v>
      </c>
    </row>
    <row r="2447" spans="2:22" ht="21" customHeight="1" outlineLevel="4" x14ac:dyDescent="0.2">
      <c r="B2447" s="69">
        <v>1800</v>
      </c>
      <c r="C2447" s="6" t="s">
        <v>7577</v>
      </c>
      <c r="D2447" s="6" t="s">
        <v>7578</v>
      </c>
      <c r="E2447" s="7" t="s">
        <v>7579</v>
      </c>
      <c r="F2447" s="13"/>
      <c r="G2447" s="14"/>
      <c r="H2447" s="15">
        <v>40</v>
      </c>
      <c r="I2447" s="14"/>
      <c r="J2447" s="14" t="s">
        <v>144</v>
      </c>
      <c r="K2447" s="5">
        <v>10</v>
      </c>
      <c r="L2447" s="16">
        <v>52</v>
      </c>
      <c r="M2447" s="12"/>
      <c r="N2447" s="14">
        <f>L2447*M2447</f>
        <v>0</v>
      </c>
      <c r="O2447" s="23">
        <f>0.198*M2447</f>
        <v>0</v>
      </c>
      <c r="P2447" s="24">
        <f>0.00015*M2447</f>
        <v>0</v>
      </c>
      <c r="Q2447" s="25"/>
      <c r="R2447" s="26" t="s">
        <v>7580</v>
      </c>
      <c r="S2447" s="26" t="s">
        <v>29</v>
      </c>
      <c r="T2447" s="6" t="str">
        <f>HYPERLINK("https://kanzpp.ru/api/getInfo/image/9d276f99-e1d2-11ee-a25a-00155d82e908")</f>
        <v>https://kanzpp.ru/api/getInfo/image/9d276f99-e1d2-11ee-a25a-00155d82e908</v>
      </c>
      <c r="U2447" s="6"/>
      <c r="V2447" s="33" t="s">
        <v>35</v>
      </c>
    </row>
    <row r="2448" spans="2:22" ht="22.95" customHeight="1" outlineLevel="3" x14ac:dyDescent="0.2">
      <c r="B2448" s="81" t="s">
        <v>7581</v>
      </c>
      <c r="C2448" s="81"/>
      <c r="D2448" s="81"/>
      <c r="L2448">
        <v>0</v>
      </c>
    </row>
    <row r="2449" spans="2:22" ht="21" customHeight="1" outlineLevel="4" x14ac:dyDescent="0.2">
      <c r="B2449" s="69">
        <v>1801</v>
      </c>
      <c r="C2449" s="6" t="s">
        <v>7582</v>
      </c>
      <c r="D2449" s="6" t="s">
        <v>7583</v>
      </c>
      <c r="E2449" s="7" t="s">
        <v>7584</v>
      </c>
      <c r="F2449" s="13"/>
      <c r="G2449" s="14"/>
      <c r="H2449" s="15">
        <v>40</v>
      </c>
      <c r="I2449" s="14"/>
      <c r="J2449" s="15">
        <v>133</v>
      </c>
      <c r="K2449" s="5">
        <v>12</v>
      </c>
      <c r="L2449" s="16">
        <v>32</v>
      </c>
      <c r="M2449" s="12"/>
      <c r="N2449" s="14">
        <f t="shared" ref="N2449:N2463" si="112">L2449*M2449</f>
        <v>0</v>
      </c>
      <c r="O2449" s="23">
        <f>0.225*M2449</f>
        <v>0</v>
      </c>
      <c r="P2449" s="24">
        <f>0.00023*M2449</f>
        <v>0</v>
      </c>
      <c r="Q2449" s="25"/>
      <c r="R2449" s="26" t="s">
        <v>7585</v>
      </c>
      <c r="S2449" s="26" t="s">
        <v>29</v>
      </c>
      <c r="T2449" s="6" t="str">
        <f>HYPERLINK("https://kanzpp.ru/api/getInfo/image/aa66b3c7-e1e5-11ee-a25a-00155d82e908")</f>
        <v>https://kanzpp.ru/api/getInfo/image/aa66b3c7-e1e5-11ee-a25a-00155d82e908</v>
      </c>
      <c r="U2449" s="6"/>
      <c r="V2449" s="33" t="s">
        <v>35</v>
      </c>
    </row>
    <row r="2450" spans="2:22" ht="21" customHeight="1" outlineLevel="4" x14ac:dyDescent="0.2">
      <c r="B2450" s="69">
        <v>1802</v>
      </c>
      <c r="C2450" s="6" t="s">
        <v>7586</v>
      </c>
      <c r="D2450" s="6" t="s">
        <v>7587</v>
      </c>
      <c r="E2450" s="7" t="s">
        <v>7588</v>
      </c>
      <c r="F2450" s="13"/>
      <c r="G2450" s="14"/>
      <c r="H2450" s="15">
        <v>40</v>
      </c>
      <c r="I2450" s="14"/>
      <c r="J2450" s="15">
        <v>255</v>
      </c>
      <c r="K2450" s="5">
        <v>12</v>
      </c>
      <c r="L2450" s="16">
        <v>32</v>
      </c>
      <c r="M2450" s="12"/>
      <c r="N2450" s="14">
        <f t="shared" si="112"/>
        <v>0</v>
      </c>
      <c r="O2450" s="23">
        <f>0.203*M2450</f>
        <v>0</v>
      </c>
      <c r="P2450" s="24">
        <f>0.00027*M2450</f>
        <v>0</v>
      </c>
      <c r="Q2450" s="25"/>
      <c r="R2450" s="26" t="s">
        <v>7589</v>
      </c>
      <c r="S2450" s="26" t="s">
        <v>29</v>
      </c>
      <c r="T2450" s="6" t="str">
        <f>HYPERLINK("https://kanzpp.ru/api/getInfo/image/bfe56feb-e1e5-11ee-a25a-00155d82e908")</f>
        <v>https://kanzpp.ru/api/getInfo/image/bfe56feb-e1e5-11ee-a25a-00155d82e908</v>
      </c>
      <c r="U2450" s="6"/>
      <c r="V2450" s="33" t="s">
        <v>35</v>
      </c>
    </row>
    <row r="2451" spans="2:22" ht="21" customHeight="1" outlineLevel="4" x14ac:dyDescent="0.2">
      <c r="B2451" s="69">
        <v>1803</v>
      </c>
      <c r="C2451" s="6" t="s">
        <v>7590</v>
      </c>
      <c r="D2451" s="6" t="s">
        <v>7591</v>
      </c>
      <c r="E2451" s="7" t="s">
        <v>7592</v>
      </c>
      <c r="F2451" s="13"/>
      <c r="G2451" s="14"/>
      <c r="H2451" s="15">
        <v>40</v>
      </c>
      <c r="I2451" s="14"/>
      <c r="J2451" s="17">
        <v>1831</v>
      </c>
      <c r="K2451" s="5">
        <v>12</v>
      </c>
      <c r="L2451" s="16">
        <v>32</v>
      </c>
      <c r="M2451" s="12"/>
      <c r="N2451" s="14">
        <f t="shared" si="112"/>
        <v>0</v>
      </c>
      <c r="O2451" s="23">
        <f>0.189*M2451</f>
        <v>0</v>
      </c>
      <c r="P2451" s="24">
        <f>0.00039*M2451</f>
        <v>0</v>
      </c>
      <c r="Q2451" s="25"/>
      <c r="R2451" s="26" t="s">
        <v>7593</v>
      </c>
      <c r="S2451" s="26" t="s">
        <v>29</v>
      </c>
      <c r="T2451" s="6" t="str">
        <f>HYPERLINK("https://kanzpp.ru/api/getInfo/image/e0664c7a-e1e5-11ee-a25a-00155d82e908")</f>
        <v>https://kanzpp.ru/api/getInfo/image/e0664c7a-e1e5-11ee-a25a-00155d82e908</v>
      </c>
      <c r="U2451" s="6"/>
      <c r="V2451" s="33" t="s">
        <v>35</v>
      </c>
    </row>
    <row r="2452" spans="2:22" ht="21" customHeight="1" outlineLevel="4" x14ac:dyDescent="0.2">
      <c r="B2452" s="69">
        <v>1804</v>
      </c>
      <c r="C2452" s="6" t="s">
        <v>7594</v>
      </c>
      <c r="D2452" s="6" t="s">
        <v>7595</v>
      </c>
      <c r="E2452" s="7" t="s">
        <v>7596</v>
      </c>
      <c r="F2452" s="13"/>
      <c r="G2452" s="14"/>
      <c r="H2452" s="15">
        <v>40</v>
      </c>
      <c r="I2452" s="14"/>
      <c r="J2452" s="14" t="s">
        <v>144</v>
      </c>
      <c r="K2452" s="5">
        <v>12</v>
      </c>
      <c r="L2452" s="16">
        <v>32</v>
      </c>
      <c r="M2452" s="12"/>
      <c r="N2452" s="14">
        <f t="shared" si="112"/>
        <v>0</v>
      </c>
      <c r="O2452" s="23">
        <f>0.206*M2452</f>
        <v>0</v>
      </c>
      <c r="P2452" s="31">
        <f>0.0002*M2452</f>
        <v>0</v>
      </c>
      <c r="Q2452" s="25"/>
      <c r="R2452" s="26" t="s">
        <v>7597</v>
      </c>
      <c r="S2452" s="26" t="s">
        <v>29</v>
      </c>
      <c r="T2452" s="6" t="str">
        <f>HYPERLINK("https://kanzpp.ru/api/getInfo/image/e0e75ebd-e1e6-11ee-a25a-00155d82e908")</f>
        <v>https://kanzpp.ru/api/getInfo/image/e0e75ebd-e1e6-11ee-a25a-00155d82e908</v>
      </c>
      <c r="U2452" s="6"/>
      <c r="V2452" s="33" t="s">
        <v>35</v>
      </c>
    </row>
    <row r="2453" spans="2:22" ht="21" customHeight="1" outlineLevel="4" x14ac:dyDescent="0.2">
      <c r="B2453" s="69">
        <v>1805</v>
      </c>
      <c r="C2453" s="6" t="s">
        <v>7598</v>
      </c>
      <c r="D2453" s="6" t="s">
        <v>7599</v>
      </c>
      <c r="E2453" s="7" t="s">
        <v>7600</v>
      </c>
      <c r="F2453" s="13"/>
      <c r="G2453" s="14"/>
      <c r="H2453" s="15">
        <v>40</v>
      </c>
      <c r="I2453" s="14"/>
      <c r="J2453" s="15">
        <v>304</v>
      </c>
      <c r="K2453" s="5">
        <v>12</v>
      </c>
      <c r="L2453" s="16">
        <v>32</v>
      </c>
      <c r="M2453" s="12"/>
      <c r="N2453" s="14">
        <f t="shared" si="112"/>
        <v>0</v>
      </c>
      <c r="O2453" s="23">
        <f>0.197*M2453</f>
        <v>0</v>
      </c>
      <c r="P2453" s="24">
        <f>0.00023*M2453</f>
        <v>0</v>
      </c>
      <c r="Q2453" s="25"/>
      <c r="R2453" s="26" t="s">
        <v>7601</v>
      </c>
      <c r="S2453" s="26" t="s">
        <v>29</v>
      </c>
      <c r="T2453" s="6" t="str">
        <f>HYPERLINK("https://kanzpp.ru/api/getInfo/image/1cd0d5f3-e1e7-11ee-a25a-00155d82e908")</f>
        <v>https://kanzpp.ru/api/getInfo/image/1cd0d5f3-e1e7-11ee-a25a-00155d82e908</v>
      </c>
      <c r="U2453" s="6"/>
      <c r="V2453" s="33" t="s">
        <v>35</v>
      </c>
    </row>
    <row r="2454" spans="2:22" ht="21" customHeight="1" outlineLevel="4" x14ac:dyDescent="0.2">
      <c r="B2454" s="69">
        <v>1806</v>
      </c>
      <c r="C2454" s="6" t="s">
        <v>7602</v>
      </c>
      <c r="D2454" s="6" t="s">
        <v>7603</v>
      </c>
      <c r="E2454" s="7" t="s">
        <v>7604</v>
      </c>
      <c r="F2454" s="13"/>
      <c r="G2454" s="14"/>
      <c r="H2454" s="15">
        <v>40</v>
      </c>
      <c r="I2454" s="14"/>
      <c r="J2454" s="17">
        <v>1831</v>
      </c>
      <c r="K2454" s="5">
        <v>12</v>
      </c>
      <c r="L2454" s="16">
        <v>32</v>
      </c>
      <c r="M2454" s="12"/>
      <c r="N2454" s="14">
        <f t="shared" si="112"/>
        <v>0</v>
      </c>
      <c r="O2454" s="23">
        <f>0.199*M2454</f>
        <v>0</v>
      </c>
      <c r="P2454" s="24">
        <f>0.00016*M2454</f>
        <v>0</v>
      </c>
      <c r="Q2454" s="25"/>
      <c r="R2454" s="26" t="s">
        <v>7605</v>
      </c>
      <c r="S2454" s="26" t="s">
        <v>29</v>
      </c>
      <c r="T2454" s="6" t="str">
        <f>HYPERLINK("https://kanzpp.ru/api/getInfo/image/65dfafb0-e1e8-11ee-a25a-00155d82e908")</f>
        <v>https://kanzpp.ru/api/getInfo/image/65dfafb0-e1e8-11ee-a25a-00155d82e908</v>
      </c>
      <c r="U2454" s="6"/>
      <c r="V2454" s="33" t="s">
        <v>35</v>
      </c>
    </row>
    <row r="2455" spans="2:22" ht="21" customHeight="1" outlineLevel="4" x14ac:dyDescent="0.2">
      <c r="B2455" s="69">
        <v>1807</v>
      </c>
      <c r="C2455" s="6" t="s">
        <v>7606</v>
      </c>
      <c r="D2455" s="6" t="s">
        <v>7607</v>
      </c>
      <c r="E2455" s="7" t="s">
        <v>7608</v>
      </c>
      <c r="F2455" s="13"/>
      <c r="G2455" s="14"/>
      <c r="H2455" s="15">
        <v>40</v>
      </c>
      <c r="I2455" s="14"/>
      <c r="J2455" s="15">
        <v>641</v>
      </c>
      <c r="K2455" s="5">
        <v>12</v>
      </c>
      <c r="L2455" s="16">
        <v>32</v>
      </c>
      <c r="M2455" s="12"/>
      <c r="N2455" s="14">
        <f t="shared" si="112"/>
        <v>0</v>
      </c>
      <c r="O2455" s="23">
        <f>0.206*M2455</f>
        <v>0</v>
      </c>
      <c r="P2455" s="31">
        <f>0.0002*M2455</f>
        <v>0</v>
      </c>
      <c r="Q2455" s="25"/>
      <c r="R2455" s="26" t="s">
        <v>7609</v>
      </c>
      <c r="S2455" s="26" t="s">
        <v>29</v>
      </c>
      <c r="T2455" s="6" t="str">
        <f>HYPERLINK("https://kanzpp.ru/api/getInfo/image/91a3a1fb-e1e8-11ee-a25a-00155d82e908")</f>
        <v>https://kanzpp.ru/api/getInfo/image/91a3a1fb-e1e8-11ee-a25a-00155d82e908</v>
      </c>
      <c r="U2455" s="6"/>
      <c r="V2455" s="33" t="s">
        <v>35</v>
      </c>
    </row>
    <row r="2456" spans="2:22" ht="21" customHeight="1" outlineLevel="4" x14ac:dyDescent="0.2">
      <c r="B2456" s="69">
        <v>1808</v>
      </c>
      <c r="C2456" s="6" t="s">
        <v>7610</v>
      </c>
      <c r="D2456" s="6" t="s">
        <v>7611</v>
      </c>
      <c r="E2456" s="7" t="s">
        <v>7612</v>
      </c>
      <c r="F2456" s="13"/>
      <c r="G2456" s="14"/>
      <c r="H2456" s="15">
        <v>40</v>
      </c>
      <c r="I2456" s="14"/>
      <c r="J2456" s="15">
        <v>862</v>
      </c>
      <c r="K2456" s="5">
        <v>12</v>
      </c>
      <c r="L2456" s="16">
        <v>32</v>
      </c>
      <c r="M2456" s="12"/>
      <c r="N2456" s="14">
        <f t="shared" si="112"/>
        <v>0</v>
      </c>
      <c r="O2456" s="23">
        <f>0.187*M2456</f>
        <v>0</v>
      </c>
      <c r="P2456" s="24">
        <f>0.00033*M2456</f>
        <v>0</v>
      </c>
      <c r="Q2456" s="25"/>
      <c r="R2456" s="26" t="s">
        <v>7613</v>
      </c>
      <c r="S2456" s="26" t="s">
        <v>29</v>
      </c>
      <c r="T2456" s="6" t="str">
        <f>HYPERLINK("https://kanzpp.ru/api/getInfo/image/a46a646b-e1e8-11ee-a25a-00155d82e908")</f>
        <v>https://kanzpp.ru/api/getInfo/image/a46a646b-e1e8-11ee-a25a-00155d82e908</v>
      </c>
      <c r="U2456" s="6"/>
      <c r="V2456" s="33" t="s">
        <v>35</v>
      </c>
    </row>
    <row r="2457" spans="2:22" ht="21" customHeight="1" outlineLevel="4" x14ac:dyDescent="0.2">
      <c r="B2457" s="69">
        <v>1809</v>
      </c>
      <c r="C2457" s="6" t="s">
        <v>7614</v>
      </c>
      <c r="D2457" s="6" t="s">
        <v>7615</v>
      </c>
      <c r="E2457" s="7" t="s">
        <v>7616</v>
      </c>
      <c r="F2457" s="13"/>
      <c r="G2457" s="14"/>
      <c r="H2457" s="15">
        <v>40</v>
      </c>
      <c r="I2457" s="14"/>
      <c r="J2457" s="15">
        <v>12</v>
      </c>
      <c r="K2457" s="5">
        <v>12</v>
      </c>
      <c r="L2457" s="16">
        <v>32</v>
      </c>
      <c r="M2457" s="12"/>
      <c r="N2457" s="14">
        <f t="shared" si="112"/>
        <v>0</v>
      </c>
      <c r="O2457" s="23">
        <f>0.213*M2457</f>
        <v>0</v>
      </c>
      <c r="P2457" s="24">
        <f>0.00023*M2457</f>
        <v>0</v>
      </c>
      <c r="Q2457" s="25"/>
      <c r="R2457" s="26" t="s">
        <v>7617</v>
      </c>
      <c r="S2457" s="26" t="s">
        <v>29</v>
      </c>
      <c r="T2457" s="6" t="str">
        <f>HYPERLINK("https://kanzpp.ru/api/getInfo/image/3d49bca3-e1e9-11ee-a25a-00155d82e908")</f>
        <v>https://kanzpp.ru/api/getInfo/image/3d49bca3-e1e9-11ee-a25a-00155d82e908</v>
      </c>
      <c r="U2457" s="6"/>
      <c r="V2457" s="33" t="s">
        <v>35</v>
      </c>
    </row>
    <row r="2458" spans="2:22" ht="21" customHeight="1" outlineLevel="4" x14ac:dyDescent="0.2">
      <c r="B2458" s="69">
        <v>1810</v>
      </c>
      <c r="C2458" s="6" t="s">
        <v>7618</v>
      </c>
      <c r="D2458" s="6" t="s">
        <v>7619</v>
      </c>
      <c r="E2458" s="7" t="s">
        <v>7620</v>
      </c>
      <c r="F2458" s="13"/>
      <c r="G2458" s="14"/>
      <c r="H2458" s="15">
        <v>40</v>
      </c>
      <c r="I2458" s="14"/>
      <c r="J2458" s="17">
        <v>1112</v>
      </c>
      <c r="K2458" s="5">
        <v>12</v>
      </c>
      <c r="L2458" s="16">
        <v>32</v>
      </c>
      <c r="M2458" s="12"/>
      <c r="N2458" s="14">
        <f t="shared" si="112"/>
        <v>0</v>
      </c>
      <c r="O2458" s="23">
        <f>0.188*M2458</f>
        <v>0</v>
      </c>
      <c r="P2458" s="24">
        <f>0.00035*M2458</f>
        <v>0</v>
      </c>
      <c r="Q2458" s="25"/>
      <c r="R2458" s="26" t="s">
        <v>7621</v>
      </c>
      <c r="S2458" s="26" t="s">
        <v>29</v>
      </c>
      <c r="T2458" s="6" t="str">
        <f>HYPERLINK("https://kanzpp.ru/api/getInfo/image/932d2ca5-e1e9-11ee-a25a-00155d82e908")</f>
        <v>https://kanzpp.ru/api/getInfo/image/932d2ca5-e1e9-11ee-a25a-00155d82e908</v>
      </c>
      <c r="U2458" s="6"/>
      <c r="V2458" s="33" t="s">
        <v>35</v>
      </c>
    </row>
    <row r="2459" spans="2:22" ht="21" customHeight="1" outlineLevel="4" x14ac:dyDescent="0.2">
      <c r="B2459" s="69">
        <v>1811</v>
      </c>
      <c r="C2459" s="6" t="s">
        <v>7622</v>
      </c>
      <c r="D2459" s="6" t="s">
        <v>7623</v>
      </c>
      <c r="E2459" s="7" t="s">
        <v>7624</v>
      </c>
      <c r="F2459" s="13"/>
      <c r="G2459" s="14"/>
      <c r="H2459" s="15">
        <v>40</v>
      </c>
      <c r="I2459" s="14"/>
      <c r="J2459" s="15">
        <v>12</v>
      </c>
      <c r="K2459" s="5">
        <v>12</v>
      </c>
      <c r="L2459" s="16">
        <v>32</v>
      </c>
      <c r="M2459" s="12"/>
      <c r="N2459" s="14">
        <f t="shared" si="112"/>
        <v>0</v>
      </c>
      <c r="O2459" s="23">
        <f>0.197*M2459</f>
        <v>0</v>
      </c>
      <c r="P2459" s="24">
        <f>0.00019*M2459</f>
        <v>0</v>
      </c>
      <c r="Q2459" s="25"/>
      <c r="R2459" s="26" t="s">
        <v>7625</v>
      </c>
      <c r="S2459" s="26" t="s">
        <v>29</v>
      </c>
      <c r="T2459" s="6" t="str">
        <f>HYPERLINK("https://kanzpp.ru/api/getInfo/image/b2e5de15-e1e9-11ee-a25a-00155d82e908")</f>
        <v>https://kanzpp.ru/api/getInfo/image/b2e5de15-e1e9-11ee-a25a-00155d82e908</v>
      </c>
      <c r="U2459" s="6"/>
      <c r="V2459" s="33" t="s">
        <v>35</v>
      </c>
    </row>
    <row r="2460" spans="2:22" ht="21" customHeight="1" outlineLevel="4" x14ac:dyDescent="0.2">
      <c r="B2460" s="69">
        <v>1812</v>
      </c>
      <c r="C2460" s="6" t="s">
        <v>7626</v>
      </c>
      <c r="D2460" s="6" t="s">
        <v>7627</v>
      </c>
      <c r="E2460" s="7" t="s">
        <v>7628</v>
      </c>
      <c r="F2460" s="13"/>
      <c r="G2460" s="14"/>
      <c r="H2460" s="15">
        <v>40</v>
      </c>
      <c r="I2460" s="14"/>
      <c r="J2460" s="15">
        <v>172</v>
      </c>
      <c r="K2460" s="5">
        <v>12</v>
      </c>
      <c r="L2460" s="16">
        <v>32</v>
      </c>
      <c r="M2460" s="12"/>
      <c r="N2460" s="14">
        <f t="shared" si="112"/>
        <v>0</v>
      </c>
      <c r="O2460" s="23">
        <f>0.199*M2460</f>
        <v>0</v>
      </c>
      <c r="P2460" s="24">
        <f>0.00023*M2460</f>
        <v>0</v>
      </c>
      <c r="Q2460" s="25"/>
      <c r="R2460" s="26" t="s">
        <v>7629</v>
      </c>
      <c r="S2460" s="26" t="s">
        <v>29</v>
      </c>
      <c r="T2460" s="6" t="str">
        <f>HYPERLINK("https://kanzpp.ru/api/getInfo/image/cda09ca6-e1e9-11ee-a25a-00155d82e908")</f>
        <v>https://kanzpp.ru/api/getInfo/image/cda09ca6-e1e9-11ee-a25a-00155d82e908</v>
      </c>
      <c r="U2460" s="6"/>
      <c r="V2460" s="33" t="s">
        <v>35</v>
      </c>
    </row>
    <row r="2461" spans="2:22" ht="21" customHeight="1" outlineLevel="4" x14ac:dyDescent="0.2">
      <c r="B2461" s="69">
        <v>1813</v>
      </c>
      <c r="C2461" s="6" t="s">
        <v>7630</v>
      </c>
      <c r="D2461" s="6" t="s">
        <v>7631</v>
      </c>
      <c r="E2461" s="7" t="s">
        <v>7632</v>
      </c>
      <c r="F2461" s="13"/>
      <c r="G2461" s="14"/>
      <c r="H2461" s="15">
        <v>40</v>
      </c>
      <c r="I2461" s="14"/>
      <c r="J2461" s="17">
        <v>1396</v>
      </c>
      <c r="K2461" s="5">
        <v>12</v>
      </c>
      <c r="L2461" s="16">
        <v>32</v>
      </c>
      <c r="M2461" s="12"/>
      <c r="N2461" s="14">
        <f t="shared" si="112"/>
        <v>0</v>
      </c>
      <c r="O2461" s="23">
        <f>0.209*M2461</f>
        <v>0</v>
      </c>
      <c r="P2461" s="24">
        <f>0.00023*M2461</f>
        <v>0</v>
      </c>
      <c r="Q2461" s="25"/>
      <c r="R2461" s="26" t="s">
        <v>7633</v>
      </c>
      <c r="S2461" s="26" t="s">
        <v>29</v>
      </c>
      <c r="T2461" s="6" t="str">
        <f>HYPERLINK("https://kanzpp.ru/api/getInfo/image/e035278f-e1e9-11ee-a25a-00155d82e908")</f>
        <v>https://kanzpp.ru/api/getInfo/image/e035278f-e1e9-11ee-a25a-00155d82e908</v>
      </c>
      <c r="U2461" s="6"/>
      <c r="V2461" s="33" t="s">
        <v>35</v>
      </c>
    </row>
    <row r="2462" spans="2:22" ht="21" customHeight="1" outlineLevel="4" x14ac:dyDescent="0.2">
      <c r="B2462" s="69">
        <v>1814</v>
      </c>
      <c r="C2462" s="6" t="s">
        <v>7634</v>
      </c>
      <c r="D2462" s="6" t="s">
        <v>7635</v>
      </c>
      <c r="E2462" s="7" t="s">
        <v>7636</v>
      </c>
      <c r="F2462" s="13"/>
      <c r="G2462" s="14"/>
      <c r="H2462" s="15">
        <v>40</v>
      </c>
      <c r="I2462" s="14"/>
      <c r="J2462" s="15">
        <v>5</v>
      </c>
      <c r="K2462" s="5">
        <v>5</v>
      </c>
      <c r="L2462" s="16">
        <v>32</v>
      </c>
      <c r="M2462" s="12"/>
      <c r="N2462" s="14">
        <f t="shared" si="112"/>
        <v>0</v>
      </c>
      <c r="O2462" s="23">
        <f>0.201*M2462</f>
        <v>0</v>
      </c>
      <c r="P2462" s="24">
        <f>0.00023*M2462</f>
        <v>0</v>
      </c>
      <c r="Q2462" s="25"/>
      <c r="R2462" s="26" t="s">
        <v>7637</v>
      </c>
      <c r="S2462" s="26" t="s">
        <v>29</v>
      </c>
      <c r="T2462" s="6" t="str">
        <f>HYPERLINK("https://kanzpp.ru/api/getInfo/image/1bf42b01-e1ea-11ee-a25a-00155d82e908")</f>
        <v>https://kanzpp.ru/api/getInfo/image/1bf42b01-e1ea-11ee-a25a-00155d82e908</v>
      </c>
      <c r="U2462" s="6"/>
      <c r="V2462" s="33" t="s">
        <v>35</v>
      </c>
    </row>
    <row r="2463" spans="2:22" ht="21" customHeight="1" outlineLevel="4" x14ac:dyDescent="0.2">
      <c r="B2463" s="69">
        <v>1815</v>
      </c>
      <c r="C2463" s="6" t="s">
        <v>7638</v>
      </c>
      <c r="D2463" s="6" t="s">
        <v>7639</v>
      </c>
      <c r="E2463" s="7" t="s">
        <v>7640</v>
      </c>
      <c r="F2463" s="13"/>
      <c r="G2463" s="14"/>
      <c r="H2463" s="15">
        <v>40</v>
      </c>
      <c r="I2463" s="14"/>
      <c r="J2463" s="15">
        <v>224</v>
      </c>
      <c r="K2463" s="5">
        <v>10</v>
      </c>
      <c r="L2463" s="16">
        <v>32</v>
      </c>
      <c r="M2463" s="12"/>
      <c r="N2463" s="14">
        <f t="shared" si="112"/>
        <v>0</v>
      </c>
      <c r="O2463" s="23">
        <f>0.197*M2463</f>
        <v>0</v>
      </c>
      <c r="P2463" s="24">
        <f>0.00023*M2463</f>
        <v>0</v>
      </c>
      <c r="Q2463" s="25"/>
      <c r="R2463" s="26" t="s">
        <v>7641</v>
      </c>
      <c r="S2463" s="26" t="s">
        <v>29</v>
      </c>
      <c r="T2463" s="6" t="str">
        <f>HYPERLINK("https://kanzpp.ru/api/getInfo/image/797fd6d3-e1fc-11ee-a25a-00155d82e908")</f>
        <v>https://kanzpp.ru/api/getInfo/image/797fd6d3-e1fc-11ee-a25a-00155d82e908</v>
      </c>
      <c r="U2463" s="6"/>
      <c r="V2463" s="33" t="s">
        <v>35</v>
      </c>
    </row>
    <row r="2464" spans="2:22" ht="22.95" customHeight="1" outlineLevel="3" x14ac:dyDescent="0.2">
      <c r="B2464" s="81" t="s">
        <v>7642</v>
      </c>
      <c r="C2464" s="81"/>
      <c r="D2464" s="81"/>
      <c r="L2464">
        <v>0</v>
      </c>
    </row>
    <row r="2465" spans="2:22" ht="21" customHeight="1" outlineLevel="4" x14ac:dyDescent="0.2">
      <c r="B2465" s="69">
        <v>1816</v>
      </c>
      <c r="C2465" s="6" t="s">
        <v>7643</v>
      </c>
      <c r="D2465" s="6" t="s">
        <v>7644</v>
      </c>
      <c r="E2465" s="7" t="s">
        <v>7645</v>
      </c>
      <c r="F2465" s="13"/>
      <c r="G2465" s="14"/>
      <c r="H2465" s="15">
        <v>40</v>
      </c>
      <c r="I2465" s="14"/>
      <c r="J2465" s="15">
        <v>594</v>
      </c>
      <c r="K2465" s="5">
        <v>12</v>
      </c>
      <c r="L2465" s="16">
        <v>32</v>
      </c>
      <c r="M2465" s="12"/>
      <c r="N2465" s="14">
        <f t="shared" ref="N2465:N2474" si="113">L2465*M2465</f>
        <v>0</v>
      </c>
      <c r="O2465" s="23">
        <f>0.199*M2465</f>
        <v>0</v>
      </c>
      <c r="P2465" s="24">
        <f>0.00023*M2465</f>
        <v>0</v>
      </c>
      <c r="Q2465" s="25"/>
      <c r="R2465" s="26" t="s">
        <v>7646</v>
      </c>
      <c r="S2465" s="26" t="s">
        <v>29</v>
      </c>
      <c r="T2465" s="6" t="str">
        <f>HYPERLINK("https://kanzpp.ru/api/getInfo/image/6097d8af-e1ea-11ee-a25a-00155d82e908")</f>
        <v>https://kanzpp.ru/api/getInfo/image/6097d8af-e1ea-11ee-a25a-00155d82e908</v>
      </c>
      <c r="U2465" s="6"/>
      <c r="V2465" s="33" t="s">
        <v>35</v>
      </c>
    </row>
    <row r="2466" spans="2:22" ht="21" customHeight="1" outlineLevel="4" x14ac:dyDescent="0.2">
      <c r="B2466" s="69">
        <v>1817</v>
      </c>
      <c r="C2466" s="6" t="s">
        <v>7647</v>
      </c>
      <c r="D2466" s="6" t="s">
        <v>7648</v>
      </c>
      <c r="E2466" s="7" t="s">
        <v>7649</v>
      </c>
      <c r="F2466" s="13"/>
      <c r="G2466" s="14"/>
      <c r="H2466" s="15">
        <v>40</v>
      </c>
      <c r="I2466" s="14"/>
      <c r="J2466" s="15">
        <v>12</v>
      </c>
      <c r="K2466" s="5">
        <v>12</v>
      </c>
      <c r="L2466" s="16">
        <v>32</v>
      </c>
      <c r="M2466" s="12"/>
      <c r="N2466" s="14">
        <f t="shared" si="113"/>
        <v>0</v>
      </c>
      <c r="O2466" s="23">
        <f>0.213*M2466</f>
        <v>0</v>
      </c>
      <c r="P2466" s="24">
        <f>0.00023*M2466</f>
        <v>0</v>
      </c>
      <c r="Q2466" s="25"/>
      <c r="R2466" s="26" t="s">
        <v>7650</v>
      </c>
      <c r="S2466" s="26" t="s">
        <v>29</v>
      </c>
      <c r="T2466" s="6" t="str">
        <f>HYPERLINK("https://kanzpp.ru/api/getInfo/image/487697c6-e1eb-11ee-a25a-00155d82e908")</f>
        <v>https://kanzpp.ru/api/getInfo/image/487697c6-e1eb-11ee-a25a-00155d82e908</v>
      </c>
      <c r="U2466" s="6"/>
      <c r="V2466" s="33" t="s">
        <v>35</v>
      </c>
    </row>
    <row r="2467" spans="2:22" ht="21" customHeight="1" outlineLevel="4" x14ac:dyDescent="0.2">
      <c r="B2467" s="69">
        <v>1818</v>
      </c>
      <c r="C2467" s="6" t="s">
        <v>7651</v>
      </c>
      <c r="D2467" s="6" t="s">
        <v>7652</v>
      </c>
      <c r="E2467" s="7" t="s">
        <v>7653</v>
      </c>
      <c r="F2467" s="13"/>
      <c r="G2467" s="14"/>
      <c r="H2467" s="15">
        <v>40</v>
      </c>
      <c r="I2467" s="14"/>
      <c r="J2467" s="15">
        <v>497</v>
      </c>
      <c r="K2467" s="5">
        <v>12</v>
      </c>
      <c r="L2467" s="16">
        <v>32</v>
      </c>
      <c r="M2467" s="12"/>
      <c r="N2467" s="14">
        <f t="shared" si="113"/>
        <v>0</v>
      </c>
      <c r="O2467" s="23">
        <f>0.198*M2467</f>
        <v>0</v>
      </c>
      <c r="P2467" s="24">
        <f>0.00023*M2467</f>
        <v>0</v>
      </c>
      <c r="Q2467" s="25"/>
      <c r="R2467" s="26" t="s">
        <v>7654</v>
      </c>
      <c r="S2467" s="26" t="s">
        <v>29</v>
      </c>
      <c r="T2467" s="6" t="str">
        <f>HYPERLINK("https://kanzpp.ru/api/getInfo/image/50bb40a3-e1f3-11ee-a25a-00155d82e908")</f>
        <v>https://kanzpp.ru/api/getInfo/image/50bb40a3-e1f3-11ee-a25a-00155d82e908</v>
      </c>
      <c r="U2467" s="6"/>
      <c r="V2467" s="33" t="s">
        <v>35</v>
      </c>
    </row>
    <row r="2468" spans="2:22" ht="21" customHeight="1" outlineLevel="4" x14ac:dyDescent="0.2">
      <c r="B2468" s="69">
        <v>1819</v>
      </c>
      <c r="C2468" s="6" t="s">
        <v>7655</v>
      </c>
      <c r="D2468" s="6" t="s">
        <v>7656</v>
      </c>
      <c r="E2468" s="7" t="s">
        <v>7657</v>
      </c>
      <c r="F2468" s="13"/>
      <c r="G2468" s="14"/>
      <c r="H2468" s="15">
        <v>40</v>
      </c>
      <c r="I2468" s="14"/>
      <c r="J2468" s="15">
        <v>12</v>
      </c>
      <c r="K2468" s="5">
        <v>12</v>
      </c>
      <c r="L2468" s="16">
        <v>32</v>
      </c>
      <c r="M2468" s="12"/>
      <c r="N2468" s="14">
        <f t="shared" si="113"/>
        <v>0</v>
      </c>
      <c r="O2468" s="23">
        <f>0.189*M2468</f>
        <v>0</v>
      </c>
      <c r="P2468" s="24">
        <f>0.00016*M2468</f>
        <v>0</v>
      </c>
      <c r="Q2468" s="25"/>
      <c r="R2468" s="26" t="s">
        <v>7658</v>
      </c>
      <c r="S2468" s="26" t="s">
        <v>29</v>
      </c>
      <c r="T2468" s="6" t="str">
        <f>HYPERLINK("https://kanzpp.ru/api/getInfo/image/c937c909-e1f3-11ee-a25a-00155d82e908")</f>
        <v>https://kanzpp.ru/api/getInfo/image/c937c909-e1f3-11ee-a25a-00155d82e908</v>
      </c>
      <c r="U2468" s="6"/>
      <c r="V2468" s="33" t="s">
        <v>35</v>
      </c>
    </row>
    <row r="2469" spans="2:22" ht="21" customHeight="1" outlineLevel="4" x14ac:dyDescent="0.2">
      <c r="B2469" s="69">
        <v>1820</v>
      </c>
      <c r="C2469" s="6" t="s">
        <v>7659</v>
      </c>
      <c r="D2469" s="6" t="s">
        <v>7660</v>
      </c>
      <c r="E2469" s="7" t="s">
        <v>7661</v>
      </c>
      <c r="F2469" s="13"/>
      <c r="G2469" s="14"/>
      <c r="H2469" s="15">
        <v>40</v>
      </c>
      <c r="I2469" s="14"/>
      <c r="J2469" s="17">
        <v>1756</v>
      </c>
      <c r="K2469" s="5">
        <v>12</v>
      </c>
      <c r="L2469" s="16">
        <v>32</v>
      </c>
      <c r="M2469" s="12"/>
      <c r="N2469" s="14">
        <f t="shared" si="113"/>
        <v>0</v>
      </c>
      <c r="O2469" s="23">
        <f>0.206*M2469</f>
        <v>0</v>
      </c>
      <c r="P2469" s="31">
        <f>0.0002*M2469</f>
        <v>0</v>
      </c>
      <c r="Q2469" s="25"/>
      <c r="R2469" s="26" t="s">
        <v>7662</v>
      </c>
      <c r="S2469" s="26" t="s">
        <v>29</v>
      </c>
      <c r="T2469" s="6" t="str">
        <f>HYPERLINK("https://kanzpp.ru/api/getInfo/image/ed36c7d4-e1f3-11ee-a25a-00155d82e908")</f>
        <v>https://kanzpp.ru/api/getInfo/image/ed36c7d4-e1f3-11ee-a25a-00155d82e908</v>
      </c>
      <c r="U2469" s="6"/>
      <c r="V2469" s="33" t="s">
        <v>35</v>
      </c>
    </row>
    <row r="2470" spans="2:22" ht="21" customHeight="1" outlineLevel="4" x14ac:dyDescent="0.2">
      <c r="B2470" s="69">
        <v>1821</v>
      </c>
      <c r="C2470" s="6" t="s">
        <v>7663</v>
      </c>
      <c r="D2470" s="6" t="s">
        <v>7664</v>
      </c>
      <c r="E2470" s="7" t="s">
        <v>7665</v>
      </c>
      <c r="F2470" s="13"/>
      <c r="G2470" s="14"/>
      <c r="H2470" s="15">
        <v>40</v>
      </c>
      <c r="I2470" s="14"/>
      <c r="J2470" s="15">
        <v>791</v>
      </c>
      <c r="K2470" s="5">
        <v>12</v>
      </c>
      <c r="L2470" s="16">
        <v>32</v>
      </c>
      <c r="M2470" s="12"/>
      <c r="N2470" s="14">
        <f t="shared" si="113"/>
        <v>0</v>
      </c>
      <c r="O2470" s="27">
        <f>0.2*M2470</f>
        <v>0</v>
      </c>
      <c r="P2470" s="24">
        <f>0.00027*M2470</f>
        <v>0</v>
      </c>
      <c r="Q2470" s="25"/>
      <c r="R2470" s="26" t="s">
        <v>7666</v>
      </c>
      <c r="S2470" s="26" t="s">
        <v>29</v>
      </c>
      <c r="T2470" s="6" t="str">
        <f>HYPERLINK("https://kanzpp.ru/api/getInfo/image/4a757745-e1f4-11ee-a25a-00155d82e908")</f>
        <v>https://kanzpp.ru/api/getInfo/image/4a757745-e1f4-11ee-a25a-00155d82e908</v>
      </c>
      <c r="U2470" s="6"/>
      <c r="V2470" s="33" t="s">
        <v>35</v>
      </c>
    </row>
    <row r="2471" spans="2:22" ht="21" customHeight="1" outlineLevel="4" x14ac:dyDescent="0.2">
      <c r="B2471" s="69">
        <v>1822</v>
      </c>
      <c r="C2471" s="6" t="s">
        <v>7667</v>
      </c>
      <c r="D2471" s="6" t="s">
        <v>7668</v>
      </c>
      <c r="E2471" s="7" t="s">
        <v>7669</v>
      </c>
      <c r="F2471" s="13"/>
      <c r="G2471" s="14"/>
      <c r="H2471" s="15">
        <v>40</v>
      </c>
      <c r="I2471" s="14"/>
      <c r="J2471" s="15">
        <v>577</v>
      </c>
      <c r="K2471" s="5">
        <v>12</v>
      </c>
      <c r="L2471" s="16">
        <v>32</v>
      </c>
      <c r="M2471" s="12"/>
      <c r="N2471" s="14">
        <f t="shared" si="113"/>
        <v>0</v>
      </c>
      <c r="O2471" s="28">
        <f>0.19*M2471</f>
        <v>0</v>
      </c>
      <c r="P2471" s="24">
        <f>0.00038*M2471</f>
        <v>0</v>
      </c>
      <c r="Q2471" s="25"/>
      <c r="R2471" s="26" t="s">
        <v>7670</v>
      </c>
      <c r="S2471" s="26" t="s">
        <v>29</v>
      </c>
      <c r="T2471" s="6" t="str">
        <f>HYPERLINK("https://kanzpp.ru/api/getInfo/image/d3e54405-e1f7-11ee-a25a-00155d82e908")</f>
        <v>https://kanzpp.ru/api/getInfo/image/d3e54405-e1f7-11ee-a25a-00155d82e908</v>
      </c>
      <c r="U2471" s="6"/>
      <c r="V2471" s="33" t="s">
        <v>35</v>
      </c>
    </row>
    <row r="2472" spans="2:22" ht="21" customHeight="1" outlineLevel="4" x14ac:dyDescent="0.2">
      <c r="B2472" s="69">
        <v>1823</v>
      </c>
      <c r="C2472" s="6" t="s">
        <v>7671</v>
      </c>
      <c r="D2472" s="6" t="s">
        <v>7672</v>
      </c>
      <c r="E2472" s="7" t="s">
        <v>7673</v>
      </c>
      <c r="F2472" s="13"/>
      <c r="G2472" s="14"/>
      <c r="H2472" s="15">
        <v>40</v>
      </c>
      <c r="I2472" s="14"/>
      <c r="J2472" s="15">
        <v>651</v>
      </c>
      <c r="K2472" s="5">
        <v>12</v>
      </c>
      <c r="L2472" s="16">
        <v>32</v>
      </c>
      <c r="M2472" s="12"/>
      <c r="N2472" s="14">
        <f t="shared" si="113"/>
        <v>0</v>
      </c>
      <c r="O2472" s="23">
        <f>0.199*M2472</f>
        <v>0</v>
      </c>
      <c r="P2472" s="31">
        <f>0.0002*M2472</f>
        <v>0</v>
      </c>
      <c r="Q2472" s="25"/>
      <c r="R2472" s="26" t="s">
        <v>7674</v>
      </c>
      <c r="S2472" s="26" t="s">
        <v>29</v>
      </c>
      <c r="T2472" s="6" t="str">
        <f>HYPERLINK("https://kanzpp.ru/api/getInfo/image/6da3a830-e1f8-11ee-a25a-00155d82e908")</f>
        <v>https://kanzpp.ru/api/getInfo/image/6da3a830-e1f8-11ee-a25a-00155d82e908</v>
      </c>
      <c r="U2472" s="6"/>
      <c r="V2472" s="33" t="s">
        <v>35</v>
      </c>
    </row>
    <row r="2473" spans="2:22" ht="21" customHeight="1" outlineLevel="4" x14ac:dyDescent="0.2">
      <c r="B2473" s="69">
        <v>1824</v>
      </c>
      <c r="C2473" s="6" t="s">
        <v>7675</v>
      </c>
      <c r="D2473" s="6" t="s">
        <v>7676</v>
      </c>
      <c r="E2473" s="7" t="s">
        <v>7677</v>
      </c>
      <c r="F2473" s="13"/>
      <c r="G2473" s="14"/>
      <c r="H2473" s="15">
        <v>40</v>
      </c>
      <c r="I2473" s="14"/>
      <c r="J2473" s="15">
        <v>587</v>
      </c>
      <c r="K2473" s="5">
        <v>12</v>
      </c>
      <c r="L2473" s="16">
        <v>32</v>
      </c>
      <c r="M2473" s="12"/>
      <c r="N2473" s="14">
        <f t="shared" si="113"/>
        <v>0</v>
      </c>
      <c r="O2473" s="23">
        <f>0.193*M2473</f>
        <v>0</v>
      </c>
      <c r="P2473" s="24">
        <f>0.00023*M2473</f>
        <v>0</v>
      </c>
      <c r="Q2473" s="25"/>
      <c r="R2473" s="26" t="s">
        <v>7678</v>
      </c>
      <c r="S2473" s="26" t="s">
        <v>29</v>
      </c>
      <c r="T2473" s="6" t="str">
        <f>HYPERLINK("https://kanzpp.ru/api/getInfo/image/84159a3e-e1f8-11ee-a25a-00155d82e908")</f>
        <v>https://kanzpp.ru/api/getInfo/image/84159a3e-e1f8-11ee-a25a-00155d82e908</v>
      </c>
      <c r="U2473" s="6"/>
      <c r="V2473" s="33" t="s">
        <v>35</v>
      </c>
    </row>
    <row r="2474" spans="2:22" ht="21" customHeight="1" outlineLevel="4" x14ac:dyDescent="0.2">
      <c r="B2474" s="69">
        <v>1825</v>
      </c>
      <c r="C2474" s="6" t="s">
        <v>7679</v>
      </c>
      <c r="D2474" s="6" t="s">
        <v>7680</v>
      </c>
      <c r="E2474" s="7" t="s">
        <v>7681</v>
      </c>
      <c r="F2474" s="13"/>
      <c r="G2474" s="14"/>
      <c r="H2474" s="15">
        <v>40</v>
      </c>
      <c r="I2474" s="14"/>
      <c r="J2474" s="15">
        <v>420</v>
      </c>
      <c r="K2474" s="5">
        <v>12</v>
      </c>
      <c r="L2474" s="16">
        <v>32</v>
      </c>
      <c r="M2474" s="12"/>
      <c r="N2474" s="14">
        <f t="shared" si="113"/>
        <v>0</v>
      </c>
      <c r="O2474" s="27">
        <f>0.2*M2474</f>
        <v>0</v>
      </c>
      <c r="P2474" s="24">
        <f>0.00019*M2474</f>
        <v>0</v>
      </c>
      <c r="Q2474" s="25"/>
      <c r="R2474" s="26" t="s">
        <v>7682</v>
      </c>
      <c r="S2474" s="26" t="s">
        <v>29</v>
      </c>
      <c r="T2474" s="6" t="str">
        <f>HYPERLINK("https://kanzpp.ru/api/getInfo/image/146ec94a-e1f9-11ee-a25a-00155d82e908")</f>
        <v>https://kanzpp.ru/api/getInfo/image/146ec94a-e1f9-11ee-a25a-00155d82e908</v>
      </c>
      <c r="U2474" s="6"/>
      <c r="V2474" s="33" t="s">
        <v>35</v>
      </c>
    </row>
    <row r="2475" spans="2:22" ht="22.95" customHeight="1" outlineLevel="2" x14ac:dyDescent="0.2">
      <c r="B2475" s="80" t="s">
        <v>7683</v>
      </c>
      <c r="C2475" s="80"/>
      <c r="D2475" s="80"/>
      <c r="L2475">
        <v>0</v>
      </c>
    </row>
    <row r="2476" spans="2:22" ht="22.95" customHeight="1" outlineLevel="3" x14ac:dyDescent="0.2">
      <c r="B2476" s="81" t="s">
        <v>7684</v>
      </c>
      <c r="C2476" s="81"/>
      <c r="D2476" s="81"/>
      <c r="L2476">
        <v>0</v>
      </c>
    </row>
    <row r="2477" spans="2:22" ht="21" customHeight="1" outlineLevel="4" x14ac:dyDescent="0.2">
      <c r="B2477" s="70">
        <v>1826</v>
      </c>
      <c r="C2477" s="3" t="s">
        <v>7685</v>
      </c>
      <c r="D2477" s="3" t="s">
        <v>7686</v>
      </c>
      <c r="E2477" s="4" t="s">
        <v>7687</v>
      </c>
      <c r="F2477" s="8"/>
      <c r="G2477" s="9"/>
      <c r="H2477" s="9"/>
      <c r="I2477" s="10">
        <v>40</v>
      </c>
      <c r="J2477" s="10">
        <v>71</v>
      </c>
      <c r="K2477" s="2">
        <v>40</v>
      </c>
      <c r="L2477" s="18">
        <v>13.626666666666667</v>
      </c>
      <c r="M2477" s="12"/>
      <c r="N2477" s="9">
        <f>L2477*M2477</f>
        <v>0</v>
      </c>
      <c r="O2477" s="29">
        <f>0.102*M2477</f>
        <v>0</v>
      </c>
      <c r="P2477" s="30">
        <f>0.00014*M2477</f>
        <v>0</v>
      </c>
      <c r="Q2477" s="21"/>
      <c r="R2477" s="22" t="s">
        <v>7688</v>
      </c>
      <c r="S2477" s="22" t="s">
        <v>29</v>
      </c>
      <c r="T2477" s="3" t="str">
        <f>HYPERLINK("https://kanzpp.ru/api/getInfo/image/da7ee165-187f-11ed-a215-ac1f6b442185")</f>
        <v>https://kanzpp.ru/api/getInfo/image/da7ee165-187f-11ed-a215-ac1f6b442185</v>
      </c>
      <c r="U2477" s="3"/>
      <c r="V2477" s="32" t="s">
        <v>30</v>
      </c>
    </row>
    <row r="2478" spans="2:22" ht="21" customHeight="1" outlineLevel="4" x14ac:dyDescent="0.2">
      <c r="B2478" s="71">
        <v>1827</v>
      </c>
      <c r="C2478" s="37" t="s">
        <v>7689</v>
      </c>
      <c r="D2478" s="37" t="s">
        <v>7690</v>
      </c>
      <c r="E2478" s="38" t="s">
        <v>7691</v>
      </c>
      <c r="F2478" s="39"/>
      <c r="G2478" s="40"/>
      <c r="H2478" s="40"/>
      <c r="I2478" s="41">
        <v>40</v>
      </c>
      <c r="J2478" s="40" t="s">
        <v>144</v>
      </c>
      <c r="K2478" s="36">
        <v>40</v>
      </c>
      <c r="L2478" s="42">
        <f>(31.54*(1-O3/100))/0.75</f>
        <v>42.053333333333335</v>
      </c>
      <c r="M2478" s="12"/>
      <c r="N2478" s="40">
        <f>L2478*M2478</f>
        <v>0</v>
      </c>
      <c r="O2478" s="43">
        <f>0.093*M2478</f>
        <v>0</v>
      </c>
      <c r="P2478" s="47">
        <f>0.00034*M2478</f>
        <v>0</v>
      </c>
      <c r="Q2478" s="44"/>
      <c r="R2478" s="45" t="s">
        <v>7692</v>
      </c>
      <c r="S2478" s="45" t="s">
        <v>29</v>
      </c>
      <c r="T2478" s="37" t="str">
        <f>HYPERLINK("https://kanzpp.ru/api/getInfo/image/a09c826f-686b-11e2-8ed0-003048670413")</f>
        <v>https://kanzpp.ru/api/getInfo/image/a09c826f-686b-11e2-8ed0-003048670413</v>
      </c>
      <c r="U2478" s="37"/>
    </row>
    <row r="2479" spans="2:22" ht="21" customHeight="1" outlineLevel="4" x14ac:dyDescent="0.2">
      <c r="B2479" s="69">
        <v>1828</v>
      </c>
      <c r="C2479" s="6" t="s">
        <v>7693</v>
      </c>
      <c r="D2479" s="6" t="s">
        <v>7694</v>
      </c>
      <c r="E2479" s="7" t="s">
        <v>7695</v>
      </c>
      <c r="F2479" s="13"/>
      <c r="G2479" s="14"/>
      <c r="H2479" s="14"/>
      <c r="I2479" s="15">
        <v>40</v>
      </c>
      <c r="J2479" s="14" t="s">
        <v>144</v>
      </c>
      <c r="K2479" s="5">
        <v>40</v>
      </c>
      <c r="L2479" s="16">
        <v>13.200000000000001</v>
      </c>
      <c r="M2479" s="12"/>
      <c r="N2479" s="14">
        <f>L2479*M2479</f>
        <v>0</v>
      </c>
      <c r="O2479" s="28">
        <f>0.09*M2479</f>
        <v>0</v>
      </c>
      <c r="P2479" s="24">
        <f>0.00035*M2479</f>
        <v>0</v>
      </c>
      <c r="Q2479" s="25"/>
      <c r="R2479" s="26" t="s">
        <v>7696</v>
      </c>
      <c r="S2479" s="26" t="s">
        <v>29</v>
      </c>
      <c r="T2479" s="6" t="str">
        <f>HYPERLINK("https://kanzpp.ru/api/getInfo/image/4f1552a5-6aaa-11ef-a265-00155d82e908")</f>
        <v>https://kanzpp.ru/api/getInfo/image/4f1552a5-6aaa-11ef-a265-00155d82e908</v>
      </c>
      <c r="U2479" s="6"/>
      <c r="V2479" s="33" t="s">
        <v>35</v>
      </c>
    </row>
    <row r="2480" spans="2:22" ht="21" customHeight="1" outlineLevel="4" x14ac:dyDescent="0.2">
      <c r="B2480" s="69">
        <v>1829</v>
      </c>
      <c r="C2480" s="6" t="s">
        <v>7697</v>
      </c>
      <c r="D2480" s="6" t="s">
        <v>7698</v>
      </c>
      <c r="E2480" s="7" t="s">
        <v>7699</v>
      </c>
      <c r="F2480" s="13"/>
      <c r="G2480" s="14"/>
      <c r="H2480" s="14"/>
      <c r="I2480" s="15">
        <v>40</v>
      </c>
      <c r="J2480" s="15">
        <v>223</v>
      </c>
      <c r="K2480" s="5">
        <v>40</v>
      </c>
      <c r="L2480" s="16">
        <v>13.200000000000001</v>
      </c>
      <c r="M2480" s="12"/>
      <c r="N2480" s="14">
        <f>L2480*M2480</f>
        <v>0</v>
      </c>
      <c r="O2480" s="28">
        <f>0.09*M2480</f>
        <v>0</v>
      </c>
      <c r="P2480" s="24">
        <f>0.00035*M2480</f>
        <v>0</v>
      </c>
      <c r="Q2480" s="25"/>
      <c r="R2480" s="26" t="s">
        <v>7700</v>
      </c>
      <c r="S2480" s="26" t="s">
        <v>29</v>
      </c>
      <c r="T2480" s="6" t="str">
        <f>HYPERLINK("https://kanzpp.ru/api/getInfo/image/85e55500-6aaa-11ef-a265-00155d82e908")</f>
        <v>https://kanzpp.ru/api/getInfo/image/85e55500-6aaa-11ef-a265-00155d82e908</v>
      </c>
      <c r="U2480" s="6"/>
      <c r="V2480" s="33" t="s">
        <v>35</v>
      </c>
    </row>
    <row r="2481" spans="2:22" ht="22.95" customHeight="1" outlineLevel="3" x14ac:dyDescent="0.2">
      <c r="B2481" s="81" t="s">
        <v>7701</v>
      </c>
      <c r="C2481" s="81"/>
      <c r="D2481" s="81"/>
      <c r="L2481">
        <v>0</v>
      </c>
    </row>
    <row r="2482" spans="2:22" ht="21" customHeight="1" outlineLevel="4" x14ac:dyDescent="0.2">
      <c r="B2482" s="71">
        <v>1830</v>
      </c>
      <c r="C2482" s="37" t="s">
        <v>7702</v>
      </c>
      <c r="D2482" s="37" t="s">
        <v>7703</v>
      </c>
      <c r="E2482" s="38" t="s">
        <v>7704</v>
      </c>
      <c r="F2482" s="39"/>
      <c r="G2482" s="40"/>
      <c r="H2482" s="40"/>
      <c r="I2482" s="41">
        <v>24</v>
      </c>
      <c r="J2482" s="41">
        <v>38</v>
      </c>
      <c r="K2482" s="36">
        <v>24</v>
      </c>
      <c r="L2482" s="42">
        <f>(79.73*(1-O3/100))/0.75</f>
        <v>106.30666666666667</v>
      </c>
      <c r="M2482" s="12"/>
      <c r="N2482" s="40">
        <f>L2482*M2482</f>
        <v>0</v>
      </c>
      <c r="O2482" s="43">
        <f>0.188*M2482</f>
        <v>0</v>
      </c>
      <c r="P2482" s="47">
        <f>0.00002*M2482</f>
        <v>0</v>
      </c>
      <c r="Q2482" s="44"/>
      <c r="R2482" s="45" t="s">
        <v>7705</v>
      </c>
      <c r="S2482" s="45" t="s">
        <v>29</v>
      </c>
      <c r="T2482" s="37" t="str">
        <f>HYPERLINK("https://kanzpp.ru/api/getInfo/image/06812170-954c-11f0-a285-00155d82e908")</f>
        <v>https://kanzpp.ru/api/getInfo/image/06812170-954c-11f0-a285-00155d82e908</v>
      </c>
      <c r="U2482" s="37"/>
    </row>
    <row r="2483" spans="2:22" ht="21" customHeight="1" outlineLevel="4" x14ac:dyDescent="0.2">
      <c r="B2483" s="71">
        <v>1831</v>
      </c>
      <c r="C2483" s="37" t="s">
        <v>7706</v>
      </c>
      <c r="D2483" s="37" t="s">
        <v>7707</v>
      </c>
      <c r="E2483" s="38" t="s">
        <v>7708</v>
      </c>
      <c r="F2483" s="39"/>
      <c r="G2483" s="40"/>
      <c r="H2483" s="40"/>
      <c r="I2483" s="41">
        <v>24</v>
      </c>
      <c r="J2483" s="40" t="s">
        <v>144</v>
      </c>
      <c r="K2483" s="36">
        <v>24</v>
      </c>
      <c r="L2483" s="42">
        <f>(75.33*(1-O3/100))/0.75</f>
        <v>100.44</v>
      </c>
      <c r="M2483" s="12"/>
      <c r="N2483" s="40">
        <f>L2483*M2483</f>
        <v>0</v>
      </c>
      <c r="O2483" s="43">
        <f>0.109*M2483</f>
        <v>0</v>
      </c>
      <c r="P2483" s="47">
        <f>0.00019*M2483</f>
        <v>0</v>
      </c>
      <c r="Q2483" s="44"/>
      <c r="R2483" s="45" t="s">
        <v>7709</v>
      </c>
      <c r="S2483" s="45" t="s">
        <v>29</v>
      </c>
      <c r="T2483" s="37" t="str">
        <f>HYPERLINK("https://kanzpp.ru/api/getInfo/image/9b901cf6-e416-11e9-a235-ac1f6b442184")</f>
        <v>https://kanzpp.ru/api/getInfo/image/9b901cf6-e416-11e9-a235-ac1f6b442184</v>
      </c>
      <c r="U2483" s="37"/>
    </row>
    <row r="2484" spans="2:22" ht="22.95" customHeight="1" outlineLevel="3" x14ac:dyDescent="0.2">
      <c r="B2484" s="81" t="s">
        <v>7710</v>
      </c>
      <c r="C2484" s="81"/>
      <c r="D2484" s="81"/>
      <c r="L2484">
        <v>0</v>
      </c>
    </row>
    <row r="2485" spans="2:22" ht="21" customHeight="1" outlineLevel="4" x14ac:dyDescent="0.2">
      <c r="B2485" s="69">
        <v>1832</v>
      </c>
      <c r="C2485" s="6" t="s">
        <v>7711</v>
      </c>
      <c r="D2485" s="6" t="s">
        <v>7712</v>
      </c>
      <c r="E2485" s="7" t="s">
        <v>7713</v>
      </c>
      <c r="F2485" s="13"/>
      <c r="G2485" s="14"/>
      <c r="H2485" s="14"/>
      <c r="I2485" s="15">
        <v>24</v>
      </c>
      <c r="J2485" s="15">
        <v>1</v>
      </c>
      <c r="K2485" s="5">
        <v>1</v>
      </c>
      <c r="L2485" s="16">
        <v>21.32</v>
      </c>
      <c r="M2485" s="12"/>
      <c r="N2485" s="14">
        <f t="shared" ref="N2485:N2495" si="114">L2485*M2485</f>
        <v>0</v>
      </c>
      <c r="O2485" s="28">
        <f>0.17*M2485</f>
        <v>0</v>
      </c>
      <c r="P2485" s="24">
        <f>0.00022*M2485</f>
        <v>0</v>
      </c>
      <c r="Q2485" s="25"/>
      <c r="R2485" s="26" t="s">
        <v>7714</v>
      </c>
      <c r="S2485" s="26" t="s">
        <v>29</v>
      </c>
      <c r="T2485" s="6" t="str">
        <f>HYPERLINK("https://kanzpp.ru/api/getInfo/image/ef95dbf1-6aad-11ef-a265-00155d82e908")</f>
        <v>https://kanzpp.ru/api/getInfo/image/ef95dbf1-6aad-11ef-a265-00155d82e908</v>
      </c>
      <c r="U2485" s="6"/>
      <c r="V2485" s="33" t="s">
        <v>35</v>
      </c>
    </row>
    <row r="2486" spans="2:22" ht="21" customHeight="1" outlineLevel="4" x14ac:dyDescent="0.2">
      <c r="B2486" s="71">
        <v>1833</v>
      </c>
      <c r="C2486" s="37" t="s">
        <v>7715</v>
      </c>
      <c r="D2486" s="37" t="s">
        <v>7716</v>
      </c>
      <c r="E2486" s="38" t="s">
        <v>7717</v>
      </c>
      <c r="F2486" s="39"/>
      <c r="G2486" s="40"/>
      <c r="H2486" s="40"/>
      <c r="I2486" s="41">
        <v>24</v>
      </c>
      <c r="J2486" s="40" t="s">
        <v>144</v>
      </c>
      <c r="K2486" s="36">
        <v>7</v>
      </c>
      <c r="L2486" s="42">
        <f>(82.32*(1-O3/100))/0.75</f>
        <v>109.75999999999999</v>
      </c>
      <c r="M2486" s="12"/>
      <c r="N2486" s="40">
        <f t="shared" si="114"/>
        <v>0</v>
      </c>
      <c r="O2486" s="48">
        <f>0.17*M2486</f>
        <v>0</v>
      </c>
      <c r="P2486" s="47">
        <f>0.00022*M2486</f>
        <v>0</v>
      </c>
      <c r="Q2486" s="44"/>
      <c r="R2486" s="45" t="s">
        <v>7718</v>
      </c>
      <c r="S2486" s="45" t="s">
        <v>29</v>
      </c>
      <c r="T2486" s="37" t="str">
        <f>HYPERLINK("https://kanzpp.ru/api/getInfo/image/a474451e-d866-11e8-a210-ac1f6b442184")</f>
        <v>https://kanzpp.ru/api/getInfo/image/a474451e-d866-11e8-a210-ac1f6b442184</v>
      </c>
      <c r="U2486" s="37"/>
    </row>
    <row r="2487" spans="2:22" ht="21" customHeight="1" outlineLevel="4" x14ac:dyDescent="0.2">
      <c r="B2487" s="71">
        <v>1834</v>
      </c>
      <c r="C2487" s="37" t="s">
        <v>7719</v>
      </c>
      <c r="D2487" s="37" t="s">
        <v>7720</v>
      </c>
      <c r="E2487" s="38" t="s">
        <v>7721</v>
      </c>
      <c r="F2487" s="39"/>
      <c r="G2487" s="40"/>
      <c r="H2487" s="40"/>
      <c r="I2487" s="41">
        <v>24</v>
      </c>
      <c r="J2487" s="41">
        <v>24</v>
      </c>
      <c r="K2487" s="36">
        <v>7</v>
      </c>
      <c r="L2487" s="42">
        <f>(83.86*(1-O3/100))/0.75</f>
        <v>111.81333333333333</v>
      </c>
      <c r="M2487" s="12"/>
      <c r="N2487" s="40">
        <f t="shared" si="114"/>
        <v>0</v>
      </c>
      <c r="O2487" s="43">
        <f>0.185*M2487</f>
        <v>0</v>
      </c>
      <c r="P2487" s="47">
        <f>0.00024*M2487</f>
        <v>0</v>
      </c>
      <c r="Q2487" s="44"/>
      <c r="R2487" s="45" t="s">
        <v>7722</v>
      </c>
      <c r="S2487" s="45" t="s">
        <v>29</v>
      </c>
      <c r="T2487" s="37" t="str">
        <f>HYPERLINK("https://kanzpp.ru/api/getInfo/image/8fcf33f5-954d-11f0-a285-00155d82e908")</f>
        <v>https://kanzpp.ru/api/getInfo/image/8fcf33f5-954d-11f0-a285-00155d82e908</v>
      </c>
      <c r="U2487" s="37"/>
    </row>
    <row r="2488" spans="2:22" ht="21" customHeight="1" outlineLevel="4" x14ac:dyDescent="0.2">
      <c r="B2488" s="71">
        <v>1835</v>
      </c>
      <c r="C2488" s="37" t="s">
        <v>7723</v>
      </c>
      <c r="D2488" s="37" t="s">
        <v>7724</v>
      </c>
      <c r="E2488" s="38" t="s">
        <v>7725</v>
      </c>
      <c r="F2488" s="39"/>
      <c r="G2488" s="40"/>
      <c r="H2488" s="40"/>
      <c r="I2488" s="41">
        <v>24</v>
      </c>
      <c r="J2488" s="41">
        <v>94</v>
      </c>
      <c r="K2488" s="36">
        <v>7</v>
      </c>
      <c r="L2488" s="42">
        <f>(83.86*(1-O3/100))/0.75</f>
        <v>111.81333333333333</v>
      </c>
      <c r="M2488" s="12"/>
      <c r="N2488" s="40">
        <f t="shared" si="114"/>
        <v>0</v>
      </c>
      <c r="O2488" s="43">
        <f>0.181*M2488</f>
        <v>0</v>
      </c>
      <c r="P2488" s="46">
        <f>0.0002*M2488</f>
        <v>0</v>
      </c>
      <c r="Q2488" s="44"/>
      <c r="R2488" s="45" t="s">
        <v>7726</v>
      </c>
      <c r="S2488" s="45" t="s">
        <v>29</v>
      </c>
      <c r="T2488" s="37" t="str">
        <f>HYPERLINK("https://kanzpp.ru/api/getInfo/image/5c1f5493-954d-11f0-a285-00155d82e908")</f>
        <v>https://kanzpp.ru/api/getInfo/image/5c1f5493-954d-11f0-a285-00155d82e908</v>
      </c>
      <c r="U2488" s="37"/>
    </row>
    <row r="2489" spans="2:22" ht="21" customHeight="1" outlineLevel="4" x14ac:dyDescent="0.2">
      <c r="B2489" s="71">
        <v>1836</v>
      </c>
      <c r="C2489" s="37" t="s">
        <v>7727</v>
      </c>
      <c r="D2489" s="37" t="s">
        <v>7728</v>
      </c>
      <c r="E2489" s="38" t="s">
        <v>7729</v>
      </c>
      <c r="F2489" s="39"/>
      <c r="G2489" s="40"/>
      <c r="H2489" s="40"/>
      <c r="I2489" s="41">
        <v>24</v>
      </c>
      <c r="J2489" s="41">
        <v>17</v>
      </c>
      <c r="K2489" s="36">
        <v>7</v>
      </c>
      <c r="L2489" s="42">
        <f>(83.86*(1-O3/100))/0.75</f>
        <v>111.81333333333333</v>
      </c>
      <c r="M2489" s="12"/>
      <c r="N2489" s="40">
        <f t="shared" si="114"/>
        <v>0</v>
      </c>
      <c r="O2489" s="43">
        <f>0.185*M2489</f>
        <v>0</v>
      </c>
      <c r="P2489" s="47">
        <f>0.00024*M2489</f>
        <v>0</v>
      </c>
      <c r="Q2489" s="44"/>
      <c r="R2489" s="45" t="s">
        <v>7730</v>
      </c>
      <c r="S2489" s="45" t="s">
        <v>29</v>
      </c>
      <c r="T2489" s="37" t="str">
        <f>HYPERLINK("https://kanzpp.ru/api/getInfo/image/e0fe8af6-9550-11f0-a285-00155d82e908")</f>
        <v>https://kanzpp.ru/api/getInfo/image/e0fe8af6-9550-11f0-a285-00155d82e908</v>
      </c>
      <c r="U2489" s="37"/>
    </row>
    <row r="2490" spans="2:22" ht="21" customHeight="1" outlineLevel="4" x14ac:dyDescent="0.2">
      <c r="B2490" s="71">
        <v>1837</v>
      </c>
      <c r="C2490" s="37" t="s">
        <v>7731</v>
      </c>
      <c r="D2490" s="37" t="s">
        <v>7732</v>
      </c>
      <c r="E2490" s="38" t="s">
        <v>7733</v>
      </c>
      <c r="F2490" s="39"/>
      <c r="G2490" s="40"/>
      <c r="H2490" s="40"/>
      <c r="I2490" s="41">
        <v>24</v>
      </c>
      <c r="J2490" s="41">
        <v>10</v>
      </c>
      <c r="K2490" s="36">
        <v>7</v>
      </c>
      <c r="L2490" s="42">
        <f>(83.86*(1-O3/100))/0.75</f>
        <v>111.81333333333333</v>
      </c>
      <c r="M2490" s="12"/>
      <c r="N2490" s="40">
        <f t="shared" si="114"/>
        <v>0</v>
      </c>
      <c r="O2490" s="43">
        <f>0.185*M2490</f>
        <v>0</v>
      </c>
      <c r="P2490" s="47">
        <f>0.00024*M2490</f>
        <v>0</v>
      </c>
      <c r="Q2490" s="44"/>
      <c r="R2490" s="45" t="s">
        <v>7734</v>
      </c>
      <c r="S2490" s="45" t="s">
        <v>29</v>
      </c>
      <c r="T2490" s="37" t="str">
        <f>HYPERLINK("https://kanzpp.ru/api/getInfo/image/d0533164-954d-11f0-a285-00155d82e908")</f>
        <v>https://kanzpp.ru/api/getInfo/image/d0533164-954d-11f0-a285-00155d82e908</v>
      </c>
      <c r="U2490" s="37"/>
    </row>
    <row r="2491" spans="2:22" ht="21" customHeight="1" outlineLevel="4" x14ac:dyDescent="0.2">
      <c r="B2491" s="71">
        <v>1838</v>
      </c>
      <c r="C2491" s="37" t="s">
        <v>7735</v>
      </c>
      <c r="D2491" s="37" t="s">
        <v>7736</v>
      </c>
      <c r="E2491" s="38" t="s">
        <v>7737</v>
      </c>
      <c r="F2491" s="39"/>
      <c r="G2491" s="40"/>
      <c r="H2491" s="40"/>
      <c r="I2491" s="41">
        <v>24</v>
      </c>
      <c r="J2491" s="41">
        <v>24</v>
      </c>
      <c r="K2491" s="36">
        <v>7</v>
      </c>
      <c r="L2491" s="42">
        <f>(83.86*(1-O3/100))/0.75</f>
        <v>111.81333333333333</v>
      </c>
      <c r="M2491" s="12"/>
      <c r="N2491" s="40">
        <f t="shared" si="114"/>
        <v>0</v>
      </c>
      <c r="O2491" s="43">
        <f>0.186*M2491</f>
        <v>0</v>
      </c>
      <c r="P2491" s="46">
        <f>0.0002*M2491</f>
        <v>0</v>
      </c>
      <c r="Q2491" s="44"/>
      <c r="R2491" s="45" t="s">
        <v>7738</v>
      </c>
      <c r="S2491" s="45" t="s">
        <v>29</v>
      </c>
      <c r="T2491" s="37" t="str">
        <f>HYPERLINK("https://kanzpp.ru/api/getInfo/image/42df9ba5-9550-11f0-a285-00155d82e908")</f>
        <v>https://kanzpp.ru/api/getInfo/image/42df9ba5-9550-11f0-a285-00155d82e908</v>
      </c>
      <c r="U2491" s="37"/>
    </row>
    <row r="2492" spans="2:22" ht="21" customHeight="1" outlineLevel="4" x14ac:dyDescent="0.2">
      <c r="B2492" s="71">
        <v>1839</v>
      </c>
      <c r="C2492" s="37" t="s">
        <v>7739</v>
      </c>
      <c r="D2492" s="37" t="s">
        <v>7740</v>
      </c>
      <c r="E2492" s="38" t="s">
        <v>7741</v>
      </c>
      <c r="F2492" s="39"/>
      <c r="G2492" s="40"/>
      <c r="H2492" s="40"/>
      <c r="I2492" s="41">
        <v>24</v>
      </c>
      <c r="J2492" s="41">
        <v>24</v>
      </c>
      <c r="K2492" s="36">
        <v>7</v>
      </c>
      <c r="L2492" s="42">
        <f>(83.86*(1-O3/100))/0.75</f>
        <v>111.81333333333333</v>
      </c>
      <c r="M2492" s="12"/>
      <c r="N2492" s="40">
        <f t="shared" si="114"/>
        <v>0</v>
      </c>
      <c r="O2492" s="43">
        <f>0.185*M2492</f>
        <v>0</v>
      </c>
      <c r="P2492" s="47">
        <f>0.00024*M2492</f>
        <v>0</v>
      </c>
      <c r="Q2492" s="44"/>
      <c r="R2492" s="45" t="s">
        <v>7742</v>
      </c>
      <c r="S2492" s="45" t="s">
        <v>29</v>
      </c>
      <c r="T2492" s="37" t="str">
        <f>HYPERLINK("https://kanzpp.ru/api/getInfo/image/3b3ff6a7-954f-11f0-a285-00155d82e908")</f>
        <v>https://kanzpp.ru/api/getInfo/image/3b3ff6a7-954f-11f0-a285-00155d82e908</v>
      </c>
      <c r="U2492" s="37"/>
    </row>
    <row r="2493" spans="2:22" ht="21" customHeight="1" outlineLevel="4" x14ac:dyDescent="0.2">
      <c r="B2493" s="71">
        <v>1840</v>
      </c>
      <c r="C2493" s="37" t="s">
        <v>7743</v>
      </c>
      <c r="D2493" s="37" t="s">
        <v>7744</v>
      </c>
      <c r="E2493" s="38" t="s">
        <v>7745</v>
      </c>
      <c r="F2493" s="39"/>
      <c r="G2493" s="40"/>
      <c r="H2493" s="40"/>
      <c r="I2493" s="41">
        <v>24</v>
      </c>
      <c r="J2493" s="41">
        <v>17</v>
      </c>
      <c r="K2493" s="36">
        <v>7</v>
      </c>
      <c r="L2493" s="42">
        <f>(83.86*(1-O3/100))/0.75</f>
        <v>111.81333333333333</v>
      </c>
      <c r="M2493" s="12"/>
      <c r="N2493" s="40">
        <f t="shared" si="114"/>
        <v>0</v>
      </c>
      <c r="O2493" s="43">
        <f>0.185*M2493</f>
        <v>0</v>
      </c>
      <c r="P2493" s="47">
        <f>0.00024*M2493</f>
        <v>0</v>
      </c>
      <c r="Q2493" s="44"/>
      <c r="R2493" s="45" t="s">
        <v>7746</v>
      </c>
      <c r="S2493" s="45" t="s">
        <v>29</v>
      </c>
      <c r="T2493" s="37" t="str">
        <f>HYPERLINK("https://kanzpp.ru/api/getInfo/image/da142b76-954e-11f0-a285-00155d82e908")</f>
        <v>https://kanzpp.ru/api/getInfo/image/da142b76-954e-11f0-a285-00155d82e908</v>
      </c>
      <c r="U2493" s="37"/>
    </row>
    <row r="2494" spans="2:22" ht="21" customHeight="1" outlineLevel="4" x14ac:dyDescent="0.2">
      <c r="B2494" s="69">
        <v>1841</v>
      </c>
      <c r="C2494" s="6" t="s">
        <v>7747</v>
      </c>
      <c r="D2494" s="6" t="s">
        <v>7748</v>
      </c>
      <c r="E2494" s="7" t="s">
        <v>7749</v>
      </c>
      <c r="F2494" s="13"/>
      <c r="G2494" s="14"/>
      <c r="H2494" s="14"/>
      <c r="I2494" s="15">
        <v>24</v>
      </c>
      <c r="J2494" s="15">
        <v>10</v>
      </c>
      <c r="K2494" s="5">
        <v>7</v>
      </c>
      <c r="L2494" s="16">
        <v>83.86666666666666</v>
      </c>
      <c r="M2494" s="12"/>
      <c r="N2494" s="14">
        <f t="shared" si="114"/>
        <v>0</v>
      </c>
      <c r="O2494" s="23">
        <f>0.185*M2494</f>
        <v>0</v>
      </c>
      <c r="P2494" s="24">
        <f>0.00024*M2494</f>
        <v>0</v>
      </c>
      <c r="Q2494" s="25"/>
      <c r="R2494" s="26" t="s">
        <v>7750</v>
      </c>
      <c r="S2494" s="26" t="s">
        <v>29</v>
      </c>
      <c r="T2494" s="6" t="str">
        <f>HYPERLINK("https://kanzpp.ru/api/getInfo/image/b7ad2f35-9550-11f0-a285-00155d82e908")</f>
        <v>https://kanzpp.ru/api/getInfo/image/b7ad2f35-9550-11f0-a285-00155d82e908</v>
      </c>
      <c r="U2494" s="6"/>
      <c r="V2494" s="33" t="s">
        <v>35</v>
      </c>
    </row>
    <row r="2495" spans="2:22" ht="21" customHeight="1" outlineLevel="4" x14ac:dyDescent="0.2">
      <c r="B2495" s="71">
        <v>1842</v>
      </c>
      <c r="C2495" s="37" t="s">
        <v>7751</v>
      </c>
      <c r="D2495" s="37" t="s">
        <v>7752</v>
      </c>
      <c r="E2495" s="38" t="s">
        <v>7753</v>
      </c>
      <c r="F2495" s="39"/>
      <c r="G2495" s="40"/>
      <c r="H2495" s="40"/>
      <c r="I2495" s="41">
        <v>24</v>
      </c>
      <c r="J2495" s="41">
        <v>24</v>
      </c>
      <c r="K2495" s="36">
        <v>7</v>
      </c>
      <c r="L2495" s="42">
        <f>(83.86*(1-O3/100))/0.75</f>
        <v>111.81333333333333</v>
      </c>
      <c r="M2495" s="12"/>
      <c r="N2495" s="40">
        <f t="shared" si="114"/>
        <v>0</v>
      </c>
      <c r="O2495" s="43">
        <f>0.185*M2495</f>
        <v>0</v>
      </c>
      <c r="P2495" s="47">
        <f>0.00024*M2495</f>
        <v>0</v>
      </c>
      <c r="Q2495" s="44"/>
      <c r="R2495" s="45" t="s">
        <v>7754</v>
      </c>
      <c r="S2495" s="45" t="s">
        <v>29</v>
      </c>
      <c r="T2495" s="37" t="str">
        <f>HYPERLINK("https://kanzpp.ru/api/getInfo/image/9e01d5d0-9550-11f0-a285-00155d82e908")</f>
        <v>https://kanzpp.ru/api/getInfo/image/9e01d5d0-9550-11f0-a285-00155d82e908</v>
      </c>
      <c r="U2495" s="37"/>
    </row>
    <row r="2496" spans="2:22" ht="22.95" customHeight="1" outlineLevel="3" x14ac:dyDescent="0.2">
      <c r="B2496" s="81" t="s">
        <v>7755</v>
      </c>
      <c r="C2496" s="81"/>
      <c r="D2496" s="81"/>
      <c r="L2496">
        <v>0</v>
      </c>
    </row>
    <row r="2497" spans="2:22" ht="21" customHeight="1" outlineLevel="4" x14ac:dyDescent="0.2">
      <c r="B2497" s="70">
        <v>1843</v>
      </c>
      <c r="C2497" s="3" t="s">
        <v>7756</v>
      </c>
      <c r="D2497" s="3" t="s">
        <v>7757</v>
      </c>
      <c r="E2497" s="4" t="s">
        <v>7758</v>
      </c>
      <c r="F2497" s="8"/>
      <c r="G2497" s="9"/>
      <c r="H2497" s="9"/>
      <c r="I2497" s="10">
        <v>24</v>
      </c>
      <c r="J2497" s="10">
        <v>3</v>
      </c>
      <c r="K2497" s="2">
        <v>3</v>
      </c>
      <c r="L2497" s="54">
        <v>44.888888888888886</v>
      </c>
      <c r="M2497" s="12"/>
      <c r="N2497" s="9">
        <f t="shared" ref="N2497:N2504" si="115">L2497*M2497</f>
        <v>0</v>
      </c>
      <c r="O2497" s="29">
        <f>0.185*M2497</f>
        <v>0</v>
      </c>
      <c r="P2497" s="30">
        <f>0.00027*M2497</f>
        <v>0</v>
      </c>
      <c r="Q2497" s="21"/>
      <c r="R2497" s="22" t="s">
        <v>7759</v>
      </c>
      <c r="S2497" s="22" t="s">
        <v>29</v>
      </c>
      <c r="T2497" s="3" t="str">
        <f>HYPERLINK("https://kanzpp.ru/api/getInfo/image/15c7d532-6924-11ef-a265-00155d82e908")</f>
        <v>https://kanzpp.ru/api/getInfo/image/15c7d532-6924-11ef-a265-00155d82e908</v>
      </c>
      <c r="U2497" s="3"/>
      <c r="V2497" s="32" t="s">
        <v>30</v>
      </c>
    </row>
    <row r="2498" spans="2:22" ht="21" customHeight="1" outlineLevel="4" x14ac:dyDescent="0.2">
      <c r="B2498" s="71">
        <v>1844</v>
      </c>
      <c r="C2498" s="37" t="s">
        <v>7760</v>
      </c>
      <c r="D2498" s="37" t="s">
        <v>7761</v>
      </c>
      <c r="E2498" s="38" t="s">
        <v>7762</v>
      </c>
      <c r="F2498" s="39"/>
      <c r="G2498" s="40"/>
      <c r="H2498" s="40"/>
      <c r="I2498" s="41">
        <v>24</v>
      </c>
      <c r="J2498" s="41">
        <v>50</v>
      </c>
      <c r="K2498" s="36">
        <v>7</v>
      </c>
      <c r="L2498" s="42">
        <f>(91.47*(1-O3/100))/0.75</f>
        <v>121.96</v>
      </c>
      <c r="M2498" s="12"/>
      <c r="N2498" s="40">
        <f t="shared" si="115"/>
        <v>0</v>
      </c>
      <c r="O2498" s="43">
        <f>0.196*M2498</f>
        <v>0</v>
      </c>
      <c r="P2498" s="47">
        <f>0.00032*M2498</f>
        <v>0</v>
      </c>
      <c r="Q2498" s="44"/>
      <c r="R2498" s="45" t="s">
        <v>7763</v>
      </c>
      <c r="S2498" s="45" t="s">
        <v>29</v>
      </c>
      <c r="T2498" s="37" t="str">
        <f>HYPERLINK("https://kanzpp.ru/api/getInfo/image/25f8b9ad-9552-11f0-a285-00155d82e908")</f>
        <v>https://kanzpp.ru/api/getInfo/image/25f8b9ad-9552-11f0-a285-00155d82e908</v>
      </c>
      <c r="U2498" s="37"/>
    </row>
    <row r="2499" spans="2:22" ht="21" customHeight="1" outlineLevel="4" x14ac:dyDescent="0.2">
      <c r="B2499" s="71">
        <v>1845</v>
      </c>
      <c r="C2499" s="37" t="s">
        <v>7764</v>
      </c>
      <c r="D2499" s="37" t="s">
        <v>7765</v>
      </c>
      <c r="E2499" s="38" t="s">
        <v>7766</v>
      </c>
      <c r="F2499" s="39"/>
      <c r="G2499" s="40"/>
      <c r="H2499" s="40"/>
      <c r="I2499" s="41">
        <v>24</v>
      </c>
      <c r="J2499" s="41">
        <v>243</v>
      </c>
      <c r="K2499" s="36">
        <v>7</v>
      </c>
      <c r="L2499" s="42">
        <f>(91.47*(1-O3/100))/0.75</f>
        <v>121.96</v>
      </c>
      <c r="M2499" s="12"/>
      <c r="N2499" s="40">
        <f t="shared" si="115"/>
        <v>0</v>
      </c>
      <c r="O2499" s="43">
        <f>0.205*M2499</f>
        <v>0</v>
      </c>
      <c r="P2499" s="47">
        <f>0.00027*M2499</f>
        <v>0</v>
      </c>
      <c r="Q2499" s="44"/>
      <c r="R2499" s="45" t="s">
        <v>7767</v>
      </c>
      <c r="S2499" s="45" t="s">
        <v>29</v>
      </c>
      <c r="T2499" s="37" t="str">
        <f>HYPERLINK("https://kanzpp.ru/api/getInfo/image/89f5c06f-9553-11f0-a285-00155d82e908")</f>
        <v>https://kanzpp.ru/api/getInfo/image/89f5c06f-9553-11f0-a285-00155d82e908</v>
      </c>
      <c r="U2499" s="37"/>
    </row>
    <row r="2500" spans="2:22" ht="21" customHeight="1" outlineLevel="4" x14ac:dyDescent="0.2">
      <c r="B2500" s="69">
        <v>1846</v>
      </c>
      <c r="C2500" s="6" t="s">
        <v>7768</v>
      </c>
      <c r="D2500" s="6" t="s">
        <v>7769</v>
      </c>
      <c r="E2500" s="7" t="s">
        <v>7770</v>
      </c>
      <c r="F2500" s="13"/>
      <c r="G2500" s="14"/>
      <c r="H2500" s="14"/>
      <c r="I2500" s="15">
        <v>24</v>
      </c>
      <c r="J2500" s="15">
        <v>912</v>
      </c>
      <c r="K2500" s="5">
        <v>7</v>
      </c>
      <c r="L2500" s="16">
        <v>89.32</v>
      </c>
      <c r="M2500" s="12"/>
      <c r="N2500" s="14">
        <f t="shared" si="115"/>
        <v>0</v>
      </c>
      <c r="O2500" s="23">
        <f>0.201*M2500</f>
        <v>0</v>
      </c>
      <c r="P2500" s="24">
        <f>0.00027*M2500</f>
        <v>0</v>
      </c>
      <c r="Q2500" s="25"/>
      <c r="R2500" s="26" t="s">
        <v>7771</v>
      </c>
      <c r="S2500" s="26" t="s">
        <v>29</v>
      </c>
      <c r="T2500" s="6" t="str">
        <f>HYPERLINK("https://kanzpp.ru/api/getInfo/image/18e8d368-f5e1-11f0-a28d-00155d82e908")</f>
        <v>https://kanzpp.ru/api/getInfo/image/18e8d368-f5e1-11f0-a28d-00155d82e908</v>
      </c>
      <c r="U2500" s="6"/>
      <c r="V2500" s="33" t="s">
        <v>35</v>
      </c>
    </row>
    <row r="2501" spans="2:22" ht="21" customHeight="1" outlineLevel="4" x14ac:dyDescent="0.2">
      <c r="B2501" s="71">
        <v>1847</v>
      </c>
      <c r="C2501" s="37" t="s">
        <v>7772</v>
      </c>
      <c r="D2501" s="37" t="s">
        <v>7773</v>
      </c>
      <c r="E2501" s="38" t="s">
        <v>7774</v>
      </c>
      <c r="F2501" s="39"/>
      <c r="G2501" s="40"/>
      <c r="H2501" s="40"/>
      <c r="I2501" s="41">
        <v>24</v>
      </c>
      <c r="J2501" s="41">
        <v>345</v>
      </c>
      <c r="K2501" s="36">
        <v>7</v>
      </c>
      <c r="L2501" s="42">
        <f>(100.27*(1-O3/100))/0.75</f>
        <v>133.69333333333333</v>
      </c>
      <c r="M2501" s="12"/>
      <c r="N2501" s="40">
        <f t="shared" si="115"/>
        <v>0</v>
      </c>
      <c r="O2501" s="43">
        <f>0.203*M2501</f>
        <v>0</v>
      </c>
      <c r="P2501" s="47">
        <f>0.00027*M2501</f>
        <v>0</v>
      </c>
      <c r="Q2501" s="44"/>
      <c r="R2501" s="45" t="s">
        <v>7775</v>
      </c>
      <c r="S2501" s="45" t="s">
        <v>29</v>
      </c>
      <c r="T2501" s="37" t="str">
        <f>HYPERLINK("https://kanzpp.ru/api/getInfo/image/dc6aa1ce-9553-11f0-a285-00155d82e908")</f>
        <v>https://kanzpp.ru/api/getInfo/image/dc6aa1ce-9553-11f0-a285-00155d82e908</v>
      </c>
      <c r="U2501" s="37"/>
    </row>
    <row r="2502" spans="2:22" ht="21" customHeight="1" outlineLevel="4" x14ac:dyDescent="0.2">
      <c r="B2502" s="69">
        <v>1848</v>
      </c>
      <c r="C2502" s="6" t="s">
        <v>7776</v>
      </c>
      <c r="D2502" s="6" t="s">
        <v>7777</v>
      </c>
      <c r="E2502" s="7" t="s">
        <v>7778</v>
      </c>
      <c r="F2502" s="13"/>
      <c r="G2502" s="14"/>
      <c r="H2502" s="14"/>
      <c r="I2502" s="15">
        <v>24</v>
      </c>
      <c r="J2502" s="17">
        <v>1004</v>
      </c>
      <c r="K2502" s="5">
        <v>7</v>
      </c>
      <c r="L2502" s="16">
        <v>81.320000000000007</v>
      </c>
      <c r="M2502" s="12"/>
      <c r="N2502" s="14">
        <f t="shared" si="115"/>
        <v>0</v>
      </c>
      <c r="O2502" s="23">
        <f>0.205*M2502</f>
        <v>0</v>
      </c>
      <c r="P2502" s="24">
        <f>0.00027*M2502</f>
        <v>0</v>
      </c>
      <c r="Q2502" s="25"/>
      <c r="R2502" s="26" t="s">
        <v>7779</v>
      </c>
      <c r="S2502" s="26" t="s">
        <v>29</v>
      </c>
      <c r="T2502" s="6" t="str">
        <f>HYPERLINK("https://kanzpp.ru/api/getInfo/image/ee0bb73d-9553-11f0-a285-00155d82e908")</f>
        <v>https://kanzpp.ru/api/getInfo/image/ee0bb73d-9553-11f0-a285-00155d82e908</v>
      </c>
      <c r="U2502" s="6"/>
      <c r="V2502" s="33" t="s">
        <v>35</v>
      </c>
    </row>
    <row r="2503" spans="2:22" ht="21" customHeight="1" outlineLevel="4" x14ac:dyDescent="0.2">
      <c r="B2503" s="69">
        <v>1849</v>
      </c>
      <c r="C2503" s="6" t="s">
        <v>7780</v>
      </c>
      <c r="D2503" s="6" t="s">
        <v>7781</v>
      </c>
      <c r="E2503" s="7" t="s">
        <v>7782</v>
      </c>
      <c r="F2503" s="13"/>
      <c r="G2503" s="14"/>
      <c r="H2503" s="14"/>
      <c r="I2503" s="15">
        <v>24</v>
      </c>
      <c r="J2503" s="15">
        <v>941</v>
      </c>
      <c r="K2503" s="5">
        <v>7</v>
      </c>
      <c r="L2503" s="16">
        <v>81.320000000000007</v>
      </c>
      <c r="M2503" s="12"/>
      <c r="N2503" s="14">
        <f t="shared" si="115"/>
        <v>0</v>
      </c>
      <c r="O2503" s="23">
        <f>0.205*M2503</f>
        <v>0</v>
      </c>
      <c r="P2503" s="24">
        <f>0.00027*M2503</f>
        <v>0</v>
      </c>
      <c r="Q2503" s="25"/>
      <c r="R2503" s="26" t="s">
        <v>7783</v>
      </c>
      <c r="S2503" s="26" t="s">
        <v>29</v>
      </c>
      <c r="T2503" s="6" t="str">
        <f>HYPERLINK("https://kanzpp.ru/api/getInfo/image/6173e0cd-9553-11f0-a285-00155d82e908")</f>
        <v>https://kanzpp.ru/api/getInfo/image/6173e0cd-9553-11f0-a285-00155d82e908</v>
      </c>
      <c r="U2503" s="6"/>
      <c r="V2503" s="33" t="s">
        <v>35</v>
      </c>
    </row>
    <row r="2504" spans="2:22" ht="21" customHeight="1" outlineLevel="4" x14ac:dyDescent="0.2">
      <c r="B2504" s="71">
        <v>1850</v>
      </c>
      <c r="C2504" s="37" t="s">
        <v>7784</v>
      </c>
      <c r="D2504" s="37" t="s">
        <v>7785</v>
      </c>
      <c r="E2504" s="38" t="s">
        <v>7786</v>
      </c>
      <c r="F2504" s="39"/>
      <c r="G2504" s="40"/>
      <c r="H2504" s="40"/>
      <c r="I2504" s="41">
        <v>24</v>
      </c>
      <c r="J2504" s="41">
        <v>175</v>
      </c>
      <c r="K2504" s="36">
        <v>7</v>
      </c>
      <c r="L2504" s="42">
        <f>(91.47*(1-O3/100))/0.75</f>
        <v>121.96</v>
      </c>
      <c r="M2504" s="12"/>
      <c r="N2504" s="40">
        <f t="shared" si="115"/>
        <v>0</v>
      </c>
      <c r="O2504" s="43">
        <f>0.208*M2504</f>
        <v>0</v>
      </c>
      <c r="P2504" s="47">
        <f>0.00054*M2504</f>
        <v>0</v>
      </c>
      <c r="Q2504" s="44"/>
      <c r="R2504" s="45" t="s">
        <v>7787</v>
      </c>
      <c r="S2504" s="45" t="s">
        <v>29</v>
      </c>
      <c r="T2504" s="37" t="str">
        <f>HYPERLINK("https://kanzpp.ru/api/getInfo/image/79548c81-9553-11f0-a285-00155d82e908")</f>
        <v>https://kanzpp.ru/api/getInfo/image/79548c81-9553-11f0-a285-00155d82e908</v>
      </c>
      <c r="U2504" s="37"/>
    </row>
    <row r="2505" spans="2:22" ht="22.95" customHeight="1" outlineLevel="3" x14ac:dyDescent="0.2">
      <c r="B2505" s="81" t="s">
        <v>7788</v>
      </c>
      <c r="C2505" s="81"/>
      <c r="D2505" s="81"/>
      <c r="L2505">
        <v>0</v>
      </c>
    </row>
    <row r="2506" spans="2:22" ht="22.95" customHeight="1" outlineLevel="4" x14ac:dyDescent="0.2">
      <c r="B2506" s="82" t="s">
        <v>7789</v>
      </c>
      <c r="C2506" s="82"/>
      <c r="D2506" s="82"/>
      <c r="L2506">
        <v>0</v>
      </c>
    </row>
    <row r="2507" spans="2:22" ht="21" customHeight="1" outlineLevel="5" x14ac:dyDescent="0.2">
      <c r="B2507" s="69">
        <v>1851</v>
      </c>
      <c r="C2507" s="6" t="s">
        <v>7790</v>
      </c>
      <c r="D2507" s="6" t="s">
        <v>7791</v>
      </c>
      <c r="E2507" s="7" t="s">
        <v>7792</v>
      </c>
      <c r="F2507" s="13"/>
      <c r="G2507" s="14"/>
      <c r="H2507" s="14"/>
      <c r="I2507" s="15">
        <v>24</v>
      </c>
      <c r="J2507" s="15">
        <v>181</v>
      </c>
      <c r="K2507" s="5">
        <v>6</v>
      </c>
      <c r="L2507" s="16">
        <v>53.199999999999996</v>
      </c>
      <c r="M2507" s="12"/>
      <c r="N2507" s="14">
        <f>L2507*M2507</f>
        <v>0</v>
      </c>
      <c r="O2507" s="23">
        <f>0.185*M2507</f>
        <v>0</v>
      </c>
      <c r="P2507" s="24">
        <f>0.00024*M2507</f>
        <v>0</v>
      </c>
      <c r="Q2507" s="25"/>
      <c r="R2507" s="26" t="s">
        <v>7793</v>
      </c>
      <c r="S2507" s="26" t="s">
        <v>29</v>
      </c>
      <c r="T2507" s="6" t="str">
        <f>HYPERLINK("https://kanzpp.ru/api/getInfo/image/3d7f3ff0-6076-11ef-a262-00155d82e908")</f>
        <v>https://kanzpp.ru/api/getInfo/image/3d7f3ff0-6076-11ef-a262-00155d82e908</v>
      </c>
      <c r="U2507" s="6"/>
      <c r="V2507" s="33" t="s">
        <v>35</v>
      </c>
    </row>
    <row r="2508" spans="2:22" ht="22.95" customHeight="1" outlineLevel="4" x14ac:dyDescent="0.2">
      <c r="B2508" s="82" t="s">
        <v>7794</v>
      </c>
      <c r="C2508" s="82"/>
      <c r="D2508" s="82"/>
      <c r="L2508">
        <v>0</v>
      </c>
    </row>
    <row r="2509" spans="2:22" ht="21" customHeight="1" outlineLevel="5" x14ac:dyDescent="0.2">
      <c r="B2509" s="69">
        <v>1852</v>
      </c>
      <c r="C2509" s="6" t="s">
        <v>7795</v>
      </c>
      <c r="D2509" s="6" t="s">
        <v>7796</v>
      </c>
      <c r="E2509" s="7" t="s">
        <v>7797</v>
      </c>
      <c r="F2509" s="13"/>
      <c r="G2509" s="14"/>
      <c r="H2509" s="14"/>
      <c r="I2509" s="15">
        <v>24</v>
      </c>
      <c r="J2509" s="15">
        <v>58</v>
      </c>
      <c r="K2509" s="5">
        <v>6</v>
      </c>
      <c r="L2509" s="16">
        <v>66.533333333333331</v>
      </c>
      <c r="M2509" s="12"/>
      <c r="N2509" s="14">
        <f>L2509*M2509</f>
        <v>0</v>
      </c>
      <c r="O2509" s="23">
        <f>0.185*M2509</f>
        <v>0</v>
      </c>
      <c r="P2509" s="24">
        <f>0.00024*M2509</f>
        <v>0</v>
      </c>
      <c r="Q2509" s="25"/>
      <c r="R2509" s="26" t="s">
        <v>7798</v>
      </c>
      <c r="S2509" s="26" t="s">
        <v>29</v>
      </c>
      <c r="T2509" s="6" t="str">
        <f>HYPERLINK("https://kanzpp.ru/api/getInfo/image/81923092-6079-11ef-a262-00155d82e908")</f>
        <v>https://kanzpp.ru/api/getInfo/image/81923092-6079-11ef-a262-00155d82e908</v>
      </c>
      <c r="U2509" s="6"/>
      <c r="V2509" s="33" t="s">
        <v>35</v>
      </c>
    </row>
    <row r="2510" spans="2:22" ht="22.95" customHeight="1" outlineLevel="4" x14ac:dyDescent="0.2">
      <c r="B2510" s="82" t="s">
        <v>7799</v>
      </c>
      <c r="C2510" s="82"/>
      <c r="D2510" s="82"/>
      <c r="L2510">
        <v>0</v>
      </c>
    </row>
    <row r="2511" spans="2:22" ht="21" customHeight="1" outlineLevel="5" x14ac:dyDescent="0.2">
      <c r="B2511" s="69">
        <v>1853</v>
      </c>
      <c r="C2511" s="6" t="s">
        <v>7800</v>
      </c>
      <c r="D2511" s="6" t="s">
        <v>7801</v>
      </c>
      <c r="E2511" s="7" t="s">
        <v>7802</v>
      </c>
      <c r="F2511" s="13"/>
      <c r="G2511" s="14"/>
      <c r="H2511" s="14"/>
      <c r="I2511" s="15">
        <v>24</v>
      </c>
      <c r="J2511" s="14" t="s">
        <v>144</v>
      </c>
      <c r="K2511" s="5">
        <v>6</v>
      </c>
      <c r="L2511" s="16">
        <v>81.320000000000007</v>
      </c>
      <c r="M2511" s="12"/>
      <c r="N2511" s="14">
        <f>L2511*M2511</f>
        <v>0</v>
      </c>
      <c r="O2511" s="27">
        <f>0.1*M2511</f>
        <v>0</v>
      </c>
      <c r="P2511" s="24">
        <f>0.00021*M2511</f>
        <v>0</v>
      </c>
      <c r="Q2511" s="25"/>
      <c r="R2511" s="26" t="s">
        <v>7803</v>
      </c>
      <c r="S2511" s="26" t="s">
        <v>29</v>
      </c>
      <c r="T2511" s="6" t="str">
        <f>HYPERLINK("https://kanzpp.ru/api/getInfo/image/385ea043-9473-11f0-a284-00155d82e908")</f>
        <v>https://kanzpp.ru/api/getInfo/image/385ea043-9473-11f0-a284-00155d82e908</v>
      </c>
      <c r="U2511" s="6"/>
      <c r="V2511" s="33" t="s">
        <v>35</v>
      </c>
    </row>
    <row r="2512" spans="2:22" ht="21" customHeight="1" outlineLevel="5" x14ac:dyDescent="0.2">
      <c r="B2512" s="69">
        <v>1854</v>
      </c>
      <c r="C2512" s="6" t="s">
        <v>7804</v>
      </c>
      <c r="D2512" s="6" t="s">
        <v>7805</v>
      </c>
      <c r="E2512" s="7" t="s">
        <v>7806</v>
      </c>
      <c r="F2512" s="13"/>
      <c r="G2512" s="14"/>
      <c r="H2512" s="14"/>
      <c r="I2512" s="15">
        <v>24</v>
      </c>
      <c r="J2512" s="15">
        <v>24</v>
      </c>
      <c r="K2512" s="5">
        <v>6</v>
      </c>
      <c r="L2512" s="16">
        <v>98.12</v>
      </c>
      <c r="M2512" s="12"/>
      <c r="N2512" s="14">
        <f>L2512*M2512</f>
        <v>0</v>
      </c>
      <c r="O2512" s="23">
        <f>0.187*M2512</f>
        <v>0</v>
      </c>
      <c r="P2512" s="24">
        <f>0.00046*M2512</f>
        <v>0</v>
      </c>
      <c r="Q2512" s="25"/>
      <c r="R2512" s="26" t="s">
        <v>7807</v>
      </c>
      <c r="S2512" s="26" t="s">
        <v>29</v>
      </c>
      <c r="T2512" s="6" t="str">
        <f>HYPERLINK("https://kanzpp.ru/api/getInfo/image/891644f0-9473-11f0-a284-00155d82e908")</f>
        <v>https://kanzpp.ru/api/getInfo/image/891644f0-9473-11f0-a284-00155d82e908</v>
      </c>
      <c r="U2512" s="6"/>
      <c r="V2512" s="33" t="s">
        <v>35</v>
      </c>
    </row>
    <row r="2513" spans="2:22" ht="22.95" customHeight="1" outlineLevel="4" x14ac:dyDescent="0.2">
      <c r="B2513" s="82" t="s">
        <v>7808</v>
      </c>
      <c r="C2513" s="82"/>
      <c r="D2513" s="82"/>
      <c r="L2513">
        <v>0</v>
      </c>
    </row>
    <row r="2514" spans="2:22" ht="21" customHeight="1" outlineLevel="5" x14ac:dyDescent="0.2">
      <c r="B2514" s="71">
        <v>1855</v>
      </c>
      <c r="C2514" s="37" t="s">
        <v>7809</v>
      </c>
      <c r="D2514" s="37" t="s">
        <v>7810</v>
      </c>
      <c r="E2514" s="38" t="s">
        <v>7811</v>
      </c>
      <c r="F2514" s="39"/>
      <c r="G2514" s="40"/>
      <c r="H2514" s="40"/>
      <c r="I2514" s="41">
        <v>24</v>
      </c>
      <c r="J2514" s="41">
        <v>270</v>
      </c>
      <c r="K2514" s="36">
        <v>6</v>
      </c>
      <c r="L2514" s="42">
        <f>(103.46*(1-O3/100))/0.75</f>
        <v>137.94666666666666</v>
      </c>
      <c r="M2514" s="12"/>
      <c r="N2514" s="40">
        <f>L2514*M2514</f>
        <v>0</v>
      </c>
      <c r="O2514" s="43">
        <f>0.185*M2514</f>
        <v>0</v>
      </c>
      <c r="P2514" s="47">
        <f>0.00031*M2514</f>
        <v>0</v>
      </c>
      <c r="Q2514" s="44"/>
      <c r="R2514" s="45" t="s">
        <v>7812</v>
      </c>
      <c r="S2514" s="45" t="s">
        <v>29</v>
      </c>
      <c r="T2514" s="37" t="str">
        <f>HYPERLINK("https://kanzpp.ru/api/getInfo/image/7d6a93bc-9474-11f0-a284-00155d82e908")</f>
        <v>https://kanzpp.ru/api/getInfo/image/7d6a93bc-9474-11f0-a284-00155d82e908</v>
      </c>
      <c r="U2514" s="37"/>
    </row>
    <row r="2515" spans="2:22" ht="22.95" customHeight="1" outlineLevel="4" x14ac:dyDescent="0.2">
      <c r="B2515" s="82" t="s">
        <v>7813</v>
      </c>
      <c r="C2515" s="82"/>
      <c r="D2515" s="82"/>
      <c r="L2515">
        <v>0</v>
      </c>
    </row>
    <row r="2516" spans="2:22" ht="21" customHeight="1" outlineLevel="5" x14ac:dyDescent="0.2">
      <c r="B2516" s="71">
        <v>1856</v>
      </c>
      <c r="C2516" s="37" t="s">
        <v>7814</v>
      </c>
      <c r="D2516" s="37" t="s">
        <v>7815</v>
      </c>
      <c r="E2516" s="38" t="s">
        <v>7816</v>
      </c>
      <c r="F2516" s="39"/>
      <c r="G2516" s="40"/>
      <c r="H2516" s="40"/>
      <c r="I2516" s="41">
        <v>24</v>
      </c>
      <c r="J2516" s="41">
        <v>24</v>
      </c>
      <c r="K2516" s="36">
        <v>6</v>
      </c>
      <c r="L2516" s="42">
        <f>(97.2*(1-O3/100))/0.75</f>
        <v>129.6</v>
      </c>
      <c r="M2516" s="12"/>
      <c r="N2516" s="40">
        <f>L2516*M2516</f>
        <v>0</v>
      </c>
      <c r="O2516" s="43">
        <f>0.186*M2516</f>
        <v>0</v>
      </c>
      <c r="P2516" s="47">
        <f>0.00032*M2516</f>
        <v>0</v>
      </c>
      <c r="Q2516" s="44"/>
      <c r="R2516" s="45" t="s">
        <v>7817</v>
      </c>
      <c r="S2516" s="45" t="s">
        <v>29</v>
      </c>
      <c r="T2516" s="37" t="str">
        <f>HYPERLINK("https://kanzpp.ru/api/getInfo/image/16d67100-9488-11f0-a284-00155d82e908")</f>
        <v>https://kanzpp.ru/api/getInfo/image/16d67100-9488-11f0-a284-00155d82e908</v>
      </c>
      <c r="U2516" s="37"/>
    </row>
    <row r="2517" spans="2:22" ht="21" customHeight="1" outlineLevel="5" x14ac:dyDescent="0.2">
      <c r="B2517" s="71">
        <v>1857</v>
      </c>
      <c r="C2517" s="37" t="s">
        <v>7818</v>
      </c>
      <c r="D2517" s="37" t="s">
        <v>7819</v>
      </c>
      <c r="E2517" s="38" t="s">
        <v>7820</v>
      </c>
      <c r="F2517" s="39"/>
      <c r="G2517" s="40"/>
      <c r="H2517" s="40"/>
      <c r="I2517" s="41">
        <v>24</v>
      </c>
      <c r="J2517" s="41">
        <v>18</v>
      </c>
      <c r="K2517" s="36">
        <v>6</v>
      </c>
      <c r="L2517" s="42">
        <f>(97.2*(1-O3/100))/0.75</f>
        <v>129.6</v>
      </c>
      <c r="M2517" s="12"/>
      <c r="N2517" s="40">
        <f>L2517*M2517</f>
        <v>0</v>
      </c>
      <c r="O2517" s="43">
        <f>0.183*M2517</f>
        <v>0</v>
      </c>
      <c r="P2517" s="47">
        <f>0.00035*M2517</f>
        <v>0</v>
      </c>
      <c r="Q2517" s="44"/>
      <c r="R2517" s="45" t="s">
        <v>7821</v>
      </c>
      <c r="S2517" s="45" t="s">
        <v>29</v>
      </c>
      <c r="T2517" s="37" t="str">
        <f>HYPERLINK("https://kanzpp.ru/api/getInfo/image/37ef1753-9488-11f0-a284-00155d82e908")</f>
        <v>https://kanzpp.ru/api/getInfo/image/37ef1753-9488-11f0-a284-00155d82e908</v>
      </c>
      <c r="U2517" s="37"/>
    </row>
    <row r="2518" spans="2:22" ht="22.95" customHeight="1" outlineLevel="4" x14ac:dyDescent="0.2">
      <c r="B2518" s="82" t="s">
        <v>7822</v>
      </c>
      <c r="C2518" s="82"/>
      <c r="D2518" s="82"/>
      <c r="L2518">
        <v>0</v>
      </c>
    </row>
    <row r="2519" spans="2:22" ht="21" customHeight="1" outlineLevel="5" x14ac:dyDescent="0.2">
      <c r="B2519" s="71">
        <v>1858</v>
      </c>
      <c r="C2519" s="37" t="s">
        <v>7823</v>
      </c>
      <c r="D2519" s="37" t="s">
        <v>7824</v>
      </c>
      <c r="E2519" s="38" t="s">
        <v>7825</v>
      </c>
      <c r="F2519" s="39"/>
      <c r="G2519" s="40"/>
      <c r="H2519" s="40"/>
      <c r="I2519" s="41">
        <v>24</v>
      </c>
      <c r="J2519" s="41">
        <v>262</v>
      </c>
      <c r="K2519" s="36">
        <v>6</v>
      </c>
      <c r="L2519" s="42">
        <f>(106.13*(1-O3/100))/0.75</f>
        <v>141.50666666666666</v>
      </c>
      <c r="M2519" s="12"/>
      <c r="N2519" s="40">
        <f>L2519*M2519</f>
        <v>0</v>
      </c>
      <c r="O2519" s="43">
        <f>0.182*M2519</f>
        <v>0</v>
      </c>
      <c r="P2519" s="46">
        <f>0.0002*M2519</f>
        <v>0</v>
      </c>
      <c r="Q2519" s="44"/>
      <c r="R2519" s="45" t="s">
        <v>7826</v>
      </c>
      <c r="S2519" s="45" t="s">
        <v>29</v>
      </c>
      <c r="T2519" s="37" t="str">
        <f>HYPERLINK("https://kanzpp.ru/api/getInfo/image/227fc892-9476-11f0-a284-00155d82e908")</f>
        <v>https://kanzpp.ru/api/getInfo/image/227fc892-9476-11f0-a284-00155d82e908</v>
      </c>
      <c r="U2519" s="37"/>
    </row>
    <row r="2520" spans="2:22" ht="21" customHeight="1" outlineLevel="5" x14ac:dyDescent="0.2">
      <c r="B2520" s="69">
        <v>1859</v>
      </c>
      <c r="C2520" s="6" t="s">
        <v>7827</v>
      </c>
      <c r="D2520" s="6" t="s">
        <v>7828</v>
      </c>
      <c r="E2520" s="7" t="s">
        <v>7829</v>
      </c>
      <c r="F2520" s="13"/>
      <c r="G2520" s="14"/>
      <c r="H2520" s="14"/>
      <c r="I2520" s="15">
        <v>24</v>
      </c>
      <c r="J2520" s="17">
        <v>1770</v>
      </c>
      <c r="K2520" s="5">
        <v>6</v>
      </c>
      <c r="L2520" s="16">
        <v>93.32</v>
      </c>
      <c r="M2520" s="12"/>
      <c r="N2520" s="14">
        <f>L2520*M2520</f>
        <v>0</v>
      </c>
      <c r="O2520" s="23">
        <f>0.181*M2520</f>
        <v>0</v>
      </c>
      <c r="P2520" s="24">
        <f>0.00016*M2520</f>
        <v>0</v>
      </c>
      <c r="Q2520" s="25"/>
      <c r="R2520" s="26" t="s">
        <v>7830</v>
      </c>
      <c r="S2520" s="26" t="s">
        <v>29</v>
      </c>
      <c r="T2520" s="6" t="str">
        <f>HYPERLINK("https://kanzpp.ru/api/getInfo/image/51cd0e56-9476-11f0-a284-00155d82e908")</f>
        <v>https://kanzpp.ru/api/getInfo/image/51cd0e56-9476-11f0-a284-00155d82e908</v>
      </c>
      <c r="U2520" s="6"/>
      <c r="V2520" s="33" t="s">
        <v>35</v>
      </c>
    </row>
    <row r="2521" spans="2:22" ht="22.95" customHeight="1" outlineLevel="4" x14ac:dyDescent="0.2">
      <c r="B2521" s="82" t="s">
        <v>7831</v>
      </c>
      <c r="C2521" s="82"/>
      <c r="D2521" s="82"/>
      <c r="L2521">
        <v>0</v>
      </c>
    </row>
    <row r="2522" spans="2:22" ht="21" customHeight="1" outlineLevel="5" x14ac:dyDescent="0.2">
      <c r="B2522" s="69">
        <v>1860</v>
      </c>
      <c r="C2522" s="6" t="s">
        <v>7832</v>
      </c>
      <c r="D2522" s="6" t="s">
        <v>7833</v>
      </c>
      <c r="E2522" s="7" t="s">
        <v>7834</v>
      </c>
      <c r="F2522" s="13"/>
      <c r="G2522" s="14"/>
      <c r="H2522" s="14"/>
      <c r="I2522" s="15">
        <v>24</v>
      </c>
      <c r="J2522" s="15">
        <v>105</v>
      </c>
      <c r="K2522" s="5">
        <v>6</v>
      </c>
      <c r="L2522" s="16">
        <v>93.32</v>
      </c>
      <c r="M2522" s="12"/>
      <c r="N2522" s="14">
        <f>L2522*M2522</f>
        <v>0</v>
      </c>
      <c r="O2522" s="23">
        <f>0.184*M2522</f>
        <v>0</v>
      </c>
      <c r="P2522" s="24">
        <f>0.00031*M2522</f>
        <v>0</v>
      </c>
      <c r="Q2522" s="25"/>
      <c r="R2522" s="26" t="s">
        <v>7835</v>
      </c>
      <c r="S2522" s="26" t="s">
        <v>29</v>
      </c>
      <c r="T2522" s="6" t="str">
        <f>HYPERLINK("https://kanzpp.ru/api/getInfo/image/0e3e7ab7-9558-11f0-a285-00155d82e908")</f>
        <v>https://kanzpp.ru/api/getInfo/image/0e3e7ab7-9558-11f0-a285-00155d82e908</v>
      </c>
      <c r="U2522" s="6"/>
      <c r="V2522" s="33" t="s">
        <v>35</v>
      </c>
    </row>
    <row r="2523" spans="2:22" ht="21" customHeight="1" outlineLevel="5" x14ac:dyDescent="0.2">
      <c r="B2523" s="71">
        <v>1861</v>
      </c>
      <c r="C2523" s="37" t="s">
        <v>7836</v>
      </c>
      <c r="D2523" s="37" t="s">
        <v>7837</v>
      </c>
      <c r="E2523" s="38" t="s">
        <v>7838</v>
      </c>
      <c r="F2523" s="39"/>
      <c r="G2523" s="40"/>
      <c r="H2523" s="40"/>
      <c r="I2523" s="41">
        <v>24</v>
      </c>
      <c r="J2523" s="41">
        <v>27</v>
      </c>
      <c r="K2523" s="36">
        <v>6</v>
      </c>
      <c r="L2523" s="42">
        <f>(111.2*(1-O3/100))/0.75</f>
        <v>148.26666666666668</v>
      </c>
      <c r="M2523" s="12"/>
      <c r="N2523" s="40">
        <f>L2523*M2523</f>
        <v>0</v>
      </c>
      <c r="O2523" s="43">
        <f>0.184*M2523</f>
        <v>0</v>
      </c>
      <c r="P2523" s="47">
        <f>0.00027*M2523</f>
        <v>0</v>
      </c>
      <c r="Q2523" s="44"/>
      <c r="R2523" s="45" t="s">
        <v>7839</v>
      </c>
      <c r="S2523" s="45" t="s">
        <v>29</v>
      </c>
      <c r="T2523" s="37" t="str">
        <f>HYPERLINK("https://kanzpp.ru/api/getInfo/image/4ee2cbfa-9558-11f0-a285-00155d82e908")</f>
        <v>https://kanzpp.ru/api/getInfo/image/4ee2cbfa-9558-11f0-a285-00155d82e908</v>
      </c>
      <c r="U2523" s="37"/>
    </row>
    <row r="2524" spans="2:22" ht="22.95" customHeight="1" outlineLevel="4" x14ac:dyDescent="0.2">
      <c r="B2524" s="82" t="s">
        <v>7840</v>
      </c>
      <c r="C2524" s="82"/>
      <c r="D2524" s="82"/>
      <c r="L2524">
        <v>0</v>
      </c>
    </row>
    <row r="2525" spans="2:22" ht="21" customHeight="1" outlineLevel="5" x14ac:dyDescent="0.2">
      <c r="B2525" s="69">
        <v>1862</v>
      </c>
      <c r="C2525" s="6" t="s">
        <v>7841</v>
      </c>
      <c r="D2525" s="6" t="s">
        <v>7842</v>
      </c>
      <c r="E2525" s="7" t="s">
        <v>7843</v>
      </c>
      <c r="F2525" s="13"/>
      <c r="G2525" s="14"/>
      <c r="H2525" s="14"/>
      <c r="I2525" s="15">
        <v>24</v>
      </c>
      <c r="J2525" s="15">
        <v>96</v>
      </c>
      <c r="K2525" s="5">
        <v>3</v>
      </c>
      <c r="L2525" s="16">
        <v>39.866666666666667</v>
      </c>
      <c r="M2525" s="12"/>
      <c r="N2525" s="14">
        <f>L2525*M2525</f>
        <v>0</v>
      </c>
      <c r="O2525" s="28">
        <f>0.19*M2525</f>
        <v>0</v>
      </c>
      <c r="P2525" s="24">
        <f>0.00027*M2525</f>
        <v>0</v>
      </c>
      <c r="Q2525" s="25"/>
      <c r="R2525" s="26" t="s">
        <v>7844</v>
      </c>
      <c r="S2525" s="26" t="s">
        <v>29</v>
      </c>
      <c r="T2525" s="6" t="str">
        <f>HYPERLINK("https://kanzpp.ru/api/getInfo/image/1a19f36f-7712-11ee-a248-00155d82e902")</f>
        <v>https://kanzpp.ru/api/getInfo/image/1a19f36f-7712-11ee-a248-00155d82e902</v>
      </c>
      <c r="U2525" s="6"/>
      <c r="V2525" s="33" t="s">
        <v>35</v>
      </c>
    </row>
    <row r="2526" spans="2:22" ht="22.95" customHeight="1" outlineLevel="4" x14ac:dyDescent="0.2">
      <c r="B2526" s="82" t="s">
        <v>7845</v>
      </c>
      <c r="C2526" s="82"/>
      <c r="D2526" s="82"/>
      <c r="L2526">
        <v>0</v>
      </c>
    </row>
    <row r="2527" spans="2:22" ht="21" customHeight="1" outlineLevel="5" x14ac:dyDescent="0.2">
      <c r="B2527" s="69">
        <v>1863</v>
      </c>
      <c r="C2527" s="6" t="s">
        <v>7846</v>
      </c>
      <c r="D2527" s="6" t="s">
        <v>7847</v>
      </c>
      <c r="E2527" s="7" t="s">
        <v>7848</v>
      </c>
      <c r="F2527" s="13"/>
      <c r="G2527" s="14"/>
      <c r="H2527" s="14"/>
      <c r="I2527" s="15">
        <v>24</v>
      </c>
      <c r="J2527" s="15">
        <v>766</v>
      </c>
      <c r="K2527" s="5">
        <v>5</v>
      </c>
      <c r="L2527" s="16">
        <v>39.866666666666667</v>
      </c>
      <c r="M2527" s="12"/>
      <c r="N2527" s="14">
        <f>L2527*M2527</f>
        <v>0</v>
      </c>
      <c r="O2527" s="28">
        <f>0.19*M2527</f>
        <v>0</v>
      </c>
      <c r="P2527" s="24">
        <f>0.00027*M2527</f>
        <v>0</v>
      </c>
      <c r="Q2527" s="25"/>
      <c r="R2527" s="26" t="s">
        <v>7849</v>
      </c>
      <c r="S2527" s="26" t="s">
        <v>29</v>
      </c>
      <c r="T2527" s="6" t="str">
        <f>HYPERLINK("https://kanzpp.ru/api/getInfo/image/e697d8f7-7712-11ee-a248-00155d82e902")</f>
        <v>https://kanzpp.ru/api/getInfo/image/e697d8f7-7712-11ee-a248-00155d82e902</v>
      </c>
      <c r="U2527" s="6"/>
      <c r="V2527" s="33" t="s">
        <v>35</v>
      </c>
    </row>
    <row r="2528" spans="2:22" ht="22.95" customHeight="1" outlineLevel="4" x14ac:dyDescent="0.2">
      <c r="B2528" s="82" t="s">
        <v>7850</v>
      </c>
      <c r="C2528" s="82"/>
      <c r="D2528" s="82"/>
      <c r="L2528">
        <v>0</v>
      </c>
    </row>
    <row r="2529" spans="2:22" ht="21" customHeight="1" outlineLevel="5" x14ac:dyDescent="0.2">
      <c r="B2529" s="69">
        <v>1864</v>
      </c>
      <c r="C2529" s="6" t="s">
        <v>7851</v>
      </c>
      <c r="D2529" s="6" t="s">
        <v>7852</v>
      </c>
      <c r="E2529" s="7" t="s">
        <v>7853</v>
      </c>
      <c r="F2529" s="13"/>
      <c r="G2529" s="14"/>
      <c r="H2529" s="14"/>
      <c r="I2529" s="15">
        <v>24</v>
      </c>
      <c r="J2529" s="15">
        <v>24</v>
      </c>
      <c r="K2529" s="5">
        <v>6</v>
      </c>
      <c r="L2529" s="16">
        <v>39.986666666666665</v>
      </c>
      <c r="M2529" s="12"/>
      <c r="N2529" s="14">
        <f>L2529*M2529</f>
        <v>0</v>
      </c>
      <c r="O2529" s="28">
        <f>0.18*M2529</f>
        <v>0</v>
      </c>
      <c r="P2529" s="24">
        <f>0.00023*M2529</f>
        <v>0</v>
      </c>
      <c r="Q2529" s="25"/>
      <c r="R2529" s="26" t="s">
        <v>7854</v>
      </c>
      <c r="S2529" s="26" t="s">
        <v>29</v>
      </c>
      <c r="T2529" s="6" t="str">
        <f>HYPERLINK("https://kanzpp.ru/api/getInfo/image/2708d175-9881-11ed-a22e-00155d82e902")</f>
        <v>https://kanzpp.ru/api/getInfo/image/2708d175-9881-11ed-a22e-00155d82e902</v>
      </c>
      <c r="U2529" s="6"/>
      <c r="V2529" s="33" t="s">
        <v>35</v>
      </c>
    </row>
    <row r="2530" spans="2:22" ht="22.95" customHeight="1" outlineLevel="4" x14ac:dyDescent="0.2">
      <c r="B2530" s="82" t="s">
        <v>7855</v>
      </c>
      <c r="C2530" s="82"/>
      <c r="D2530" s="82"/>
      <c r="L2530">
        <v>0</v>
      </c>
    </row>
    <row r="2531" spans="2:22" ht="21" customHeight="1" outlineLevel="5" x14ac:dyDescent="0.2">
      <c r="B2531" s="69">
        <v>1865</v>
      </c>
      <c r="C2531" s="6" t="s">
        <v>7856</v>
      </c>
      <c r="D2531" s="6" t="s">
        <v>7857</v>
      </c>
      <c r="E2531" s="7" t="s">
        <v>7858</v>
      </c>
      <c r="F2531" s="13"/>
      <c r="G2531" s="14"/>
      <c r="H2531" s="14"/>
      <c r="I2531" s="15">
        <v>24</v>
      </c>
      <c r="J2531" s="15">
        <v>109</v>
      </c>
      <c r="K2531" s="5">
        <v>5</v>
      </c>
      <c r="L2531" s="16">
        <v>118.66666666666667</v>
      </c>
      <c r="M2531" s="12"/>
      <c r="N2531" s="14">
        <f>L2531*M2531</f>
        <v>0</v>
      </c>
      <c r="O2531" s="27">
        <f>0.2*M2531</f>
        <v>0</v>
      </c>
      <c r="P2531" s="24">
        <f>0.00027*M2531</f>
        <v>0</v>
      </c>
      <c r="Q2531" s="25"/>
      <c r="R2531" s="26" t="s">
        <v>7859</v>
      </c>
      <c r="S2531" s="26" t="s">
        <v>29</v>
      </c>
      <c r="T2531" s="6" t="str">
        <f>HYPERLINK("https://kanzpp.ru/api/getInfo/image/f343ebe1-ad98-11f0-a286-00155d82e908")</f>
        <v>https://kanzpp.ru/api/getInfo/image/f343ebe1-ad98-11f0-a286-00155d82e908</v>
      </c>
      <c r="U2531" s="6"/>
      <c r="V2531" s="33" t="s">
        <v>35</v>
      </c>
    </row>
    <row r="2532" spans="2:22" ht="21" customHeight="1" outlineLevel="5" x14ac:dyDescent="0.2">
      <c r="B2532" s="69">
        <v>1866</v>
      </c>
      <c r="C2532" s="6" t="s">
        <v>7860</v>
      </c>
      <c r="D2532" s="6" t="s">
        <v>7861</v>
      </c>
      <c r="E2532" s="7" t="s">
        <v>7862</v>
      </c>
      <c r="F2532" s="13"/>
      <c r="G2532" s="14"/>
      <c r="H2532" s="14"/>
      <c r="I2532" s="15">
        <v>24</v>
      </c>
      <c r="J2532" s="15">
        <v>229</v>
      </c>
      <c r="K2532" s="5">
        <v>5</v>
      </c>
      <c r="L2532" s="16">
        <v>118.66666666666667</v>
      </c>
      <c r="M2532" s="12"/>
      <c r="N2532" s="14">
        <f>L2532*M2532</f>
        <v>0</v>
      </c>
      <c r="O2532" s="23">
        <f>0.199*M2532</f>
        <v>0</v>
      </c>
      <c r="P2532" s="24">
        <f>0.00027*M2532</f>
        <v>0</v>
      </c>
      <c r="Q2532" s="25"/>
      <c r="R2532" s="26" t="s">
        <v>7863</v>
      </c>
      <c r="S2532" s="26" t="s">
        <v>29</v>
      </c>
      <c r="T2532" s="6" t="str">
        <f>HYPERLINK("https://kanzpp.ru/api/getInfo/image/46b1c900-ad99-11f0-a286-00155d82e908")</f>
        <v>https://kanzpp.ru/api/getInfo/image/46b1c900-ad99-11f0-a286-00155d82e908</v>
      </c>
      <c r="U2532" s="6"/>
      <c r="V2532" s="33" t="s">
        <v>35</v>
      </c>
    </row>
    <row r="2533" spans="2:22" ht="22.95" customHeight="1" outlineLevel="4" x14ac:dyDescent="0.2">
      <c r="B2533" s="82" t="s">
        <v>7864</v>
      </c>
      <c r="C2533" s="82"/>
      <c r="D2533" s="82"/>
      <c r="L2533">
        <v>0</v>
      </c>
    </row>
    <row r="2534" spans="2:22" ht="21" customHeight="1" outlineLevel="5" x14ac:dyDescent="0.2">
      <c r="B2534" s="69">
        <v>1867</v>
      </c>
      <c r="C2534" s="6" t="s">
        <v>7865</v>
      </c>
      <c r="D2534" s="6" t="s">
        <v>7866</v>
      </c>
      <c r="E2534" s="7" t="s">
        <v>7867</v>
      </c>
      <c r="F2534" s="13"/>
      <c r="G2534" s="14"/>
      <c r="H2534" s="14"/>
      <c r="I2534" s="15">
        <v>24</v>
      </c>
      <c r="J2534" s="15">
        <v>18</v>
      </c>
      <c r="K2534" s="5">
        <v>6</v>
      </c>
      <c r="L2534" s="16">
        <v>86.653333333333322</v>
      </c>
      <c r="M2534" s="12"/>
      <c r="N2534" s="14">
        <f>L2534*M2534</f>
        <v>0</v>
      </c>
      <c r="O2534" s="23">
        <f>0.205*M2534</f>
        <v>0</v>
      </c>
      <c r="P2534" s="24">
        <f>0.00027*M2534</f>
        <v>0</v>
      </c>
      <c r="Q2534" s="25"/>
      <c r="R2534" s="26" t="s">
        <v>7868</v>
      </c>
      <c r="S2534" s="26" t="s">
        <v>29</v>
      </c>
      <c r="T2534" s="6" t="str">
        <f>HYPERLINK("https://kanzpp.ru/api/getInfo/image/884cb138-9484-11f0-a284-00155d82e908")</f>
        <v>https://kanzpp.ru/api/getInfo/image/884cb138-9484-11f0-a284-00155d82e908</v>
      </c>
      <c r="U2534" s="6"/>
      <c r="V2534" s="33" t="s">
        <v>35</v>
      </c>
    </row>
    <row r="2535" spans="2:22" ht="22.95" customHeight="1" outlineLevel="4" x14ac:dyDescent="0.2">
      <c r="B2535" s="82" t="s">
        <v>7869</v>
      </c>
      <c r="C2535" s="82"/>
      <c r="D2535" s="82"/>
      <c r="L2535">
        <v>0</v>
      </c>
    </row>
    <row r="2536" spans="2:22" ht="21" customHeight="1" outlineLevel="5" x14ac:dyDescent="0.2">
      <c r="B2536" s="71">
        <v>1868</v>
      </c>
      <c r="C2536" s="37" t="s">
        <v>7870</v>
      </c>
      <c r="D2536" s="37" t="s">
        <v>7871</v>
      </c>
      <c r="E2536" s="38" t="s">
        <v>7872</v>
      </c>
      <c r="F2536" s="39"/>
      <c r="G2536" s="40"/>
      <c r="H2536" s="40"/>
      <c r="I2536" s="41">
        <v>24</v>
      </c>
      <c r="J2536" s="41">
        <v>217</v>
      </c>
      <c r="K2536" s="36">
        <v>6</v>
      </c>
      <c r="L2536" s="42">
        <f>(102.13*(1-O3/100))/0.75</f>
        <v>136.17333333333332</v>
      </c>
      <c r="M2536" s="12"/>
      <c r="N2536" s="40">
        <f>L2536*M2536</f>
        <v>0</v>
      </c>
      <c r="O2536" s="43">
        <f>0.195*M2536</f>
        <v>0</v>
      </c>
      <c r="P2536" s="47">
        <f>0.00032*M2536</f>
        <v>0</v>
      </c>
      <c r="Q2536" s="44"/>
      <c r="R2536" s="45" t="s">
        <v>7873</v>
      </c>
      <c r="S2536" s="45" t="s">
        <v>29</v>
      </c>
      <c r="T2536" s="37" t="str">
        <f>HYPERLINK("https://kanzpp.ru/api/getInfo/image/fa7c3f1f-9486-11f0-a284-00155d82e908")</f>
        <v>https://kanzpp.ru/api/getInfo/image/fa7c3f1f-9486-11f0-a284-00155d82e908</v>
      </c>
      <c r="U2536" s="37"/>
    </row>
    <row r="2537" spans="2:22" ht="22.95" customHeight="1" outlineLevel="3" x14ac:dyDescent="0.2">
      <c r="B2537" s="81" t="s">
        <v>7874</v>
      </c>
      <c r="C2537" s="81"/>
      <c r="D2537" s="81"/>
      <c r="L2537">
        <v>0</v>
      </c>
    </row>
    <row r="2538" spans="2:22" ht="21" customHeight="1" outlineLevel="4" x14ac:dyDescent="0.2">
      <c r="B2538" s="69">
        <v>1869</v>
      </c>
      <c r="C2538" s="6" t="s">
        <v>7875</v>
      </c>
      <c r="D2538" s="6" t="s">
        <v>7876</v>
      </c>
      <c r="E2538" s="7" t="s">
        <v>7877</v>
      </c>
      <c r="F2538" s="13"/>
      <c r="G2538" s="14"/>
      <c r="H2538" s="14"/>
      <c r="I2538" s="15">
        <v>24</v>
      </c>
      <c r="J2538" s="15">
        <v>265</v>
      </c>
      <c r="K2538" s="5">
        <v>24</v>
      </c>
      <c r="L2538" s="16">
        <v>65.333333333333329</v>
      </c>
      <c r="M2538" s="12"/>
      <c r="N2538" s="14">
        <f>L2538*M2538</f>
        <v>0</v>
      </c>
      <c r="O2538" s="28">
        <f>0.11*M2538</f>
        <v>0</v>
      </c>
      <c r="P2538" s="24">
        <f>0.00039*M2538</f>
        <v>0</v>
      </c>
      <c r="Q2538" s="25"/>
      <c r="R2538" s="26" t="s">
        <v>7878</v>
      </c>
      <c r="S2538" s="26" t="s">
        <v>29</v>
      </c>
      <c r="T2538" s="6" t="str">
        <f>HYPERLINK("https://kanzpp.ru/api/getInfo/image/9dd46b8a-9481-11f0-a284-00155d82e908")</f>
        <v>https://kanzpp.ru/api/getInfo/image/9dd46b8a-9481-11f0-a284-00155d82e908</v>
      </c>
      <c r="U2538" s="6"/>
      <c r="V2538" s="33" t="s">
        <v>35</v>
      </c>
    </row>
    <row r="2539" spans="2:22" ht="21" customHeight="1" outlineLevel="4" x14ac:dyDescent="0.2">
      <c r="B2539" s="69">
        <v>1870</v>
      </c>
      <c r="C2539" s="6" t="s">
        <v>7879</v>
      </c>
      <c r="D2539" s="6" t="s">
        <v>7880</v>
      </c>
      <c r="E2539" s="7" t="s">
        <v>7881</v>
      </c>
      <c r="F2539" s="13"/>
      <c r="G2539" s="14"/>
      <c r="H2539" s="14"/>
      <c r="I2539" s="15">
        <v>24</v>
      </c>
      <c r="J2539" s="15">
        <v>227</v>
      </c>
      <c r="K2539" s="5">
        <v>24</v>
      </c>
      <c r="L2539" s="16">
        <v>65.333333333333329</v>
      </c>
      <c r="M2539" s="12"/>
      <c r="N2539" s="14">
        <f>L2539*M2539</f>
        <v>0</v>
      </c>
      <c r="O2539" s="23">
        <f>0.112*M2539</f>
        <v>0</v>
      </c>
      <c r="P2539" s="24">
        <f>0.00032*M2539</f>
        <v>0</v>
      </c>
      <c r="Q2539" s="25"/>
      <c r="R2539" s="26" t="s">
        <v>7882</v>
      </c>
      <c r="S2539" s="26" t="s">
        <v>29</v>
      </c>
      <c r="T2539" s="6" t="str">
        <f>HYPERLINK("https://kanzpp.ru/api/getInfo/image/da2d3a6b-9482-11f0-a284-00155d82e908")</f>
        <v>https://kanzpp.ru/api/getInfo/image/da2d3a6b-9482-11f0-a284-00155d82e908</v>
      </c>
      <c r="U2539" s="6"/>
      <c r="V2539" s="33" t="s">
        <v>35</v>
      </c>
    </row>
    <row r="2540" spans="2:22" ht="21" customHeight="1" outlineLevel="4" x14ac:dyDescent="0.2">
      <c r="B2540" s="69">
        <v>1871</v>
      </c>
      <c r="C2540" s="6" t="s">
        <v>7883</v>
      </c>
      <c r="D2540" s="6" t="s">
        <v>7884</v>
      </c>
      <c r="E2540" s="7" t="s">
        <v>7885</v>
      </c>
      <c r="F2540" s="13"/>
      <c r="G2540" s="14"/>
      <c r="H2540" s="14"/>
      <c r="I2540" s="15">
        <v>24</v>
      </c>
      <c r="J2540" s="15">
        <v>380</v>
      </c>
      <c r="K2540" s="5">
        <v>24</v>
      </c>
      <c r="L2540" s="16">
        <v>65.333333333333329</v>
      </c>
      <c r="M2540" s="12"/>
      <c r="N2540" s="14">
        <f>L2540*M2540</f>
        <v>0</v>
      </c>
      <c r="O2540" s="28">
        <f>0.11*M2540</f>
        <v>0</v>
      </c>
      <c r="P2540" s="24">
        <f>0.00021*M2540</f>
        <v>0</v>
      </c>
      <c r="Q2540" s="25"/>
      <c r="R2540" s="26" t="s">
        <v>7886</v>
      </c>
      <c r="S2540" s="26" t="s">
        <v>29</v>
      </c>
      <c r="T2540" s="6" t="str">
        <f>HYPERLINK("https://kanzpp.ru/api/getInfo/image/32abf054-9483-11f0-a284-00155d82e908")</f>
        <v>https://kanzpp.ru/api/getInfo/image/32abf054-9483-11f0-a284-00155d82e908</v>
      </c>
      <c r="U2540" s="6"/>
      <c r="V2540" s="33" t="s">
        <v>35</v>
      </c>
    </row>
    <row r="2541" spans="2:22" ht="22.95" customHeight="1" outlineLevel="3" x14ac:dyDescent="0.2">
      <c r="B2541" s="81" t="s">
        <v>7887</v>
      </c>
      <c r="C2541" s="81"/>
      <c r="D2541" s="81"/>
      <c r="L2541">
        <v>0</v>
      </c>
    </row>
    <row r="2542" spans="2:22" ht="22.95" customHeight="1" outlineLevel="4" x14ac:dyDescent="0.2">
      <c r="B2542" s="82" t="s">
        <v>7888</v>
      </c>
      <c r="C2542" s="82"/>
      <c r="D2542" s="82"/>
      <c r="L2542">
        <v>0</v>
      </c>
    </row>
    <row r="2543" spans="2:22" ht="21" customHeight="1" outlineLevel="5" x14ac:dyDescent="0.2">
      <c r="B2543" s="70">
        <v>1872</v>
      </c>
      <c r="C2543" s="3" t="s">
        <v>7889</v>
      </c>
      <c r="D2543" s="3" t="s">
        <v>7890</v>
      </c>
      <c r="E2543" s="4" t="s">
        <v>7891</v>
      </c>
      <c r="F2543" s="8"/>
      <c r="G2543" s="9"/>
      <c r="H2543" s="9"/>
      <c r="I2543" s="10">
        <v>24</v>
      </c>
      <c r="J2543" s="10">
        <v>17</v>
      </c>
      <c r="K2543" s="2">
        <v>7</v>
      </c>
      <c r="L2543" s="18">
        <v>42.44</v>
      </c>
      <c r="M2543" s="12"/>
      <c r="N2543" s="9">
        <f>L2543*M2543</f>
        <v>0</v>
      </c>
      <c r="O2543" s="29">
        <f>0.201*M2543</f>
        <v>0</v>
      </c>
      <c r="P2543" s="30">
        <f>0.00024*M2543</f>
        <v>0</v>
      </c>
      <c r="Q2543" s="21"/>
      <c r="R2543" s="22" t="s">
        <v>7892</v>
      </c>
      <c r="S2543" s="22" t="s">
        <v>29</v>
      </c>
      <c r="T2543" s="3" t="str">
        <f>HYPERLINK("https://kanzpp.ru/api/getInfo/image/aa6222ff-608b-11ef-a262-00155d82e908")</f>
        <v>https://kanzpp.ru/api/getInfo/image/aa6222ff-608b-11ef-a262-00155d82e908</v>
      </c>
      <c r="U2543" s="3"/>
      <c r="V2543" s="32" t="s">
        <v>30</v>
      </c>
    </row>
    <row r="2544" spans="2:22" ht="21" customHeight="1" outlineLevel="5" x14ac:dyDescent="0.2">
      <c r="B2544" s="71">
        <v>1873</v>
      </c>
      <c r="C2544" s="37" t="s">
        <v>7893</v>
      </c>
      <c r="D2544" s="37" t="s">
        <v>7894</v>
      </c>
      <c r="E2544" s="38" t="s">
        <v>7895</v>
      </c>
      <c r="F2544" s="39"/>
      <c r="G2544" s="40"/>
      <c r="H2544" s="40"/>
      <c r="I2544" s="41">
        <v>24</v>
      </c>
      <c r="J2544" s="41">
        <v>510</v>
      </c>
      <c r="K2544" s="36">
        <v>6</v>
      </c>
      <c r="L2544" s="42">
        <f>(100*(1-O3/100))/0.75</f>
        <v>133.33333333333334</v>
      </c>
      <c r="M2544" s="12"/>
      <c r="N2544" s="40">
        <f>L2544*M2544</f>
        <v>0</v>
      </c>
      <c r="O2544" s="43">
        <f>0.195*M2544</f>
        <v>0</v>
      </c>
      <c r="P2544" s="47">
        <f>0.00032*M2544</f>
        <v>0</v>
      </c>
      <c r="Q2544" s="44"/>
      <c r="R2544" s="45" t="s">
        <v>7896</v>
      </c>
      <c r="S2544" s="45" t="s">
        <v>29</v>
      </c>
      <c r="T2544" s="37" t="str">
        <f>HYPERLINK("https://kanzpp.ru/api/getInfo/image/f3cb1a52-9559-11f0-a285-00155d82e908")</f>
        <v>https://kanzpp.ru/api/getInfo/image/f3cb1a52-9559-11f0-a285-00155d82e908</v>
      </c>
      <c r="U2544" s="37"/>
    </row>
    <row r="2545" spans="2:22" ht="22.95" customHeight="1" outlineLevel="4" x14ac:dyDescent="0.2">
      <c r="B2545" s="82" t="s">
        <v>7897</v>
      </c>
      <c r="C2545" s="82"/>
      <c r="D2545" s="82"/>
      <c r="L2545">
        <v>0</v>
      </c>
    </row>
    <row r="2546" spans="2:22" ht="21" customHeight="1" outlineLevel="5" x14ac:dyDescent="0.2">
      <c r="B2546" s="69">
        <v>1874</v>
      </c>
      <c r="C2546" s="6" t="s">
        <v>7898</v>
      </c>
      <c r="D2546" s="6" t="s">
        <v>7899</v>
      </c>
      <c r="E2546" s="7" t="s">
        <v>7900</v>
      </c>
      <c r="F2546" s="13"/>
      <c r="G2546" s="14"/>
      <c r="H2546" s="14"/>
      <c r="I2546" s="15">
        <v>24</v>
      </c>
      <c r="J2546" s="15">
        <v>54</v>
      </c>
      <c r="K2546" s="5">
        <v>6</v>
      </c>
      <c r="L2546" s="16">
        <v>26.533333333333331</v>
      </c>
      <c r="M2546" s="12"/>
      <c r="N2546" s="14">
        <f>L2546*M2546</f>
        <v>0</v>
      </c>
      <c r="O2546" s="23">
        <f>0.202*M2546</f>
        <v>0</v>
      </c>
      <c r="P2546" s="24">
        <f>0.00023*M2546</f>
        <v>0</v>
      </c>
      <c r="Q2546" s="25"/>
      <c r="R2546" s="26" t="s">
        <v>7901</v>
      </c>
      <c r="S2546" s="26" t="s">
        <v>29</v>
      </c>
      <c r="T2546" s="6" t="str">
        <f>HYPERLINK("https://kanzpp.ru/api/getInfo/image/8f593b64-74a9-11ee-a248-00155d82e902")</f>
        <v>https://kanzpp.ru/api/getInfo/image/8f593b64-74a9-11ee-a248-00155d82e902</v>
      </c>
      <c r="U2546" s="6"/>
      <c r="V2546" s="33" t="s">
        <v>35</v>
      </c>
    </row>
    <row r="2547" spans="2:22" ht="22.95" customHeight="1" outlineLevel="4" x14ac:dyDescent="0.2">
      <c r="B2547" s="82" t="s">
        <v>7902</v>
      </c>
      <c r="C2547" s="82"/>
      <c r="D2547" s="82"/>
      <c r="L2547">
        <v>0</v>
      </c>
    </row>
    <row r="2548" spans="2:22" ht="21" customHeight="1" outlineLevel="5" x14ac:dyDescent="0.2">
      <c r="B2548" s="69">
        <v>1875</v>
      </c>
      <c r="C2548" s="6" t="s">
        <v>7903</v>
      </c>
      <c r="D2548" s="6" t="s">
        <v>7904</v>
      </c>
      <c r="E2548" s="7" t="s">
        <v>7905</v>
      </c>
      <c r="F2548" s="13"/>
      <c r="G2548" s="14"/>
      <c r="H2548" s="14"/>
      <c r="I2548" s="15">
        <v>24</v>
      </c>
      <c r="J2548" s="15">
        <v>446</v>
      </c>
      <c r="K2548" s="5">
        <v>7</v>
      </c>
      <c r="L2548" s="16">
        <v>85.320000000000007</v>
      </c>
      <c r="M2548" s="12"/>
      <c r="N2548" s="14">
        <f>L2548*M2548</f>
        <v>0</v>
      </c>
      <c r="O2548" s="23">
        <f>0.198*M2548</f>
        <v>0</v>
      </c>
      <c r="P2548" s="24">
        <f>0.00024*M2548</f>
        <v>0</v>
      </c>
      <c r="Q2548" s="25"/>
      <c r="R2548" s="26" t="s">
        <v>7906</v>
      </c>
      <c r="S2548" s="26" t="s">
        <v>29</v>
      </c>
      <c r="T2548" s="6" t="str">
        <f>HYPERLINK("https://kanzpp.ru/api/getInfo/image/4405c9da-955c-11f0-a285-00155d82e908")</f>
        <v>https://kanzpp.ru/api/getInfo/image/4405c9da-955c-11f0-a285-00155d82e908</v>
      </c>
      <c r="U2548" s="6"/>
      <c r="V2548" s="33" t="s">
        <v>35</v>
      </c>
    </row>
    <row r="2549" spans="2:22" ht="22.95" customHeight="1" outlineLevel="4" x14ac:dyDescent="0.2">
      <c r="B2549" s="82" t="s">
        <v>7907</v>
      </c>
      <c r="C2549" s="82"/>
      <c r="D2549" s="82"/>
      <c r="L2549">
        <v>0</v>
      </c>
    </row>
    <row r="2550" spans="2:22" ht="21" customHeight="1" outlineLevel="5" x14ac:dyDescent="0.2">
      <c r="B2550" s="71">
        <v>1876</v>
      </c>
      <c r="C2550" s="37" t="s">
        <v>7908</v>
      </c>
      <c r="D2550" s="37" t="s">
        <v>7909</v>
      </c>
      <c r="E2550" s="38" t="s">
        <v>7910</v>
      </c>
      <c r="F2550" s="39"/>
      <c r="G2550" s="40"/>
      <c r="H2550" s="40"/>
      <c r="I2550" s="41">
        <v>24</v>
      </c>
      <c r="J2550" s="41">
        <v>24</v>
      </c>
      <c r="K2550" s="36">
        <v>7</v>
      </c>
      <c r="L2550" s="42">
        <f>(96.44*(1-O3/100))/0.75</f>
        <v>128.58666666666667</v>
      </c>
      <c r="M2550" s="12"/>
      <c r="N2550" s="40">
        <f>L2550*M2550</f>
        <v>0</v>
      </c>
      <c r="O2550" s="43">
        <f>0.195*M2550</f>
        <v>0</v>
      </c>
      <c r="P2550" s="47">
        <f>0.00032*M2550</f>
        <v>0</v>
      </c>
      <c r="Q2550" s="44"/>
      <c r="R2550" s="45" t="s">
        <v>7911</v>
      </c>
      <c r="S2550" s="45" t="s">
        <v>29</v>
      </c>
      <c r="T2550" s="37" t="str">
        <f>HYPERLINK("https://kanzpp.ru/api/getInfo/image/510533d0-947c-11f0-a284-00155d82e908")</f>
        <v>https://kanzpp.ru/api/getInfo/image/510533d0-947c-11f0-a284-00155d82e908</v>
      </c>
      <c r="U2550" s="37"/>
    </row>
    <row r="2551" spans="2:22" ht="21" customHeight="1" outlineLevel="5" x14ac:dyDescent="0.2">
      <c r="B2551" s="69">
        <v>1877</v>
      </c>
      <c r="C2551" s="6" t="s">
        <v>7912</v>
      </c>
      <c r="D2551" s="6" t="s">
        <v>7913</v>
      </c>
      <c r="E2551" s="7" t="s">
        <v>7914</v>
      </c>
      <c r="F2551" s="13"/>
      <c r="G2551" s="14"/>
      <c r="H2551" s="14"/>
      <c r="I2551" s="15">
        <v>24</v>
      </c>
      <c r="J2551" s="17">
        <v>1246</v>
      </c>
      <c r="K2551" s="5">
        <v>7</v>
      </c>
      <c r="L2551" s="16">
        <v>26.533333333333331</v>
      </c>
      <c r="M2551" s="12"/>
      <c r="N2551" s="14">
        <f>L2551*M2551</f>
        <v>0</v>
      </c>
      <c r="O2551" s="23">
        <f>0.209*M2551</f>
        <v>0</v>
      </c>
      <c r="P2551" s="24">
        <f>0.00024*M2551</f>
        <v>0</v>
      </c>
      <c r="Q2551" s="25"/>
      <c r="R2551" s="26" t="s">
        <v>7915</v>
      </c>
      <c r="S2551" s="26" t="s">
        <v>29</v>
      </c>
      <c r="T2551" s="6" t="str">
        <f>HYPERLINK("https://kanzpp.ru/api/getInfo/image/87552c04-73c6-11ee-a248-00155d82e902")</f>
        <v>https://kanzpp.ru/api/getInfo/image/87552c04-73c6-11ee-a248-00155d82e902</v>
      </c>
      <c r="U2551" s="6"/>
      <c r="V2551" s="33" t="s">
        <v>35</v>
      </c>
    </row>
    <row r="2552" spans="2:22" ht="22.95" customHeight="1" outlineLevel="4" x14ac:dyDescent="0.2">
      <c r="B2552" s="82" t="s">
        <v>7916</v>
      </c>
      <c r="C2552" s="82"/>
      <c r="D2552" s="82"/>
      <c r="L2552">
        <v>0</v>
      </c>
    </row>
    <row r="2553" spans="2:22" ht="22.95" customHeight="1" outlineLevel="5" x14ac:dyDescent="0.2">
      <c r="B2553" s="83" t="s">
        <v>7917</v>
      </c>
      <c r="C2553" s="83"/>
      <c r="D2553" s="83"/>
      <c r="L2553">
        <v>0</v>
      </c>
    </row>
    <row r="2554" spans="2:22" ht="21" customHeight="1" outlineLevel="6" x14ac:dyDescent="0.2">
      <c r="B2554" s="71">
        <v>1878</v>
      </c>
      <c r="C2554" s="37" t="s">
        <v>7918</v>
      </c>
      <c r="D2554" s="37" t="s">
        <v>7919</v>
      </c>
      <c r="E2554" s="38" t="s">
        <v>7920</v>
      </c>
      <c r="F2554" s="39"/>
      <c r="G2554" s="40"/>
      <c r="H2554" s="40"/>
      <c r="I2554" s="41">
        <v>24</v>
      </c>
      <c r="J2554" s="41">
        <v>12</v>
      </c>
      <c r="K2554" s="36">
        <v>6</v>
      </c>
      <c r="L2554" s="42">
        <f>(104.97*(1-O3/100))/0.75</f>
        <v>139.96</v>
      </c>
      <c r="M2554" s="12"/>
      <c r="N2554" s="40">
        <f t="shared" ref="N2554:N2559" si="116">L2554*M2554</f>
        <v>0</v>
      </c>
      <c r="O2554" s="43">
        <f>0.217*M2554</f>
        <v>0</v>
      </c>
      <c r="P2554" s="47">
        <f>0.00032*M2554</f>
        <v>0</v>
      </c>
      <c r="Q2554" s="44"/>
      <c r="R2554" s="45" t="s">
        <v>7921</v>
      </c>
      <c r="S2554" s="45" t="s">
        <v>29</v>
      </c>
      <c r="T2554" s="37" t="str">
        <f>HYPERLINK("https://kanzpp.ru/api/getInfo/image/ae69f195-6bce-11ed-a22a-00155d82e902")</f>
        <v>https://kanzpp.ru/api/getInfo/image/ae69f195-6bce-11ed-a22a-00155d82e902</v>
      </c>
      <c r="U2554" s="37"/>
    </row>
    <row r="2555" spans="2:22" ht="21" customHeight="1" outlineLevel="6" x14ac:dyDescent="0.2">
      <c r="B2555" s="71">
        <v>1879</v>
      </c>
      <c r="C2555" s="37" t="s">
        <v>7922</v>
      </c>
      <c r="D2555" s="37" t="s">
        <v>7923</v>
      </c>
      <c r="E2555" s="38" t="s">
        <v>7924</v>
      </c>
      <c r="F2555" s="39"/>
      <c r="G2555" s="40"/>
      <c r="H2555" s="41">
        <v>24</v>
      </c>
      <c r="I2555" s="41">
        <v>24</v>
      </c>
      <c r="J2555" s="41">
        <v>6</v>
      </c>
      <c r="K2555" s="36">
        <v>6</v>
      </c>
      <c r="L2555" s="42">
        <f>(104.97*(1-O3/100))/0.75</f>
        <v>139.96</v>
      </c>
      <c r="M2555" s="12"/>
      <c r="N2555" s="40">
        <f t="shared" si="116"/>
        <v>0</v>
      </c>
      <c r="O2555" s="43">
        <f>0.226*M2555</f>
        <v>0</v>
      </c>
      <c r="P2555" s="47">
        <f>0.00026*M2555</f>
        <v>0</v>
      </c>
      <c r="Q2555" s="44"/>
      <c r="R2555" s="45" t="s">
        <v>7925</v>
      </c>
      <c r="S2555" s="45" t="s">
        <v>29</v>
      </c>
      <c r="T2555" s="37" t="str">
        <f>HYPERLINK("https://kanzpp.ru/api/getInfo/image/924101dc-dd01-11e4-aad1-5cf3fc4a2490")</f>
        <v>https://kanzpp.ru/api/getInfo/image/924101dc-dd01-11e4-aad1-5cf3fc4a2490</v>
      </c>
      <c r="U2555" s="37"/>
    </row>
    <row r="2556" spans="2:22" ht="21" customHeight="1" outlineLevel="6" x14ac:dyDescent="0.2">
      <c r="B2556" s="71">
        <v>1880</v>
      </c>
      <c r="C2556" s="37" t="s">
        <v>7926</v>
      </c>
      <c r="D2556" s="37" t="s">
        <v>7927</v>
      </c>
      <c r="E2556" s="38" t="s">
        <v>7928</v>
      </c>
      <c r="F2556" s="39"/>
      <c r="G2556" s="40"/>
      <c r="H2556" s="40"/>
      <c r="I2556" s="41">
        <v>24</v>
      </c>
      <c r="J2556" s="41">
        <v>198</v>
      </c>
      <c r="K2556" s="36">
        <v>6</v>
      </c>
      <c r="L2556" s="42">
        <f>(104.97*(1-O3/100))/0.75</f>
        <v>139.96</v>
      </c>
      <c r="M2556" s="12"/>
      <c r="N2556" s="40">
        <f t="shared" si="116"/>
        <v>0</v>
      </c>
      <c r="O2556" s="43">
        <f>0.221*M2556</f>
        <v>0</v>
      </c>
      <c r="P2556" s="47">
        <f>0.00027*M2556</f>
        <v>0</v>
      </c>
      <c r="Q2556" s="44"/>
      <c r="R2556" s="45" t="s">
        <v>7929</v>
      </c>
      <c r="S2556" s="45" t="s">
        <v>29</v>
      </c>
      <c r="T2556" s="37" t="str">
        <f>HYPERLINK("https://kanzpp.ru/api/getInfo/image/f17fecbe-a2cf-11ed-a22f-00155d82e902")</f>
        <v>https://kanzpp.ru/api/getInfo/image/f17fecbe-a2cf-11ed-a22f-00155d82e902</v>
      </c>
      <c r="U2556" s="37"/>
    </row>
    <row r="2557" spans="2:22" ht="21" customHeight="1" outlineLevel="6" x14ac:dyDescent="0.2">
      <c r="B2557" s="71">
        <v>1881</v>
      </c>
      <c r="C2557" s="37" t="s">
        <v>7930</v>
      </c>
      <c r="D2557" s="37" t="s">
        <v>7931</v>
      </c>
      <c r="E2557" s="38" t="s">
        <v>7932</v>
      </c>
      <c r="F2557" s="39"/>
      <c r="G2557" s="40"/>
      <c r="H2557" s="40"/>
      <c r="I2557" s="41">
        <v>24</v>
      </c>
      <c r="J2557" s="41">
        <v>10</v>
      </c>
      <c r="K2557" s="36">
        <v>6</v>
      </c>
      <c r="L2557" s="42">
        <f>(104.97*(1-O3/100))/0.75</f>
        <v>139.96</v>
      </c>
      <c r="M2557" s="12"/>
      <c r="N2557" s="40">
        <f t="shared" si="116"/>
        <v>0</v>
      </c>
      <c r="O2557" s="43">
        <f>0.216*M2557</f>
        <v>0</v>
      </c>
      <c r="P2557" s="47">
        <f>0.00027*M2557</f>
        <v>0</v>
      </c>
      <c r="Q2557" s="44"/>
      <c r="R2557" s="45" t="s">
        <v>7933</v>
      </c>
      <c r="S2557" s="45" t="s">
        <v>29</v>
      </c>
      <c r="T2557" s="37" t="str">
        <f>HYPERLINK("https://kanzpp.ru/api/getInfo/image/4f3a5eec-a2d0-11ed-a22f-00155d82e902")</f>
        <v>https://kanzpp.ru/api/getInfo/image/4f3a5eec-a2d0-11ed-a22f-00155d82e902</v>
      </c>
      <c r="U2557" s="37"/>
    </row>
    <row r="2558" spans="2:22" ht="21" customHeight="1" outlineLevel="6" x14ac:dyDescent="0.2">
      <c r="B2558" s="71">
        <v>1882</v>
      </c>
      <c r="C2558" s="37" t="s">
        <v>7934</v>
      </c>
      <c r="D2558" s="37" t="s">
        <v>7935</v>
      </c>
      <c r="E2558" s="38" t="s">
        <v>7936</v>
      </c>
      <c r="F2558" s="39"/>
      <c r="G2558" s="40"/>
      <c r="H2558" s="40"/>
      <c r="I2558" s="41">
        <v>24</v>
      </c>
      <c r="J2558" s="41">
        <v>1</v>
      </c>
      <c r="K2558" s="36">
        <v>1</v>
      </c>
      <c r="L2558" s="42">
        <f>(104.97*(1-O3/100))/0.75</f>
        <v>139.96</v>
      </c>
      <c r="M2558" s="12"/>
      <c r="N2558" s="40">
        <f t="shared" si="116"/>
        <v>0</v>
      </c>
      <c r="O2558" s="43">
        <f>0.211*M2558</f>
        <v>0</v>
      </c>
      <c r="P2558" s="47">
        <f>0.00027*M2558</f>
        <v>0</v>
      </c>
      <c r="Q2558" s="44"/>
      <c r="R2558" s="45" t="s">
        <v>7937</v>
      </c>
      <c r="S2558" s="45" t="s">
        <v>29</v>
      </c>
      <c r="T2558" s="37" t="str">
        <f>HYPERLINK("https://kanzpp.ru/api/getInfo/image/7484a7fd-a2d0-11ed-a22f-00155d82e902")</f>
        <v>https://kanzpp.ru/api/getInfo/image/7484a7fd-a2d0-11ed-a22f-00155d82e902</v>
      </c>
      <c r="U2558" s="37"/>
    </row>
    <row r="2559" spans="2:22" ht="21" customHeight="1" outlineLevel="6" x14ac:dyDescent="0.2">
      <c r="B2559" s="71">
        <v>1883</v>
      </c>
      <c r="C2559" s="37" t="s">
        <v>7938</v>
      </c>
      <c r="D2559" s="37" t="s">
        <v>7939</v>
      </c>
      <c r="E2559" s="38" t="s">
        <v>7940</v>
      </c>
      <c r="F2559" s="39"/>
      <c r="G2559" s="40"/>
      <c r="H2559" s="40"/>
      <c r="I2559" s="41">
        <v>24</v>
      </c>
      <c r="J2559" s="41">
        <v>213</v>
      </c>
      <c r="K2559" s="36">
        <v>6</v>
      </c>
      <c r="L2559" s="42">
        <f>(104.97*(1-O3/100))/0.75</f>
        <v>139.96</v>
      </c>
      <c r="M2559" s="12"/>
      <c r="N2559" s="40">
        <f t="shared" si="116"/>
        <v>0</v>
      </c>
      <c r="O2559" s="43">
        <f>0.215*M2559</f>
        <v>0</v>
      </c>
      <c r="P2559" s="47">
        <f>0.00027*M2559</f>
        <v>0</v>
      </c>
      <c r="Q2559" s="44"/>
      <c r="R2559" s="45" t="s">
        <v>7941</v>
      </c>
      <c r="S2559" s="45" t="s">
        <v>29</v>
      </c>
      <c r="T2559" s="37" t="str">
        <f>HYPERLINK("https://kanzpp.ru/api/getInfo/image/7ed2ba62-6bce-11ed-a22a-00155d82e902")</f>
        <v>https://kanzpp.ru/api/getInfo/image/7ed2ba62-6bce-11ed-a22a-00155d82e902</v>
      </c>
      <c r="U2559" s="37"/>
    </row>
    <row r="2560" spans="2:22" ht="22.95" customHeight="1" outlineLevel="5" x14ac:dyDescent="0.2">
      <c r="B2560" s="83" t="s">
        <v>7942</v>
      </c>
      <c r="C2560" s="83"/>
      <c r="D2560" s="83"/>
      <c r="L2560">
        <v>0</v>
      </c>
    </row>
    <row r="2561" spans="2:22" ht="21" customHeight="1" outlineLevel="6" x14ac:dyDescent="0.2">
      <c r="B2561" s="71">
        <v>1884</v>
      </c>
      <c r="C2561" s="37" t="s">
        <v>7943</v>
      </c>
      <c r="D2561" s="37" t="s">
        <v>7944</v>
      </c>
      <c r="E2561" s="38" t="s">
        <v>7945</v>
      </c>
      <c r="F2561" s="39"/>
      <c r="G2561" s="40"/>
      <c r="H2561" s="40"/>
      <c r="I2561" s="41">
        <v>24</v>
      </c>
      <c r="J2561" s="41">
        <v>6</v>
      </c>
      <c r="K2561" s="36">
        <v>6</v>
      </c>
      <c r="L2561" s="42">
        <f>(98*(1-O3/100))/0.75</f>
        <v>130.66666666666666</v>
      </c>
      <c r="M2561" s="12"/>
      <c r="N2561" s="40">
        <f>L2561*M2561</f>
        <v>0</v>
      </c>
      <c r="O2561" s="43">
        <f>0.202*M2561</f>
        <v>0</v>
      </c>
      <c r="P2561" s="46">
        <f>0.0002*M2561</f>
        <v>0</v>
      </c>
      <c r="Q2561" s="44"/>
      <c r="R2561" s="45" t="s">
        <v>7946</v>
      </c>
      <c r="S2561" s="45" t="s">
        <v>29</v>
      </c>
      <c r="T2561" s="37" t="str">
        <f>HYPERLINK("https://kanzpp.ru/api/getInfo/image/5dec2764-6bcf-11ed-a22a-00155d82e902")</f>
        <v>https://kanzpp.ru/api/getInfo/image/5dec2764-6bcf-11ed-a22a-00155d82e902</v>
      </c>
      <c r="U2561" s="37"/>
    </row>
    <row r="2562" spans="2:22" ht="21" customHeight="1" outlineLevel="6" x14ac:dyDescent="0.2">
      <c r="B2562" s="71">
        <v>1885</v>
      </c>
      <c r="C2562" s="37" t="s">
        <v>7947</v>
      </c>
      <c r="D2562" s="37" t="s">
        <v>7948</v>
      </c>
      <c r="E2562" s="38" t="s">
        <v>7949</v>
      </c>
      <c r="F2562" s="39"/>
      <c r="G2562" s="40"/>
      <c r="H2562" s="40"/>
      <c r="I2562" s="41">
        <v>24</v>
      </c>
      <c r="J2562" s="41">
        <v>988</v>
      </c>
      <c r="K2562" s="36">
        <v>6</v>
      </c>
      <c r="L2562" s="42">
        <f>(98*(1-O3/100))/0.75</f>
        <v>130.66666666666666</v>
      </c>
      <c r="M2562" s="12"/>
      <c r="N2562" s="40">
        <f>L2562*M2562</f>
        <v>0</v>
      </c>
      <c r="O2562" s="43">
        <f>0.197*M2562</f>
        <v>0</v>
      </c>
      <c r="P2562" s="47">
        <f>0.00028*M2562</f>
        <v>0</v>
      </c>
      <c r="Q2562" s="44"/>
      <c r="R2562" s="45" t="s">
        <v>7950</v>
      </c>
      <c r="S2562" s="45" t="s">
        <v>29</v>
      </c>
      <c r="T2562" s="37" t="str">
        <f>HYPERLINK("https://kanzpp.ru/api/getInfo/image/c03e2c07-6bcf-11ed-a22a-00155d82e902")</f>
        <v>https://kanzpp.ru/api/getInfo/image/c03e2c07-6bcf-11ed-a22a-00155d82e902</v>
      </c>
      <c r="U2562" s="37"/>
    </row>
    <row r="2563" spans="2:22" ht="22.95" customHeight="1" outlineLevel="3" x14ac:dyDescent="0.2">
      <c r="B2563" s="81" t="s">
        <v>7951</v>
      </c>
      <c r="C2563" s="81"/>
      <c r="D2563" s="81"/>
      <c r="L2563">
        <v>0</v>
      </c>
    </row>
    <row r="2564" spans="2:22" ht="21" customHeight="1" outlineLevel="4" x14ac:dyDescent="0.2">
      <c r="B2564" s="69">
        <v>1886</v>
      </c>
      <c r="C2564" s="6" t="s">
        <v>7952</v>
      </c>
      <c r="D2564" s="6" t="s">
        <v>7953</v>
      </c>
      <c r="E2564" s="7" t="s">
        <v>7954</v>
      </c>
      <c r="F2564" s="13"/>
      <c r="G2564" s="14"/>
      <c r="H2564" s="14"/>
      <c r="I2564" s="15">
        <v>24</v>
      </c>
      <c r="J2564" s="15">
        <v>731</v>
      </c>
      <c r="K2564" s="5">
        <v>6</v>
      </c>
      <c r="L2564" s="16">
        <v>81.320000000000007</v>
      </c>
      <c r="M2564" s="12"/>
      <c r="N2564" s="14">
        <f>L2564*M2564</f>
        <v>0</v>
      </c>
      <c r="O2564" s="23">
        <f>0.207*M2564</f>
        <v>0</v>
      </c>
      <c r="P2564" s="24">
        <f>0.00032*M2564</f>
        <v>0</v>
      </c>
      <c r="Q2564" s="25"/>
      <c r="R2564" s="26" t="s">
        <v>7955</v>
      </c>
      <c r="S2564" s="26" t="s">
        <v>29</v>
      </c>
      <c r="T2564" s="6" t="str">
        <f>HYPERLINK("https://kanzpp.ru/api/getInfo/image/b3a029c1-955d-11f0-a285-00155d82e908")</f>
        <v>https://kanzpp.ru/api/getInfo/image/b3a029c1-955d-11f0-a285-00155d82e908</v>
      </c>
      <c r="U2564" s="6"/>
      <c r="V2564" s="33" t="s">
        <v>35</v>
      </c>
    </row>
    <row r="2565" spans="2:22" ht="22.95" customHeight="1" outlineLevel="2" x14ac:dyDescent="0.2">
      <c r="B2565" s="80" t="s">
        <v>7956</v>
      </c>
      <c r="C2565" s="80"/>
      <c r="D2565" s="80"/>
      <c r="L2565">
        <v>0</v>
      </c>
    </row>
    <row r="2566" spans="2:22" ht="22.95" customHeight="1" outlineLevel="3" x14ac:dyDescent="0.2">
      <c r="B2566" s="81" t="s">
        <v>7957</v>
      </c>
      <c r="C2566" s="81"/>
      <c r="D2566" s="81"/>
      <c r="L2566">
        <v>0</v>
      </c>
    </row>
    <row r="2567" spans="2:22" ht="21" customHeight="1" outlineLevel="4" x14ac:dyDescent="0.2">
      <c r="B2567" s="69">
        <v>1887</v>
      </c>
      <c r="C2567" s="6" t="s">
        <v>7958</v>
      </c>
      <c r="D2567" s="6" t="s">
        <v>7959</v>
      </c>
      <c r="E2567" s="7" t="s">
        <v>7960</v>
      </c>
      <c r="F2567" s="13"/>
      <c r="G2567" s="14"/>
      <c r="H2567" s="15">
        <v>40</v>
      </c>
      <c r="I2567" s="15">
        <v>20</v>
      </c>
      <c r="J2567" s="15">
        <v>20</v>
      </c>
      <c r="K2567" s="5">
        <v>2</v>
      </c>
      <c r="L2567" s="16">
        <v>169.33333333333334</v>
      </c>
      <c r="M2567" s="12"/>
      <c r="N2567" s="14">
        <f t="shared" ref="N2567:N2574" si="117">L2567*M2567</f>
        <v>0</v>
      </c>
      <c r="O2567" s="23">
        <f>0.219*M2567</f>
        <v>0</v>
      </c>
      <c r="P2567" s="24">
        <f>0.00045*M2567</f>
        <v>0</v>
      </c>
      <c r="Q2567" s="25"/>
      <c r="R2567" s="26" t="s">
        <v>7961</v>
      </c>
      <c r="S2567" s="26" t="s">
        <v>29</v>
      </c>
      <c r="T2567" s="6" t="str">
        <f>HYPERLINK("https://kanzpp.ru/api/getInfo/image/eed8b818-7d07-11ed-a22a-00155d82e902")</f>
        <v>https://kanzpp.ru/api/getInfo/image/eed8b818-7d07-11ed-a22a-00155d82e902</v>
      </c>
      <c r="U2567" s="6"/>
      <c r="V2567" s="33" t="s">
        <v>35</v>
      </c>
    </row>
    <row r="2568" spans="2:22" ht="21" customHeight="1" outlineLevel="4" x14ac:dyDescent="0.2">
      <c r="B2568" s="69">
        <v>1888</v>
      </c>
      <c r="C2568" s="6" t="s">
        <v>7962</v>
      </c>
      <c r="D2568" s="6" t="s">
        <v>7963</v>
      </c>
      <c r="E2568" s="7" t="s">
        <v>7964</v>
      </c>
      <c r="F2568" s="13"/>
      <c r="G2568" s="14"/>
      <c r="H2568" s="15">
        <v>40</v>
      </c>
      <c r="I2568" s="15">
        <v>20</v>
      </c>
      <c r="J2568" s="15">
        <v>54</v>
      </c>
      <c r="K2568" s="5">
        <v>2</v>
      </c>
      <c r="L2568" s="16">
        <v>172</v>
      </c>
      <c r="M2568" s="12"/>
      <c r="N2568" s="14">
        <f t="shared" si="117"/>
        <v>0</v>
      </c>
      <c r="O2568" s="23">
        <f>0.225*M2568</f>
        <v>0</v>
      </c>
      <c r="P2568" s="24">
        <f>0.00052*M2568</f>
        <v>0</v>
      </c>
      <c r="Q2568" s="25"/>
      <c r="R2568" s="26" t="s">
        <v>7965</v>
      </c>
      <c r="S2568" s="26" t="s">
        <v>29</v>
      </c>
      <c r="T2568" s="6" t="str">
        <f>HYPERLINK("https://kanzpp.ru/api/getInfo/image/5a86d187-61cd-11ee-a245-00155d82e902")</f>
        <v>https://kanzpp.ru/api/getInfo/image/5a86d187-61cd-11ee-a245-00155d82e902</v>
      </c>
      <c r="U2568" s="6"/>
      <c r="V2568" s="33" t="s">
        <v>35</v>
      </c>
    </row>
    <row r="2569" spans="2:22" ht="21" customHeight="1" outlineLevel="4" x14ac:dyDescent="0.2">
      <c r="B2569" s="69">
        <v>1889</v>
      </c>
      <c r="C2569" s="6" t="s">
        <v>7966</v>
      </c>
      <c r="D2569" s="6" t="s">
        <v>7967</v>
      </c>
      <c r="E2569" s="7" t="s">
        <v>7968</v>
      </c>
      <c r="F2569" s="13"/>
      <c r="G2569" s="14"/>
      <c r="H2569" s="15">
        <v>40</v>
      </c>
      <c r="I2569" s="15">
        <v>20</v>
      </c>
      <c r="J2569" s="15">
        <v>78</v>
      </c>
      <c r="K2569" s="5">
        <v>1</v>
      </c>
      <c r="L2569" s="16">
        <v>133.32</v>
      </c>
      <c r="M2569" s="12"/>
      <c r="N2569" s="14">
        <f t="shared" si="117"/>
        <v>0</v>
      </c>
      <c r="O2569" s="28">
        <f>0.24*M2569</f>
        <v>0</v>
      </c>
      <c r="P2569" s="24">
        <f>0.00095*M2569</f>
        <v>0</v>
      </c>
      <c r="Q2569" s="25"/>
      <c r="R2569" s="26" t="s">
        <v>7969</v>
      </c>
      <c r="S2569" s="26" t="s">
        <v>29</v>
      </c>
      <c r="T2569" s="6" t="str">
        <f>HYPERLINK("https://kanzpp.ru/api/getInfo/image/1f3eff62-61cf-11ee-a245-00155d82e902")</f>
        <v>https://kanzpp.ru/api/getInfo/image/1f3eff62-61cf-11ee-a245-00155d82e902</v>
      </c>
      <c r="U2569" s="6"/>
      <c r="V2569" s="33" t="s">
        <v>35</v>
      </c>
    </row>
    <row r="2570" spans="2:22" ht="21" customHeight="1" outlineLevel="4" x14ac:dyDescent="0.2">
      <c r="B2570" s="69">
        <v>1890</v>
      </c>
      <c r="C2570" s="6" t="s">
        <v>7970</v>
      </c>
      <c r="D2570" s="6" t="s">
        <v>7971</v>
      </c>
      <c r="E2570" s="7" t="s">
        <v>7972</v>
      </c>
      <c r="F2570" s="13"/>
      <c r="G2570" s="14"/>
      <c r="H2570" s="15">
        <v>40</v>
      </c>
      <c r="I2570" s="15">
        <v>20</v>
      </c>
      <c r="J2570" s="15">
        <v>611</v>
      </c>
      <c r="K2570" s="5">
        <v>2</v>
      </c>
      <c r="L2570" s="16">
        <v>265.33333333333331</v>
      </c>
      <c r="M2570" s="12"/>
      <c r="N2570" s="14">
        <f t="shared" si="117"/>
        <v>0</v>
      </c>
      <c r="O2570" s="23">
        <f>0.202*M2570</f>
        <v>0</v>
      </c>
      <c r="P2570" s="24">
        <f>0.00583*M2570</f>
        <v>0</v>
      </c>
      <c r="Q2570" s="25"/>
      <c r="R2570" s="26" t="s">
        <v>7973</v>
      </c>
      <c r="S2570" s="26" t="s">
        <v>29</v>
      </c>
      <c r="T2570" s="6" t="str">
        <f>HYPERLINK("https://kanzpp.ru/api/getInfo/image/b842a276-4b97-11ed-a217-ac1f6b442185")</f>
        <v>https://kanzpp.ru/api/getInfo/image/b842a276-4b97-11ed-a217-ac1f6b442185</v>
      </c>
      <c r="U2570" s="6"/>
      <c r="V2570" s="33" t="s">
        <v>35</v>
      </c>
    </row>
    <row r="2571" spans="2:22" ht="21" customHeight="1" outlineLevel="4" x14ac:dyDescent="0.2">
      <c r="B2571" s="69">
        <v>1891</v>
      </c>
      <c r="C2571" s="6" t="s">
        <v>7974</v>
      </c>
      <c r="D2571" s="6" t="s">
        <v>7975</v>
      </c>
      <c r="E2571" s="7" t="s">
        <v>7976</v>
      </c>
      <c r="F2571" s="13"/>
      <c r="G2571" s="14"/>
      <c r="H2571" s="15">
        <v>40</v>
      </c>
      <c r="I2571" s="15">
        <v>20</v>
      </c>
      <c r="J2571" s="15">
        <v>834</v>
      </c>
      <c r="K2571" s="5">
        <v>2</v>
      </c>
      <c r="L2571" s="16">
        <v>265.33333333333331</v>
      </c>
      <c r="M2571" s="12"/>
      <c r="N2571" s="14">
        <f t="shared" si="117"/>
        <v>0</v>
      </c>
      <c r="O2571" s="23">
        <f>0.202*M2571</f>
        <v>0</v>
      </c>
      <c r="P2571" s="24">
        <f>0.00587*M2571</f>
        <v>0</v>
      </c>
      <c r="Q2571" s="25"/>
      <c r="R2571" s="26" t="s">
        <v>7977</v>
      </c>
      <c r="S2571" s="26" t="s">
        <v>29</v>
      </c>
      <c r="T2571" s="6" t="str">
        <f>HYPERLINK("https://kanzpp.ru/api/getInfo/image/7883fbf0-4b97-11ed-a217-ac1f6b442185")</f>
        <v>https://kanzpp.ru/api/getInfo/image/7883fbf0-4b97-11ed-a217-ac1f6b442185</v>
      </c>
      <c r="U2571" s="6"/>
      <c r="V2571" s="33" t="s">
        <v>35</v>
      </c>
    </row>
    <row r="2572" spans="2:22" ht="21" customHeight="1" outlineLevel="4" x14ac:dyDescent="0.2">
      <c r="B2572" s="71">
        <v>1892</v>
      </c>
      <c r="C2572" s="37" t="s">
        <v>7978</v>
      </c>
      <c r="D2572" s="37" t="s">
        <v>7979</v>
      </c>
      <c r="E2572" s="38" t="s">
        <v>7980</v>
      </c>
      <c r="F2572" s="39"/>
      <c r="G2572" s="40"/>
      <c r="H2572" s="41">
        <v>40</v>
      </c>
      <c r="I2572" s="41">
        <v>20</v>
      </c>
      <c r="J2572" s="41">
        <v>8</v>
      </c>
      <c r="K2572" s="36">
        <v>3</v>
      </c>
      <c r="L2572" s="42">
        <f>(186.67*(1-O3/100))/0.75</f>
        <v>248.89333333333332</v>
      </c>
      <c r="M2572" s="12"/>
      <c r="N2572" s="40">
        <f t="shared" si="117"/>
        <v>0</v>
      </c>
      <c r="O2572" s="43">
        <f>0.219*M2572</f>
        <v>0</v>
      </c>
      <c r="P2572" s="47">
        <f>0.00052*M2572</f>
        <v>0</v>
      </c>
      <c r="Q2572" s="44"/>
      <c r="R2572" s="45" t="s">
        <v>7981</v>
      </c>
      <c r="S2572" s="45" t="s">
        <v>29</v>
      </c>
      <c r="T2572" s="37" t="str">
        <f>HYPERLINK("https://kanzpp.ru/api/getInfo/image/3d88c8e3-5975-11ef-a262-00155d82e908")</f>
        <v>https://kanzpp.ru/api/getInfo/image/3d88c8e3-5975-11ef-a262-00155d82e908</v>
      </c>
      <c r="U2572" s="37"/>
    </row>
    <row r="2573" spans="2:22" ht="21" customHeight="1" outlineLevel="4" x14ac:dyDescent="0.2">
      <c r="B2573" s="71">
        <v>1893</v>
      </c>
      <c r="C2573" s="37" t="s">
        <v>7982</v>
      </c>
      <c r="D2573" s="37" t="s">
        <v>7983</v>
      </c>
      <c r="E2573" s="38" t="s">
        <v>7984</v>
      </c>
      <c r="F2573" s="39"/>
      <c r="G2573" s="40"/>
      <c r="H2573" s="41">
        <v>40</v>
      </c>
      <c r="I2573" s="41">
        <v>20</v>
      </c>
      <c r="J2573" s="41">
        <v>633</v>
      </c>
      <c r="K2573" s="36">
        <v>3</v>
      </c>
      <c r="L2573" s="42">
        <f>(220*(1-O3/100))/0.75</f>
        <v>293.33333333333331</v>
      </c>
      <c r="M2573" s="12"/>
      <c r="N2573" s="40">
        <f t="shared" si="117"/>
        <v>0</v>
      </c>
      <c r="O2573" s="48">
        <f>0.22*M2573</f>
        <v>0</v>
      </c>
      <c r="P2573" s="47">
        <f>0.00036*M2573</f>
        <v>0</v>
      </c>
      <c r="Q2573" s="44"/>
      <c r="R2573" s="45" t="s">
        <v>7985</v>
      </c>
      <c r="S2573" s="45" t="s">
        <v>29</v>
      </c>
      <c r="T2573" s="37" t="str">
        <f>HYPERLINK("https://kanzpp.ru/api/getInfo/image/03005099-5977-11ef-a262-00155d82e908")</f>
        <v>https://kanzpp.ru/api/getInfo/image/03005099-5977-11ef-a262-00155d82e908</v>
      </c>
      <c r="U2573" s="37"/>
    </row>
    <row r="2574" spans="2:22" ht="21" customHeight="1" outlineLevel="4" x14ac:dyDescent="0.2">
      <c r="B2574" s="72">
        <v>1894</v>
      </c>
      <c r="C2574" s="56" t="s">
        <v>7986</v>
      </c>
      <c r="D2574" s="56" t="s">
        <v>7987</v>
      </c>
      <c r="E2574" s="57" t="s">
        <v>7988</v>
      </c>
      <c r="F2574" s="58"/>
      <c r="G2574" s="59"/>
      <c r="H2574" s="60">
        <v>40</v>
      </c>
      <c r="I2574" s="60">
        <v>20</v>
      </c>
      <c r="J2574" s="60">
        <v>55</v>
      </c>
      <c r="K2574" s="55">
        <v>2</v>
      </c>
      <c r="L2574" s="61">
        <f>(232*(1-O3/100))/0.75</f>
        <v>309.33333333333331</v>
      </c>
      <c r="M2574" s="12"/>
      <c r="N2574" s="59">
        <f t="shared" si="117"/>
        <v>0</v>
      </c>
      <c r="O2574" s="62">
        <f>0.175*M2574</f>
        <v>0</v>
      </c>
      <c r="P2574" s="63">
        <f>0.00034*M2574</f>
        <v>0</v>
      </c>
      <c r="Q2574" s="64" t="s">
        <v>344</v>
      </c>
      <c r="R2574" s="65" t="s">
        <v>7989</v>
      </c>
      <c r="S2574" s="65" t="s">
        <v>29</v>
      </c>
      <c r="T2574" s="56" t="str">
        <f>HYPERLINK("https://kanzpp.ru/api/getInfo/image/904c1084-f83c-11f0-a28e-00155d82e908")</f>
        <v>https://kanzpp.ru/api/getInfo/image/904c1084-f83c-11f0-a28e-00155d82e908</v>
      </c>
      <c r="U2574" s="56"/>
      <c r="V2574" s="66"/>
    </row>
    <row r="2575" spans="2:22" ht="22.95" customHeight="1" outlineLevel="3" x14ac:dyDescent="0.2">
      <c r="B2575" s="81" t="s">
        <v>7990</v>
      </c>
      <c r="C2575" s="81"/>
      <c r="D2575" s="81"/>
      <c r="L2575">
        <v>0</v>
      </c>
    </row>
    <row r="2576" spans="2:22" ht="21" customHeight="1" outlineLevel="4" x14ac:dyDescent="0.2">
      <c r="B2576" s="69">
        <v>1895</v>
      </c>
      <c r="C2576" s="6" t="s">
        <v>7991</v>
      </c>
      <c r="D2576" s="6" t="s">
        <v>7992</v>
      </c>
      <c r="E2576" s="7" t="s">
        <v>7993</v>
      </c>
      <c r="F2576" s="13"/>
      <c r="G2576" s="14"/>
      <c r="H2576" s="15">
        <v>40</v>
      </c>
      <c r="I2576" s="15">
        <v>20</v>
      </c>
      <c r="J2576" s="15">
        <v>233</v>
      </c>
      <c r="K2576" s="5">
        <v>1</v>
      </c>
      <c r="L2576" s="16">
        <v>172</v>
      </c>
      <c r="M2576" s="12"/>
      <c r="N2576" s="14">
        <f>L2576*M2576</f>
        <v>0</v>
      </c>
      <c r="O2576" s="23">
        <f>0.244*M2576</f>
        <v>0</v>
      </c>
      <c r="P2576" s="24">
        <f>0.00054*M2576</f>
        <v>0</v>
      </c>
      <c r="Q2576" s="25"/>
      <c r="R2576" s="26" t="s">
        <v>7994</v>
      </c>
      <c r="S2576" s="26" t="s">
        <v>29</v>
      </c>
      <c r="T2576" s="6" t="str">
        <f>HYPERLINK("https://kanzpp.ru/api/getInfo/image/dbebbc92-16c8-11ec-a20f-ac1f6b442185")</f>
        <v>https://kanzpp.ru/api/getInfo/image/dbebbc92-16c8-11ec-a20f-ac1f6b442185</v>
      </c>
      <c r="U2576" s="6"/>
      <c r="V2576" s="33" t="s">
        <v>35</v>
      </c>
    </row>
    <row r="2577" spans="2:22" ht="21" customHeight="1" outlineLevel="4" x14ac:dyDescent="0.2">
      <c r="B2577" s="69">
        <v>1896</v>
      </c>
      <c r="C2577" s="6" t="s">
        <v>7995</v>
      </c>
      <c r="D2577" s="6" t="s">
        <v>7996</v>
      </c>
      <c r="E2577" s="7" t="s">
        <v>7997</v>
      </c>
      <c r="F2577" s="13"/>
      <c r="G2577" s="14"/>
      <c r="H2577" s="15">
        <v>40</v>
      </c>
      <c r="I2577" s="15">
        <v>20</v>
      </c>
      <c r="J2577" s="15">
        <v>561</v>
      </c>
      <c r="K2577" s="5">
        <v>1</v>
      </c>
      <c r="L2577" s="16">
        <v>172</v>
      </c>
      <c r="M2577" s="12"/>
      <c r="N2577" s="14">
        <f>L2577*M2577</f>
        <v>0</v>
      </c>
      <c r="O2577" s="23">
        <f>0.254*M2577</f>
        <v>0</v>
      </c>
      <c r="P2577" s="24">
        <f>0.00047*M2577</f>
        <v>0</v>
      </c>
      <c r="Q2577" s="25"/>
      <c r="R2577" s="26" t="s">
        <v>7998</v>
      </c>
      <c r="S2577" s="26" t="s">
        <v>29</v>
      </c>
      <c r="T2577" s="6" t="str">
        <f>HYPERLINK("https://kanzpp.ru/api/getInfo/image/848630db-16c8-11ec-a20f-ac1f6b442185")</f>
        <v>https://kanzpp.ru/api/getInfo/image/848630db-16c8-11ec-a20f-ac1f6b442185</v>
      </c>
      <c r="U2577" s="6"/>
      <c r="V2577" s="33" t="s">
        <v>35</v>
      </c>
    </row>
    <row r="2578" spans="2:22" ht="21" customHeight="1" outlineLevel="4" x14ac:dyDescent="0.2">
      <c r="B2578" s="69">
        <v>1897</v>
      </c>
      <c r="C2578" s="6" t="s">
        <v>7999</v>
      </c>
      <c r="D2578" s="6" t="s">
        <v>8000</v>
      </c>
      <c r="E2578" s="7" t="s">
        <v>8001</v>
      </c>
      <c r="F2578" s="13"/>
      <c r="G2578" s="14"/>
      <c r="H2578" s="15">
        <v>40</v>
      </c>
      <c r="I2578" s="15">
        <v>20</v>
      </c>
      <c r="J2578" s="15">
        <v>14</v>
      </c>
      <c r="K2578" s="5">
        <v>1</v>
      </c>
      <c r="L2578" s="16">
        <v>172</v>
      </c>
      <c r="M2578" s="12"/>
      <c r="N2578" s="14">
        <f>L2578*M2578</f>
        <v>0</v>
      </c>
      <c r="O2578" s="23">
        <f>0.219*M2578</f>
        <v>0</v>
      </c>
      <c r="P2578" s="24">
        <f>0.00052*M2578</f>
        <v>0</v>
      </c>
      <c r="Q2578" s="25"/>
      <c r="R2578" s="26" t="s">
        <v>8002</v>
      </c>
      <c r="S2578" s="26" t="s">
        <v>29</v>
      </c>
      <c r="T2578" s="6" t="str">
        <f>HYPERLINK("https://kanzpp.ru/api/getInfo/image/de01e7ef-597b-11ef-a262-00155d82e908")</f>
        <v>https://kanzpp.ru/api/getInfo/image/de01e7ef-597b-11ef-a262-00155d82e908</v>
      </c>
      <c r="U2578" s="6"/>
      <c r="V2578" s="33" t="s">
        <v>35</v>
      </c>
    </row>
    <row r="2579" spans="2:22" ht="22.95" customHeight="1" outlineLevel="3" x14ac:dyDescent="0.2">
      <c r="B2579" s="81" t="s">
        <v>8003</v>
      </c>
      <c r="C2579" s="81"/>
      <c r="D2579" s="81"/>
      <c r="L2579">
        <v>0</v>
      </c>
    </row>
    <row r="2580" spans="2:22" ht="21" customHeight="1" outlineLevel="4" x14ac:dyDescent="0.2">
      <c r="B2580" s="69">
        <v>1898</v>
      </c>
      <c r="C2580" s="6" t="s">
        <v>8004</v>
      </c>
      <c r="D2580" s="6" t="s">
        <v>8005</v>
      </c>
      <c r="E2580" s="7" t="s">
        <v>8006</v>
      </c>
      <c r="F2580" s="13"/>
      <c r="G2580" s="14"/>
      <c r="H2580" s="15">
        <v>40</v>
      </c>
      <c r="I2580" s="15">
        <v>20</v>
      </c>
      <c r="J2580" s="15">
        <v>446</v>
      </c>
      <c r="K2580" s="5">
        <v>2</v>
      </c>
      <c r="L2580" s="16">
        <v>226.65333333333334</v>
      </c>
      <c r="M2580" s="12"/>
      <c r="N2580" s="14">
        <f>L2580*M2580</f>
        <v>0</v>
      </c>
      <c r="O2580" s="23">
        <f>0.218*M2580</f>
        <v>0</v>
      </c>
      <c r="P2580" s="24">
        <f>0.00045*M2580</f>
        <v>0</v>
      </c>
      <c r="Q2580" s="25"/>
      <c r="R2580" s="26" t="s">
        <v>8007</v>
      </c>
      <c r="S2580" s="26" t="s">
        <v>29</v>
      </c>
      <c r="T2580" s="6" t="str">
        <f>HYPERLINK("https://kanzpp.ru/api/getInfo/image/a3379965-005f-11ee-a23a-00155d82e902")</f>
        <v>https://kanzpp.ru/api/getInfo/image/a3379965-005f-11ee-a23a-00155d82e902</v>
      </c>
      <c r="U2580" s="6"/>
      <c r="V2580" s="33" t="s">
        <v>35</v>
      </c>
    </row>
    <row r="2581" spans="2:22" ht="22.95" customHeight="1" outlineLevel="3" x14ac:dyDescent="0.2">
      <c r="B2581" s="81" t="s">
        <v>8008</v>
      </c>
      <c r="C2581" s="81"/>
      <c r="D2581" s="81"/>
      <c r="L2581">
        <v>0</v>
      </c>
    </row>
    <row r="2582" spans="2:22" ht="21" customHeight="1" outlineLevel="4" x14ac:dyDescent="0.2">
      <c r="B2582" s="69">
        <v>1899</v>
      </c>
      <c r="C2582" s="6" t="s">
        <v>8009</v>
      </c>
      <c r="D2582" s="6" t="s">
        <v>8010</v>
      </c>
      <c r="E2582" s="7" t="s">
        <v>8011</v>
      </c>
      <c r="F2582" s="13"/>
      <c r="G2582" s="14"/>
      <c r="H2582" s="15">
        <v>40</v>
      </c>
      <c r="I2582" s="15">
        <v>20</v>
      </c>
      <c r="J2582" s="15">
        <v>1</v>
      </c>
      <c r="K2582" s="5">
        <v>1</v>
      </c>
      <c r="L2582" s="16">
        <v>159.86666666666667</v>
      </c>
      <c r="M2582" s="12"/>
      <c r="N2582" s="14">
        <f t="shared" ref="N2582:N2587" si="118">L2582*M2582</f>
        <v>0</v>
      </c>
      <c r="O2582" s="23">
        <f>0.182*M2582</f>
        <v>0</v>
      </c>
      <c r="P2582" s="24">
        <f>0.00022*M2582</f>
        <v>0</v>
      </c>
      <c r="Q2582" s="25"/>
      <c r="R2582" s="26" t="s">
        <v>8012</v>
      </c>
      <c r="S2582" s="26" t="s">
        <v>29</v>
      </c>
      <c r="T2582" s="6" t="str">
        <f>HYPERLINK("https://kanzpp.ru/api/getInfo/image/c0d8872d-4b88-11ed-a217-ac1f6b442185")</f>
        <v>https://kanzpp.ru/api/getInfo/image/c0d8872d-4b88-11ed-a217-ac1f6b442185</v>
      </c>
      <c r="U2582" s="6"/>
      <c r="V2582" s="33" t="s">
        <v>35</v>
      </c>
    </row>
    <row r="2583" spans="2:22" ht="21" customHeight="1" outlineLevel="4" x14ac:dyDescent="0.2">
      <c r="B2583" s="69">
        <v>1900</v>
      </c>
      <c r="C2583" s="6" t="s">
        <v>8013</v>
      </c>
      <c r="D2583" s="6" t="s">
        <v>8014</v>
      </c>
      <c r="E2583" s="7" t="s">
        <v>8015</v>
      </c>
      <c r="F2583" s="13"/>
      <c r="G2583" s="14"/>
      <c r="H2583" s="15">
        <v>40</v>
      </c>
      <c r="I2583" s="15">
        <v>20</v>
      </c>
      <c r="J2583" s="15">
        <v>1</v>
      </c>
      <c r="K2583" s="5">
        <v>1</v>
      </c>
      <c r="L2583" s="16">
        <v>142.65333333333334</v>
      </c>
      <c r="M2583" s="12"/>
      <c r="N2583" s="14">
        <f t="shared" si="118"/>
        <v>0</v>
      </c>
      <c r="O2583" s="28">
        <f>0.13*M2583</f>
        <v>0</v>
      </c>
      <c r="P2583" s="31">
        <f>0.0004*M2583</f>
        <v>0</v>
      </c>
      <c r="Q2583" s="25"/>
      <c r="R2583" s="26" t="s">
        <v>8016</v>
      </c>
      <c r="S2583" s="26" t="s">
        <v>29</v>
      </c>
      <c r="T2583" s="6" t="str">
        <f>HYPERLINK("https://kanzpp.ru/api/getInfo/image/5e748195-61bb-11ee-a245-00155d82e902")</f>
        <v>https://kanzpp.ru/api/getInfo/image/5e748195-61bb-11ee-a245-00155d82e902</v>
      </c>
      <c r="U2583" s="6"/>
      <c r="V2583" s="33" t="s">
        <v>35</v>
      </c>
    </row>
    <row r="2584" spans="2:22" ht="21" customHeight="1" outlineLevel="4" x14ac:dyDescent="0.2">
      <c r="B2584" s="72">
        <v>1901</v>
      </c>
      <c r="C2584" s="56" t="s">
        <v>8017</v>
      </c>
      <c r="D2584" s="56" t="s">
        <v>8018</v>
      </c>
      <c r="E2584" s="57" t="s">
        <v>8019</v>
      </c>
      <c r="F2584" s="58"/>
      <c r="G2584" s="59"/>
      <c r="H2584" s="60">
        <v>40</v>
      </c>
      <c r="I2584" s="60">
        <v>20</v>
      </c>
      <c r="J2584" s="60">
        <v>1</v>
      </c>
      <c r="K2584" s="55">
        <v>1</v>
      </c>
      <c r="L2584" s="61">
        <f>(212*(1-O3/100))/0.75</f>
        <v>282.66666666666669</v>
      </c>
      <c r="M2584" s="12"/>
      <c r="N2584" s="59">
        <f t="shared" si="118"/>
        <v>0</v>
      </c>
      <c r="O2584" s="62">
        <f>0.182*M2584</f>
        <v>0</v>
      </c>
      <c r="P2584" s="63">
        <f>0.00033*M2584</f>
        <v>0</v>
      </c>
      <c r="Q2584" s="64" t="s">
        <v>344</v>
      </c>
      <c r="R2584" s="65" t="s">
        <v>8020</v>
      </c>
      <c r="S2584" s="65" t="s">
        <v>29</v>
      </c>
      <c r="T2584" s="56" t="str">
        <f>HYPERLINK("https://kanzpp.ru/api/getInfo/image/44581eca-f83b-11f0-a28e-00155d82e908")</f>
        <v>https://kanzpp.ru/api/getInfo/image/44581eca-f83b-11f0-a28e-00155d82e908</v>
      </c>
      <c r="U2584" s="56"/>
      <c r="V2584" s="66"/>
    </row>
    <row r="2585" spans="2:22" ht="21" customHeight="1" outlineLevel="4" x14ac:dyDescent="0.2">
      <c r="B2585" s="72">
        <v>1902</v>
      </c>
      <c r="C2585" s="56" t="s">
        <v>8021</v>
      </c>
      <c r="D2585" s="56" t="s">
        <v>8022</v>
      </c>
      <c r="E2585" s="57" t="s">
        <v>8023</v>
      </c>
      <c r="F2585" s="58"/>
      <c r="G2585" s="59"/>
      <c r="H2585" s="60">
        <v>40</v>
      </c>
      <c r="I2585" s="60">
        <v>20</v>
      </c>
      <c r="J2585" s="60">
        <v>76</v>
      </c>
      <c r="K2585" s="55">
        <v>3</v>
      </c>
      <c r="L2585" s="61">
        <f>(212*(1-O3/100))/0.75</f>
        <v>282.66666666666669</v>
      </c>
      <c r="M2585" s="12"/>
      <c r="N2585" s="59">
        <f t="shared" si="118"/>
        <v>0</v>
      </c>
      <c r="O2585" s="62">
        <f>0.183*M2585</f>
        <v>0</v>
      </c>
      <c r="P2585" s="63">
        <f>0.00036*M2585</f>
        <v>0</v>
      </c>
      <c r="Q2585" s="64" t="s">
        <v>344</v>
      </c>
      <c r="R2585" s="65" t="s">
        <v>8024</v>
      </c>
      <c r="S2585" s="65" t="s">
        <v>29</v>
      </c>
      <c r="T2585" s="56" t="str">
        <f>HYPERLINK("https://kanzpp.ru/api/getInfo/image/20a5448c-f83b-11f0-a28e-00155d82e908")</f>
        <v>https://kanzpp.ru/api/getInfo/image/20a5448c-f83b-11f0-a28e-00155d82e908</v>
      </c>
      <c r="U2585" s="56"/>
      <c r="V2585" s="66"/>
    </row>
    <row r="2586" spans="2:22" ht="21" customHeight="1" outlineLevel="4" x14ac:dyDescent="0.2">
      <c r="B2586" s="69">
        <v>1903</v>
      </c>
      <c r="C2586" s="6" t="s">
        <v>8025</v>
      </c>
      <c r="D2586" s="6" t="s">
        <v>8026</v>
      </c>
      <c r="E2586" s="7" t="s">
        <v>8027</v>
      </c>
      <c r="F2586" s="13"/>
      <c r="G2586" s="14"/>
      <c r="H2586" s="15">
        <v>40</v>
      </c>
      <c r="I2586" s="15">
        <v>20</v>
      </c>
      <c r="J2586" s="15">
        <v>139</v>
      </c>
      <c r="K2586" s="5">
        <v>3</v>
      </c>
      <c r="L2586" s="16">
        <v>264</v>
      </c>
      <c r="M2586" s="12"/>
      <c r="N2586" s="14">
        <f t="shared" si="118"/>
        <v>0</v>
      </c>
      <c r="O2586" s="23">
        <f>0.208*M2586</f>
        <v>0</v>
      </c>
      <c r="P2586" s="24">
        <f>0.00043*M2586</f>
        <v>0</v>
      </c>
      <c r="Q2586" s="25"/>
      <c r="R2586" s="26" t="s">
        <v>8028</v>
      </c>
      <c r="S2586" s="26" t="s">
        <v>29</v>
      </c>
      <c r="T2586" s="6" t="str">
        <f>HYPERLINK("https://kanzpp.ru/api/getInfo/image/e6ec4fb5-5a08-11ef-a262-00155d82e908")</f>
        <v>https://kanzpp.ru/api/getInfo/image/e6ec4fb5-5a08-11ef-a262-00155d82e908</v>
      </c>
      <c r="U2586" s="6"/>
      <c r="V2586" s="33" t="s">
        <v>35</v>
      </c>
    </row>
    <row r="2587" spans="2:22" ht="21" customHeight="1" outlineLevel="4" x14ac:dyDescent="0.2">
      <c r="B2587" s="71">
        <v>1904</v>
      </c>
      <c r="C2587" s="37" t="s">
        <v>8029</v>
      </c>
      <c r="D2587" s="37" t="s">
        <v>8030</v>
      </c>
      <c r="E2587" s="38" t="s">
        <v>8031</v>
      </c>
      <c r="F2587" s="39"/>
      <c r="G2587" s="40"/>
      <c r="H2587" s="41">
        <v>40</v>
      </c>
      <c r="I2587" s="41">
        <v>20</v>
      </c>
      <c r="J2587" s="41">
        <v>5</v>
      </c>
      <c r="K2587" s="36">
        <v>3</v>
      </c>
      <c r="L2587" s="42">
        <f>(264*(1-O3/100))/0.75</f>
        <v>352</v>
      </c>
      <c r="M2587" s="12"/>
      <c r="N2587" s="40">
        <f t="shared" si="118"/>
        <v>0</v>
      </c>
      <c r="O2587" s="43">
        <f>0.214*M2587</f>
        <v>0</v>
      </c>
      <c r="P2587" s="47">
        <f>0.00036*M2587</f>
        <v>0</v>
      </c>
      <c r="Q2587" s="44"/>
      <c r="R2587" s="45" t="s">
        <v>8032</v>
      </c>
      <c r="S2587" s="45" t="s">
        <v>29</v>
      </c>
      <c r="T2587" s="37" t="str">
        <f>HYPERLINK("https://kanzpp.ru/api/getInfo/image/f9832d56-5a08-11ef-a262-00155d82e908")</f>
        <v>https://kanzpp.ru/api/getInfo/image/f9832d56-5a08-11ef-a262-00155d82e908</v>
      </c>
      <c r="U2587" s="37"/>
    </row>
    <row r="2588" spans="2:22" ht="22.95" customHeight="1" outlineLevel="3" x14ac:dyDescent="0.2">
      <c r="B2588" s="81" t="s">
        <v>8033</v>
      </c>
      <c r="C2588" s="81"/>
      <c r="D2588" s="81"/>
      <c r="L2588">
        <v>0</v>
      </c>
    </row>
    <row r="2589" spans="2:22" ht="21" customHeight="1" outlineLevel="4" x14ac:dyDescent="0.2">
      <c r="B2589" s="72">
        <v>1905</v>
      </c>
      <c r="C2589" s="56" t="s">
        <v>8034</v>
      </c>
      <c r="D2589" s="56" t="s">
        <v>8035</v>
      </c>
      <c r="E2589" s="57" t="s">
        <v>8036</v>
      </c>
      <c r="F2589" s="58"/>
      <c r="G2589" s="59"/>
      <c r="H2589" s="60">
        <v>40</v>
      </c>
      <c r="I2589" s="60">
        <v>20</v>
      </c>
      <c r="J2589" s="60">
        <v>212</v>
      </c>
      <c r="K2589" s="55">
        <v>3</v>
      </c>
      <c r="L2589" s="61">
        <f>(198.67*(1-O3/100))/0.75</f>
        <v>264.89333333333332</v>
      </c>
      <c r="M2589" s="12"/>
      <c r="N2589" s="59">
        <f>L2589*M2589</f>
        <v>0</v>
      </c>
      <c r="O2589" s="62">
        <f>0.254*M2589</f>
        <v>0</v>
      </c>
      <c r="P2589" s="63">
        <f>0.00056*M2589</f>
        <v>0</v>
      </c>
      <c r="Q2589" s="64" t="s">
        <v>344</v>
      </c>
      <c r="R2589" s="65" t="s">
        <v>8037</v>
      </c>
      <c r="S2589" s="65" t="s">
        <v>29</v>
      </c>
      <c r="T2589" s="56" t="str">
        <f>HYPERLINK("https://kanzpp.ru/api/getInfo/image/ed78e821-f838-11f0-a28e-00155d82e908")</f>
        <v>https://kanzpp.ru/api/getInfo/image/ed78e821-f838-11f0-a28e-00155d82e908</v>
      </c>
      <c r="U2589" s="56"/>
      <c r="V2589" s="66"/>
    </row>
    <row r="2590" spans="2:22" ht="21" customHeight="1" outlineLevel="4" x14ac:dyDescent="0.2">
      <c r="B2590" s="72">
        <v>1906</v>
      </c>
      <c r="C2590" s="56" t="s">
        <v>8038</v>
      </c>
      <c r="D2590" s="56" t="s">
        <v>8039</v>
      </c>
      <c r="E2590" s="57" t="s">
        <v>8040</v>
      </c>
      <c r="F2590" s="58"/>
      <c r="G2590" s="59"/>
      <c r="H2590" s="60">
        <v>40</v>
      </c>
      <c r="I2590" s="60">
        <v>20</v>
      </c>
      <c r="J2590" s="60">
        <v>28</v>
      </c>
      <c r="K2590" s="55">
        <v>3</v>
      </c>
      <c r="L2590" s="61">
        <f>(198.67*(1-O3/100))/0.75</f>
        <v>264.89333333333332</v>
      </c>
      <c r="M2590" s="12"/>
      <c r="N2590" s="59">
        <f>L2590*M2590</f>
        <v>0</v>
      </c>
      <c r="O2590" s="73">
        <f>0.26*M2590</f>
        <v>0</v>
      </c>
      <c r="P2590" s="63">
        <f>0.00057*M2590</f>
        <v>0</v>
      </c>
      <c r="Q2590" s="64" t="s">
        <v>344</v>
      </c>
      <c r="R2590" s="65" t="s">
        <v>8041</v>
      </c>
      <c r="S2590" s="65" t="s">
        <v>29</v>
      </c>
      <c r="T2590" s="56" t="str">
        <f>HYPERLINK("https://kanzpp.ru/api/getInfo/image/798e56b0-f838-11f0-a28e-00155d82e908")</f>
        <v>https://kanzpp.ru/api/getInfo/image/798e56b0-f838-11f0-a28e-00155d82e908</v>
      </c>
      <c r="U2590" s="56"/>
      <c r="V2590" s="66"/>
    </row>
    <row r="2591" spans="2:22" ht="21" customHeight="1" outlineLevel="4" x14ac:dyDescent="0.2">
      <c r="B2591" s="72">
        <v>1907</v>
      </c>
      <c r="C2591" s="56" t="s">
        <v>8042</v>
      </c>
      <c r="D2591" s="56" t="s">
        <v>8043</v>
      </c>
      <c r="E2591" s="57" t="s">
        <v>8044</v>
      </c>
      <c r="F2591" s="58"/>
      <c r="G2591" s="59"/>
      <c r="H2591" s="60">
        <v>40</v>
      </c>
      <c r="I2591" s="60">
        <v>20</v>
      </c>
      <c r="J2591" s="60">
        <v>33</v>
      </c>
      <c r="K2591" s="55">
        <v>3</v>
      </c>
      <c r="L2591" s="61">
        <f>(198.67*(1-O3/100))/0.75</f>
        <v>264.89333333333332</v>
      </c>
      <c r="M2591" s="12"/>
      <c r="N2591" s="59">
        <f>L2591*M2591</f>
        <v>0</v>
      </c>
      <c r="O2591" s="62">
        <f>0.259*M2591</f>
        <v>0</v>
      </c>
      <c r="P2591" s="63">
        <f>0.00056*M2591</f>
        <v>0</v>
      </c>
      <c r="Q2591" s="64" t="s">
        <v>344</v>
      </c>
      <c r="R2591" s="65" t="s">
        <v>8045</v>
      </c>
      <c r="S2591" s="65" t="s">
        <v>29</v>
      </c>
      <c r="T2591" s="56" t="str">
        <f>HYPERLINK("https://kanzpp.ru/api/getInfo/image/9377ae8c-f838-11f0-a28e-00155d82e908")</f>
        <v>https://kanzpp.ru/api/getInfo/image/9377ae8c-f838-11f0-a28e-00155d82e908</v>
      </c>
      <c r="U2591" s="56"/>
      <c r="V2591" s="66"/>
    </row>
    <row r="2592" spans="2:22" ht="22.95" customHeight="1" outlineLevel="2" x14ac:dyDescent="0.2">
      <c r="B2592" s="80" t="s">
        <v>8046</v>
      </c>
      <c r="C2592" s="80"/>
      <c r="D2592" s="80"/>
      <c r="L2592">
        <v>0</v>
      </c>
    </row>
    <row r="2593" spans="2:22" ht="22.95" customHeight="1" outlineLevel="3" x14ac:dyDescent="0.2">
      <c r="B2593" s="81" t="s">
        <v>8047</v>
      </c>
      <c r="C2593" s="81"/>
      <c r="D2593" s="81"/>
      <c r="L2593">
        <v>0</v>
      </c>
    </row>
    <row r="2594" spans="2:22" ht="21" customHeight="1" outlineLevel="4" x14ac:dyDescent="0.2">
      <c r="B2594" s="69">
        <v>1908</v>
      </c>
      <c r="C2594" s="6" t="s">
        <v>8048</v>
      </c>
      <c r="D2594" s="6" t="s">
        <v>8049</v>
      </c>
      <c r="E2594" s="7" t="s">
        <v>8050</v>
      </c>
      <c r="F2594" s="13"/>
      <c r="G2594" s="14"/>
      <c r="H2594" s="14"/>
      <c r="I2594" s="15">
        <v>40</v>
      </c>
      <c r="J2594" s="15">
        <v>292</v>
      </c>
      <c r="K2594" s="5">
        <v>40</v>
      </c>
      <c r="L2594" s="16">
        <v>6.5333333333333341</v>
      </c>
      <c r="M2594" s="12"/>
      <c r="N2594" s="14">
        <f>L2594*M2594</f>
        <v>0</v>
      </c>
      <c r="O2594" s="23">
        <f>0.102*M2594</f>
        <v>0</v>
      </c>
      <c r="P2594" s="24">
        <f>0.00014*M2594</f>
        <v>0</v>
      </c>
      <c r="Q2594" s="25"/>
      <c r="R2594" s="26" t="s">
        <v>8051</v>
      </c>
      <c r="S2594" s="26" t="s">
        <v>29</v>
      </c>
      <c r="T2594" s="6" t="str">
        <f>HYPERLINK("https://kanzpp.ru/api/getInfo/image/0647efab-194b-11ed-a215-ac1f6b442185")</f>
        <v>https://kanzpp.ru/api/getInfo/image/0647efab-194b-11ed-a215-ac1f6b442185</v>
      </c>
      <c r="U2594" s="6"/>
      <c r="V2594" s="33" t="s">
        <v>35</v>
      </c>
    </row>
    <row r="2595" spans="2:22" ht="22.95" customHeight="1" outlineLevel="1" x14ac:dyDescent="0.2">
      <c r="B2595" s="79" t="s">
        <v>8052</v>
      </c>
      <c r="C2595" s="79"/>
      <c r="D2595" s="79"/>
      <c r="L2595">
        <v>0</v>
      </c>
    </row>
    <row r="2596" spans="2:22" ht="22.95" customHeight="1" outlineLevel="2" x14ac:dyDescent="0.2">
      <c r="B2596" s="80" t="s">
        <v>8053</v>
      </c>
      <c r="C2596" s="80"/>
      <c r="D2596" s="80"/>
      <c r="L2596">
        <v>0</v>
      </c>
    </row>
    <row r="2597" spans="2:22" ht="22.95" customHeight="1" outlineLevel="3" x14ac:dyDescent="0.2">
      <c r="B2597" s="81" t="s">
        <v>8054</v>
      </c>
      <c r="C2597" s="81"/>
      <c r="D2597" s="81"/>
      <c r="L2597">
        <v>0</v>
      </c>
    </row>
    <row r="2598" spans="2:22" ht="22.95" customHeight="1" outlineLevel="4" x14ac:dyDescent="0.2">
      <c r="B2598" s="82" t="s">
        <v>8055</v>
      </c>
      <c r="C2598" s="82"/>
      <c r="D2598" s="82"/>
      <c r="L2598">
        <v>0</v>
      </c>
    </row>
    <row r="2599" spans="2:22" ht="21" customHeight="1" outlineLevel="5" x14ac:dyDescent="0.2">
      <c r="B2599" s="69">
        <v>1909</v>
      </c>
      <c r="C2599" s="6" t="s">
        <v>8056</v>
      </c>
      <c r="D2599" s="6" t="s">
        <v>8057</v>
      </c>
      <c r="E2599" s="7" t="s">
        <v>8058</v>
      </c>
      <c r="F2599" s="13"/>
      <c r="G2599" s="14"/>
      <c r="H2599" s="15">
        <v>80</v>
      </c>
      <c r="I2599" s="15">
        <v>20</v>
      </c>
      <c r="J2599" s="17">
        <v>3066</v>
      </c>
      <c r="K2599" s="5">
        <v>20</v>
      </c>
      <c r="L2599" s="16">
        <v>22.533333333333331</v>
      </c>
      <c r="M2599" s="12"/>
      <c r="N2599" s="14">
        <f>L2599*M2599</f>
        <v>0</v>
      </c>
      <c r="O2599" s="23">
        <f>0.083*M2599</f>
        <v>0</v>
      </c>
      <c r="P2599" s="24">
        <f>0.00027*M2599</f>
        <v>0</v>
      </c>
      <c r="Q2599" s="25"/>
      <c r="R2599" s="26" t="s">
        <v>8059</v>
      </c>
      <c r="S2599" s="26" t="s">
        <v>93</v>
      </c>
      <c r="T2599" s="6" t="str">
        <f>HYPERLINK("https://kanzpp.ru/api/getInfo/image/e3a61d8a-e42e-11ed-a233-00155d82e902")</f>
        <v>https://kanzpp.ru/api/getInfo/image/e3a61d8a-e42e-11ed-a233-00155d82e902</v>
      </c>
      <c r="U2599" s="6"/>
      <c r="V2599" s="33" t="s">
        <v>35</v>
      </c>
    </row>
    <row r="2600" spans="2:22" ht="22.95" customHeight="1" outlineLevel="4" x14ac:dyDescent="0.2">
      <c r="B2600" s="82" t="s">
        <v>8060</v>
      </c>
      <c r="C2600" s="82"/>
      <c r="D2600" s="82"/>
      <c r="L2600">
        <v>0</v>
      </c>
    </row>
    <row r="2601" spans="2:22" ht="21" customHeight="1" outlineLevel="5" x14ac:dyDescent="0.2">
      <c r="B2601" s="71">
        <v>1910</v>
      </c>
      <c r="C2601" s="37" t="s">
        <v>8061</v>
      </c>
      <c r="D2601" s="37" t="s">
        <v>8062</v>
      </c>
      <c r="E2601" s="38" t="s">
        <v>8063</v>
      </c>
      <c r="F2601" s="39"/>
      <c r="G2601" s="40"/>
      <c r="H2601" s="41">
        <v>64</v>
      </c>
      <c r="I2601" s="41">
        <v>2</v>
      </c>
      <c r="J2601" s="50">
        <v>2253</v>
      </c>
      <c r="K2601" s="36">
        <v>18</v>
      </c>
      <c r="L2601" s="42">
        <f>(35.54*(1-O3/100))/0.75</f>
        <v>47.386666666666663</v>
      </c>
      <c r="M2601" s="12"/>
      <c r="N2601" s="40">
        <f>L2601*M2601</f>
        <v>0</v>
      </c>
      <c r="O2601" s="43">
        <f>0.076*M2601</f>
        <v>0</v>
      </c>
      <c r="P2601" s="47">
        <f>0.00021*M2601</f>
        <v>0</v>
      </c>
      <c r="Q2601" s="44"/>
      <c r="R2601" s="45" t="s">
        <v>8064</v>
      </c>
      <c r="S2601" s="45" t="s">
        <v>93</v>
      </c>
      <c r="T2601" s="37" t="str">
        <f>HYPERLINK("https://kanzpp.ru/api/getInfo/image/0579be0e-a5b4-11ef-a267-00155d82e908")</f>
        <v>https://kanzpp.ru/api/getInfo/image/0579be0e-a5b4-11ef-a267-00155d82e908</v>
      </c>
      <c r="U2601" s="37"/>
    </row>
    <row r="2602" spans="2:22" ht="21" customHeight="1" outlineLevel="5" x14ac:dyDescent="0.2">
      <c r="B2602" s="71">
        <v>1911</v>
      </c>
      <c r="C2602" s="37" t="s">
        <v>8065</v>
      </c>
      <c r="D2602" s="37" t="s">
        <v>8066</v>
      </c>
      <c r="E2602" s="38" t="s">
        <v>8067</v>
      </c>
      <c r="F2602" s="39"/>
      <c r="G2602" s="40"/>
      <c r="H2602" s="41">
        <v>64</v>
      </c>
      <c r="I2602" s="41">
        <v>2</v>
      </c>
      <c r="J2602" s="41">
        <v>3</v>
      </c>
      <c r="K2602" s="36">
        <v>3</v>
      </c>
      <c r="L2602" s="42">
        <f>(35.54*(1-O3/100))/0.75</f>
        <v>47.386666666666663</v>
      </c>
      <c r="M2602" s="12"/>
      <c r="N2602" s="40">
        <f>L2602*M2602</f>
        <v>0</v>
      </c>
      <c r="O2602" s="43">
        <f>5.311*M2602</f>
        <v>0</v>
      </c>
      <c r="P2602" s="47">
        <f>0.01055*M2602</f>
        <v>0</v>
      </c>
      <c r="Q2602" s="44"/>
      <c r="R2602" s="45" t="s">
        <v>8068</v>
      </c>
      <c r="S2602" s="45" t="s">
        <v>93</v>
      </c>
      <c r="T2602" s="37" t="str">
        <f>HYPERLINK("https://kanzpp.ru/api/getInfo/image/6883c4fd-d74a-11f0-a28c-00155d82e908")</f>
        <v>https://kanzpp.ru/api/getInfo/image/6883c4fd-d74a-11f0-a28c-00155d82e908</v>
      </c>
      <c r="U2602" s="37"/>
    </row>
    <row r="2603" spans="2:22" ht="21" customHeight="1" outlineLevel="5" x14ac:dyDescent="0.2">
      <c r="B2603" s="71">
        <v>1912</v>
      </c>
      <c r="C2603" s="37" t="s">
        <v>8069</v>
      </c>
      <c r="D2603" s="37" t="s">
        <v>8070</v>
      </c>
      <c r="E2603" s="38" t="s">
        <v>8071</v>
      </c>
      <c r="F2603" s="39"/>
      <c r="G2603" s="40"/>
      <c r="H2603" s="41">
        <v>64</v>
      </c>
      <c r="I2603" s="41">
        <v>2</v>
      </c>
      <c r="J2603" s="41">
        <v>10</v>
      </c>
      <c r="K2603" s="36">
        <v>10</v>
      </c>
      <c r="L2603" s="42">
        <f>(35.54*(1-O3/100))/0.75</f>
        <v>47.386666666666663</v>
      </c>
      <c r="M2603" s="12"/>
      <c r="N2603" s="40">
        <f>L2603*M2603</f>
        <v>0</v>
      </c>
      <c r="O2603" s="43">
        <f>0.078*M2603</f>
        <v>0</v>
      </c>
      <c r="P2603" s="47">
        <f>0.00015*M2603</f>
        <v>0</v>
      </c>
      <c r="Q2603" s="44"/>
      <c r="R2603" s="45" t="s">
        <v>8072</v>
      </c>
      <c r="S2603" s="45" t="s">
        <v>93</v>
      </c>
      <c r="T2603" s="37" t="str">
        <f>HYPERLINK("https://kanzpp.ru/api/getInfo/image/3ba94daa-d74a-11f0-a28c-00155d82e908")</f>
        <v>https://kanzpp.ru/api/getInfo/image/3ba94daa-d74a-11f0-a28c-00155d82e908</v>
      </c>
      <c r="U2603" s="37"/>
    </row>
    <row r="2604" spans="2:22" ht="22.95" customHeight="1" outlineLevel="4" x14ac:dyDescent="0.2">
      <c r="B2604" s="82" t="s">
        <v>8073</v>
      </c>
      <c r="C2604" s="82"/>
      <c r="D2604" s="82"/>
      <c r="L2604">
        <v>0</v>
      </c>
    </row>
    <row r="2605" spans="2:22" ht="21" customHeight="1" outlineLevel="5" x14ac:dyDescent="0.2">
      <c r="B2605" s="69">
        <v>1913</v>
      </c>
      <c r="C2605" s="6" t="s">
        <v>8074</v>
      </c>
      <c r="D2605" s="6" t="s">
        <v>8075</v>
      </c>
      <c r="E2605" s="7" t="s">
        <v>8076</v>
      </c>
      <c r="F2605" s="13"/>
      <c r="G2605" s="14"/>
      <c r="H2605" s="15">
        <v>64</v>
      </c>
      <c r="I2605" s="15">
        <v>16</v>
      </c>
      <c r="J2605" s="15">
        <v>420</v>
      </c>
      <c r="K2605" s="5">
        <v>16</v>
      </c>
      <c r="L2605" s="16">
        <v>47.973333333333329</v>
      </c>
      <c r="M2605" s="12"/>
      <c r="N2605" s="14">
        <f>L2605*M2605</f>
        <v>0</v>
      </c>
      <c r="O2605" s="23">
        <f>0.115*M2605</f>
        <v>0</v>
      </c>
      <c r="P2605" s="24">
        <f>0.00015*M2605</f>
        <v>0</v>
      </c>
      <c r="Q2605" s="25"/>
      <c r="R2605" s="26" t="s">
        <v>8077</v>
      </c>
      <c r="S2605" s="26" t="s">
        <v>93</v>
      </c>
      <c r="T2605" s="6" t="str">
        <f>HYPERLINK("https://kanzpp.ru/api/getInfo/image/cacf3e49-2fd6-11ef-a261-00155d82e908")</f>
        <v>https://kanzpp.ru/api/getInfo/image/cacf3e49-2fd6-11ef-a261-00155d82e908</v>
      </c>
      <c r="U2605" s="6"/>
      <c r="V2605" s="33" t="s">
        <v>35</v>
      </c>
    </row>
    <row r="2606" spans="2:22" ht="22.95" customHeight="1" outlineLevel="4" x14ac:dyDescent="0.2">
      <c r="B2606" s="82" t="s">
        <v>8078</v>
      </c>
      <c r="C2606" s="82"/>
      <c r="D2606" s="82"/>
      <c r="L2606">
        <v>0</v>
      </c>
    </row>
    <row r="2607" spans="2:22" ht="21" customHeight="1" outlineLevel="5" x14ac:dyDescent="0.2">
      <c r="B2607" s="69">
        <v>1914</v>
      </c>
      <c r="C2607" s="6" t="s">
        <v>8079</v>
      </c>
      <c r="D2607" s="6" t="s">
        <v>8080</v>
      </c>
      <c r="E2607" s="7" t="s">
        <v>8081</v>
      </c>
      <c r="F2607" s="13"/>
      <c r="G2607" s="14"/>
      <c r="H2607" s="15">
        <v>30</v>
      </c>
      <c r="I2607" s="14"/>
      <c r="J2607" s="17">
        <v>1053</v>
      </c>
      <c r="K2607" s="5">
        <v>3</v>
      </c>
      <c r="L2607" s="16">
        <v>177.22666666666666</v>
      </c>
      <c r="M2607" s="12"/>
      <c r="N2607" s="14">
        <f>L2607*M2607</f>
        <v>0</v>
      </c>
      <c r="O2607" s="23">
        <f>0.201*M2607</f>
        <v>0</v>
      </c>
      <c r="P2607" s="24">
        <f>0.00045*M2607</f>
        <v>0</v>
      </c>
      <c r="Q2607" s="25"/>
      <c r="R2607" s="26" t="s">
        <v>8082</v>
      </c>
      <c r="S2607" s="26" t="s">
        <v>93</v>
      </c>
      <c r="T2607" s="6" t="str">
        <f>HYPERLINK("https://kanzpp.ru/api/getInfo/image/9386fa2c-a638-11ef-a267-00155d82e908")</f>
        <v>https://kanzpp.ru/api/getInfo/image/9386fa2c-a638-11ef-a267-00155d82e908</v>
      </c>
      <c r="U2607" s="6"/>
      <c r="V2607" s="33" t="s">
        <v>35</v>
      </c>
    </row>
    <row r="2608" spans="2:22" ht="21" customHeight="1" outlineLevel="5" x14ac:dyDescent="0.2">
      <c r="B2608" s="69">
        <v>1915</v>
      </c>
      <c r="C2608" s="6" t="s">
        <v>8083</v>
      </c>
      <c r="D2608" s="6" t="s">
        <v>8084</v>
      </c>
      <c r="E2608" s="7" t="s">
        <v>8085</v>
      </c>
      <c r="F2608" s="13"/>
      <c r="G2608" s="14"/>
      <c r="H2608" s="15">
        <v>30</v>
      </c>
      <c r="I2608" s="14"/>
      <c r="J2608" s="17">
        <v>1375</v>
      </c>
      <c r="K2608" s="5">
        <v>3</v>
      </c>
      <c r="L2608" s="16">
        <v>177.22666666666666</v>
      </c>
      <c r="M2608" s="12"/>
      <c r="N2608" s="14">
        <f>L2608*M2608</f>
        <v>0</v>
      </c>
      <c r="O2608" s="23">
        <f>0.196*M2608</f>
        <v>0</v>
      </c>
      <c r="P2608" s="31">
        <f>0.0003*M2608</f>
        <v>0</v>
      </c>
      <c r="Q2608" s="25"/>
      <c r="R2608" s="26" t="s">
        <v>8086</v>
      </c>
      <c r="S2608" s="26" t="s">
        <v>93</v>
      </c>
      <c r="T2608" s="6" t="str">
        <f>HYPERLINK("https://kanzpp.ru/api/getInfo/image/7136a212-a638-11ef-a267-00155d82e908")</f>
        <v>https://kanzpp.ru/api/getInfo/image/7136a212-a638-11ef-a267-00155d82e908</v>
      </c>
      <c r="U2608" s="6"/>
      <c r="V2608" s="33" t="s">
        <v>35</v>
      </c>
    </row>
    <row r="2609" spans="2:22" ht="21" customHeight="1" outlineLevel="5" x14ac:dyDescent="0.2">
      <c r="B2609" s="69">
        <v>1916</v>
      </c>
      <c r="C2609" s="6" t="s">
        <v>8087</v>
      </c>
      <c r="D2609" s="6" t="s">
        <v>8088</v>
      </c>
      <c r="E2609" s="7" t="s">
        <v>8089</v>
      </c>
      <c r="F2609" s="13"/>
      <c r="G2609" s="14"/>
      <c r="H2609" s="15">
        <v>30</v>
      </c>
      <c r="I2609" s="14"/>
      <c r="J2609" s="15">
        <v>13</v>
      </c>
      <c r="K2609" s="5">
        <v>3</v>
      </c>
      <c r="L2609" s="16">
        <v>177.22666666666666</v>
      </c>
      <c r="M2609" s="12"/>
      <c r="N2609" s="14">
        <f>L2609*M2609</f>
        <v>0</v>
      </c>
      <c r="O2609" s="23">
        <f>0.098*M2609</f>
        <v>0</v>
      </c>
      <c r="P2609" s="24">
        <f>0.00015*M2609</f>
        <v>0</v>
      </c>
      <c r="Q2609" s="25"/>
      <c r="R2609" s="26" t="s">
        <v>8090</v>
      </c>
      <c r="S2609" s="26" t="s">
        <v>93</v>
      </c>
      <c r="T2609" s="6" t="str">
        <f>HYPERLINK("https://kanzpp.ru/api/getInfo/image/51c0c9e4-a638-11ef-a267-00155d82e908")</f>
        <v>https://kanzpp.ru/api/getInfo/image/51c0c9e4-a638-11ef-a267-00155d82e908</v>
      </c>
      <c r="U2609" s="6"/>
      <c r="V2609" s="33" t="s">
        <v>35</v>
      </c>
    </row>
    <row r="2610" spans="2:22" ht="21" customHeight="1" outlineLevel="5" x14ac:dyDescent="0.2">
      <c r="B2610" s="69">
        <v>1917</v>
      </c>
      <c r="C2610" s="6" t="s">
        <v>8091</v>
      </c>
      <c r="D2610" s="6" t="s">
        <v>8092</v>
      </c>
      <c r="E2610" s="7" t="s">
        <v>8093</v>
      </c>
      <c r="F2610" s="13"/>
      <c r="G2610" s="14"/>
      <c r="H2610" s="15">
        <v>30</v>
      </c>
      <c r="I2610" s="14"/>
      <c r="J2610" s="17">
        <v>1262</v>
      </c>
      <c r="K2610" s="5">
        <v>3</v>
      </c>
      <c r="L2610" s="16">
        <v>177.22666666666666</v>
      </c>
      <c r="M2610" s="12"/>
      <c r="N2610" s="14">
        <f>L2610*M2610</f>
        <v>0</v>
      </c>
      <c r="O2610" s="23">
        <f>0.108*M2610</f>
        <v>0</v>
      </c>
      <c r="P2610" s="24">
        <f>0.00021*M2610</f>
        <v>0</v>
      </c>
      <c r="Q2610" s="25"/>
      <c r="R2610" s="26" t="s">
        <v>8094</v>
      </c>
      <c r="S2610" s="26" t="s">
        <v>93</v>
      </c>
      <c r="T2610" s="6" t="str">
        <f>HYPERLINK("https://kanzpp.ru/api/getInfo/image/ed2b0711-a637-11ef-a267-00155d82e908")</f>
        <v>https://kanzpp.ru/api/getInfo/image/ed2b0711-a637-11ef-a267-00155d82e908</v>
      </c>
      <c r="U2610" s="6"/>
      <c r="V2610" s="33" t="s">
        <v>35</v>
      </c>
    </row>
    <row r="2611" spans="2:22" ht="22.95" customHeight="1" outlineLevel="4" x14ac:dyDescent="0.2">
      <c r="B2611" s="82" t="s">
        <v>8095</v>
      </c>
      <c r="C2611" s="82"/>
      <c r="D2611" s="82"/>
      <c r="L2611">
        <v>0</v>
      </c>
    </row>
    <row r="2612" spans="2:22" ht="21" customHeight="1" outlineLevel="5" x14ac:dyDescent="0.2">
      <c r="B2612" s="71">
        <v>1918</v>
      </c>
      <c r="C2612" s="37" t="s">
        <v>8096</v>
      </c>
      <c r="D2612" s="37" t="s">
        <v>8097</v>
      </c>
      <c r="E2612" s="38" t="s">
        <v>8098</v>
      </c>
      <c r="F2612" s="39"/>
      <c r="G2612" s="40"/>
      <c r="H2612" s="41">
        <v>48</v>
      </c>
      <c r="I2612" s="41">
        <v>12</v>
      </c>
      <c r="J2612" s="50">
        <v>4086</v>
      </c>
      <c r="K2612" s="36">
        <v>12</v>
      </c>
      <c r="L2612" s="42">
        <f>(56.87*(1-O3/100))/0.75</f>
        <v>75.826666666666668</v>
      </c>
      <c r="M2612" s="12"/>
      <c r="N2612" s="40">
        <f t="shared" ref="N2612:N2617" si="119">L2612*M2612</f>
        <v>0</v>
      </c>
      <c r="O2612" s="43">
        <f>0.149*M2612</f>
        <v>0</v>
      </c>
      <c r="P2612" s="47">
        <f>0.00037*M2612</f>
        <v>0</v>
      </c>
      <c r="Q2612" s="44"/>
      <c r="R2612" s="45" t="s">
        <v>8099</v>
      </c>
      <c r="S2612" s="45" t="s">
        <v>93</v>
      </c>
      <c r="T2612" s="37" t="str">
        <f>HYPERLINK("https://kanzpp.ru/api/getInfo/image/58e8a902-e5cc-11ed-a233-00155d82e902")</f>
        <v>https://kanzpp.ru/api/getInfo/image/58e8a902-e5cc-11ed-a233-00155d82e902</v>
      </c>
      <c r="U2612" s="37"/>
    </row>
    <row r="2613" spans="2:22" ht="21" customHeight="1" outlineLevel="5" x14ac:dyDescent="0.2">
      <c r="B2613" s="71">
        <v>1919</v>
      </c>
      <c r="C2613" s="37" t="s">
        <v>8100</v>
      </c>
      <c r="D2613" s="37" t="s">
        <v>8101</v>
      </c>
      <c r="E2613" s="38" t="s">
        <v>8102</v>
      </c>
      <c r="F2613" s="39"/>
      <c r="G2613" s="40"/>
      <c r="H2613" s="41">
        <v>48</v>
      </c>
      <c r="I2613" s="41">
        <v>12</v>
      </c>
      <c r="J2613" s="50">
        <v>2735</v>
      </c>
      <c r="K2613" s="36">
        <v>12</v>
      </c>
      <c r="L2613" s="42">
        <f>(56.87*(1-O3/100))/0.75</f>
        <v>75.826666666666668</v>
      </c>
      <c r="M2613" s="12"/>
      <c r="N2613" s="40">
        <f t="shared" si="119"/>
        <v>0</v>
      </c>
      <c r="O2613" s="48">
        <f>0.15*M2613</f>
        <v>0</v>
      </c>
      <c r="P2613" s="47">
        <f>0.00021*M2613</f>
        <v>0</v>
      </c>
      <c r="Q2613" s="44"/>
      <c r="R2613" s="45" t="s">
        <v>8103</v>
      </c>
      <c r="S2613" s="45" t="s">
        <v>93</v>
      </c>
      <c r="T2613" s="37" t="str">
        <f>HYPERLINK("https://kanzpp.ru/api/getInfo/image/8318f6d9-84af-11f0-a284-00155d82e908")</f>
        <v>https://kanzpp.ru/api/getInfo/image/8318f6d9-84af-11f0-a284-00155d82e908</v>
      </c>
      <c r="U2613" s="37"/>
    </row>
    <row r="2614" spans="2:22" ht="21" customHeight="1" outlineLevel="5" x14ac:dyDescent="0.2">
      <c r="B2614" s="71">
        <v>1920</v>
      </c>
      <c r="C2614" s="37" t="s">
        <v>8104</v>
      </c>
      <c r="D2614" s="37" t="s">
        <v>8105</v>
      </c>
      <c r="E2614" s="38" t="s">
        <v>8106</v>
      </c>
      <c r="F2614" s="39"/>
      <c r="G2614" s="40"/>
      <c r="H2614" s="41">
        <v>48</v>
      </c>
      <c r="I2614" s="41">
        <v>12</v>
      </c>
      <c r="J2614" s="50">
        <v>2431</v>
      </c>
      <c r="K2614" s="36">
        <v>12</v>
      </c>
      <c r="L2614" s="42">
        <f>(56.87*(1-O3/100))/0.75</f>
        <v>75.826666666666668</v>
      </c>
      <c r="M2614" s="12"/>
      <c r="N2614" s="40">
        <f t="shared" si="119"/>
        <v>0</v>
      </c>
      <c r="O2614" s="43">
        <f>0.147*M2614</f>
        <v>0</v>
      </c>
      <c r="P2614" s="47">
        <f>0.00018*M2614</f>
        <v>0</v>
      </c>
      <c r="Q2614" s="44"/>
      <c r="R2614" s="45" t="s">
        <v>8107</v>
      </c>
      <c r="S2614" s="45" t="s">
        <v>93</v>
      </c>
      <c r="T2614" s="37" t="str">
        <f>HYPERLINK("https://kanzpp.ru/api/getInfo/image/b376687d-84af-11f0-a284-00155d82e908")</f>
        <v>https://kanzpp.ru/api/getInfo/image/b376687d-84af-11f0-a284-00155d82e908</v>
      </c>
      <c r="U2614" s="37"/>
    </row>
    <row r="2615" spans="2:22" ht="21" customHeight="1" outlineLevel="5" x14ac:dyDescent="0.2">
      <c r="B2615" s="71">
        <v>1921</v>
      </c>
      <c r="C2615" s="37" t="s">
        <v>8108</v>
      </c>
      <c r="D2615" s="37" t="s">
        <v>8109</v>
      </c>
      <c r="E2615" s="38" t="s">
        <v>8110</v>
      </c>
      <c r="F2615" s="39"/>
      <c r="G2615" s="40"/>
      <c r="H2615" s="41">
        <v>48</v>
      </c>
      <c r="I2615" s="41">
        <v>12</v>
      </c>
      <c r="J2615" s="50">
        <v>1308</v>
      </c>
      <c r="K2615" s="36">
        <v>12</v>
      </c>
      <c r="L2615" s="42">
        <f>(56.87*(1-O3/100))/0.75</f>
        <v>75.826666666666668</v>
      </c>
      <c r="M2615" s="12"/>
      <c r="N2615" s="40">
        <f t="shared" si="119"/>
        <v>0</v>
      </c>
      <c r="O2615" s="48">
        <f>0.15*M2615</f>
        <v>0</v>
      </c>
      <c r="P2615" s="47">
        <f>0.00024*M2615</f>
        <v>0</v>
      </c>
      <c r="Q2615" s="44"/>
      <c r="R2615" s="45" t="s">
        <v>8111</v>
      </c>
      <c r="S2615" s="45" t="s">
        <v>93</v>
      </c>
      <c r="T2615" s="37" t="str">
        <f>HYPERLINK("https://kanzpp.ru/api/getInfo/image/192660bc-84af-11f0-a284-00155d82e908")</f>
        <v>https://kanzpp.ru/api/getInfo/image/192660bc-84af-11f0-a284-00155d82e908</v>
      </c>
      <c r="U2615" s="37"/>
    </row>
    <row r="2616" spans="2:22" ht="21" customHeight="1" outlineLevel="5" x14ac:dyDescent="0.2">
      <c r="B2616" s="71">
        <v>1922</v>
      </c>
      <c r="C2616" s="37" t="s">
        <v>8112</v>
      </c>
      <c r="D2616" s="37" t="s">
        <v>8113</v>
      </c>
      <c r="E2616" s="38" t="s">
        <v>8114</v>
      </c>
      <c r="F2616" s="39"/>
      <c r="G2616" s="40"/>
      <c r="H2616" s="41">
        <v>48</v>
      </c>
      <c r="I2616" s="41">
        <v>12</v>
      </c>
      <c r="J2616" s="50">
        <v>3695</v>
      </c>
      <c r="K2616" s="36">
        <v>12</v>
      </c>
      <c r="L2616" s="42">
        <f>(56.87*(1-O3/100))/0.75</f>
        <v>75.826666666666668</v>
      </c>
      <c r="M2616" s="12"/>
      <c r="N2616" s="40">
        <f t="shared" si="119"/>
        <v>0</v>
      </c>
      <c r="O2616" s="43">
        <f>0.149*M2616</f>
        <v>0</v>
      </c>
      <c r="P2616" s="47">
        <f>0.00021*M2616</f>
        <v>0</v>
      </c>
      <c r="Q2616" s="44"/>
      <c r="R2616" s="45" t="s">
        <v>8115</v>
      </c>
      <c r="S2616" s="45" t="s">
        <v>93</v>
      </c>
      <c r="T2616" s="37" t="str">
        <f>HYPERLINK("https://kanzpp.ru/api/getInfo/image/19f8f52e-d74e-11f0-a28c-00155d82e908")</f>
        <v>https://kanzpp.ru/api/getInfo/image/19f8f52e-d74e-11f0-a28c-00155d82e908</v>
      </c>
      <c r="U2616" s="37"/>
    </row>
    <row r="2617" spans="2:22" ht="21" customHeight="1" outlineLevel="5" x14ac:dyDescent="0.2">
      <c r="B2617" s="71">
        <v>1923</v>
      </c>
      <c r="C2617" s="37" t="s">
        <v>8116</v>
      </c>
      <c r="D2617" s="37" t="s">
        <v>8117</v>
      </c>
      <c r="E2617" s="38" t="s">
        <v>8118</v>
      </c>
      <c r="F2617" s="39"/>
      <c r="G2617" s="40"/>
      <c r="H2617" s="41">
        <v>48</v>
      </c>
      <c r="I2617" s="41">
        <v>12</v>
      </c>
      <c r="J2617" s="41">
        <v>108</v>
      </c>
      <c r="K2617" s="36">
        <v>12</v>
      </c>
      <c r="L2617" s="42">
        <f>(56.87*(1-O3/100))/0.75</f>
        <v>75.826666666666668</v>
      </c>
      <c r="M2617" s="12"/>
      <c r="N2617" s="40">
        <f t="shared" si="119"/>
        <v>0</v>
      </c>
      <c r="O2617" s="43">
        <f>0.152*M2617</f>
        <v>0</v>
      </c>
      <c r="P2617" s="47">
        <f>0.00018*M2617</f>
        <v>0</v>
      </c>
      <c r="Q2617" s="44"/>
      <c r="R2617" s="45" t="s">
        <v>8119</v>
      </c>
      <c r="S2617" s="45" t="s">
        <v>93</v>
      </c>
      <c r="T2617" s="37" t="str">
        <f>HYPERLINK("https://kanzpp.ru/api/getInfo/image/d31818b0-84ae-11f0-a284-00155d82e908")</f>
        <v>https://kanzpp.ru/api/getInfo/image/d31818b0-84ae-11f0-a284-00155d82e908</v>
      </c>
      <c r="U2617" s="37"/>
    </row>
    <row r="2618" spans="2:22" ht="22.95" customHeight="1" outlineLevel="3" x14ac:dyDescent="0.2">
      <c r="B2618" s="81" t="s">
        <v>8120</v>
      </c>
      <c r="C2618" s="81"/>
      <c r="D2618" s="81"/>
      <c r="L2618">
        <v>0</v>
      </c>
    </row>
    <row r="2619" spans="2:22" ht="22.95" customHeight="1" outlineLevel="4" x14ac:dyDescent="0.2">
      <c r="B2619" s="82" t="s">
        <v>8121</v>
      </c>
      <c r="C2619" s="82"/>
      <c r="D2619" s="82"/>
      <c r="L2619">
        <v>0</v>
      </c>
    </row>
    <row r="2620" spans="2:22" ht="21" customHeight="1" outlineLevel="5" x14ac:dyDescent="0.2">
      <c r="B2620" s="69">
        <v>1924</v>
      </c>
      <c r="C2620" s="6" t="s">
        <v>8122</v>
      </c>
      <c r="D2620" s="6" t="s">
        <v>8123</v>
      </c>
      <c r="E2620" s="7" t="s">
        <v>8124</v>
      </c>
      <c r="F2620" s="13"/>
      <c r="G2620" s="14"/>
      <c r="H2620" s="15">
        <v>160</v>
      </c>
      <c r="I2620" s="15">
        <v>20</v>
      </c>
      <c r="J2620" s="17">
        <v>1744</v>
      </c>
      <c r="K2620" s="5">
        <v>20</v>
      </c>
      <c r="L2620" s="16">
        <v>13.200000000000001</v>
      </c>
      <c r="M2620" s="12"/>
      <c r="N2620" s="14">
        <f>L2620*M2620</f>
        <v>0</v>
      </c>
      <c r="O2620" s="23">
        <f>0.181*M2620</f>
        <v>0</v>
      </c>
      <c r="P2620" s="24">
        <f>0.00024*M2620</f>
        <v>0</v>
      </c>
      <c r="Q2620" s="25"/>
      <c r="R2620" s="26" t="s">
        <v>8125</v>
      </c>
      <c r="S2620" s="26" t="s">
        <v>93</v>
      </c>
      <c r="T2620" s="6" t="str">
        <f>HYPERLINK("https://kanzpp.ru/api/getInfo/image/e6a3aeca-2dfc-11ef-a261-00155d82e908")</f>
        <v>https://kanzpp.ru/api/getInfo/image/e6a3aeca-2dfc-11ef-a261-00155d82e908</v>
      </c>
      <c r="U2620" s="6"/>
      <c r="V2620" s="33" t="s">
        <v>35</v>
      </c>
    </row>
    <row r="2621" spans="2:22" ht="21" customHeight="1" outlineLevel="5" x14ac:dyDescent="0.2">
      <c r="B2621" s="71">
        <v>1925</v>
      </c>
      <c r="C2621" s="37" t="s">
        <v>8126</v>
      </c>
      <c r="D2621" s="37" t="s">
        <v>8127</v>
      </c>
      <c r="E2621" s="38" t="s">
        <v>8128</v>
      </c>
      <c r="F2621" s="39"/>
      <c r="G2621" s="40"/>
      <c r="H2621" s="41">
        <v>160</v>
      </c>
      <c r="I2621" s="41">
        <v>20</v>
      </c>
      <c r="J2621" s="50">
        <v>4480</v>
      </c>
      <c r="K2621" s="36">
        <v>20</v>
      </c>
      <c r="L2621" s="42">
        <f>(20.65*(1-O3/100))/0.75</f>
        <v>27.533333333333331</v>
      </c>
      <c r="M2621" s="12"/>
      <c r="N2621" s="40">
        <f>L2621*M2621</f>
        <v>0</v>
      </c>
      <c r="O2621" s="43">
        <f>0.038*M2621</f>
        <v>0</v>
      </c>
      <c r="P2621" s="47">
        <f>0.00004*M2621</f>
        <v>0</v>
      </c>
      <c r="Q2621" s="44"/>
      <c r="R2621" s="45" t="s">
        <v>8129</v>
      </c>
      <c r="S2621" s="45" t="s">
        <v>93</v>
      </c>
      <c r="T2621" s="37" t="str">
        <f>HYPERLINK("https://kanzpp.ru/api/getInfo/image/c239c665-32ec-11ef-a261-00155d82e908")</f>
        <v>https://kanzpp.ru/api/getInfo/image/c239c665-32ec-11ef-a261-00155d82e908</v>
      </c>
      <c r="U2621" s="37"/>
    </row>
    <row r="2622" spans="2:22" ht="21" customHeight="1" outlineLevel="5" x14ac:dyDescent="0.2">
      <c r="B2622" s="71">
        <v>1926</v>
      </c>
      <c r="C2622" s="37" t="s">
        <v>8130</v>
      </c>
      <c r="D2622" s="37" t="s">
        <v>8131</v>
      </c>
      <c r="E2622" s="38" t="s">
        <v>8132</v>
      </c>
      <c r="F2622" s="39"/>
      <c r="G2622" s="40"/>
      <c r="H2622" s="41">
        <v>160</v>
      </c>
      <c r="I2622" s="41">
        <v>20</v>
      </c>
      <c r="J2622" s="50">
        <v>3269</v>
      </c>
      <c r="K2622" s="36">
        <v>20</v>
      </c>
      <c r="L2622" s="42">
        <f>(20.65*(1-O3/100))/0.75</f>
        <v>27.533333333333331</v>
      </c>
      <c r="M2622" s="12"/>
      <c r="N2622" s="40">
        <f>L2622*M2622</f>
        <v>0</v>
      </c>
      <c r="O2622" s="43">
        <f>0.039*M2622</f>
        <v>0</v>
      </c>
      <c r="P2622" s="47">
        <f>0.00008*M2622</f>
        <v>0</v>
      </c>
      <c r="Q2622" s="44"/>
      <c r="R2622" s="45" t="s">
        <v>8133</v>
      </c>
      <c r="S2622" s="45" t="s">
        <v>93</v>
      </c>
      <c r="T2622" s="37" t="str">
        <f>HYPERLINK("https://kanzpp.ru/api/getInfo/image/65b6c651-32eb-11ef-a261-00155d82e908")</f>
        <v>https://kanzpp.ru/api/getInfo/image/65b6c651-32eb-11ef-a261-00155d82e908</v>
      </c>
      <c r="U2622" s="37"/>
    </row>
    <row r="2623" spans="2:22" ht="21" customHeight="1" outlineLevel="5" x14ac:dyDescent="0.2">
      <c r="B2623" s="71">
        <v>1927</v>
      </c>
      <c r="C2623" s="37" t="s">
        <v>8134</v>
      </c>
      <c r="D2623" s="37" t="s">
        <v>8135</v>
      </c>
      <c r="E2623" s="38" t="s">
        <v>8136</v>
      </c>
      <c r="F2623" s="39"/>
      <c r="G2623" s="40"/>
      <c r="H2623" s="41">
        <v>160</v>
      </c>
      <c r="I2623" s="41">
        <v>20</v>
      </c>
      <c r="J2623" s="50">
        <v>2940</v>
      </c>
      <c r="K2623" s="36">
        <v>20</v>
      </c>
      <c r="L2623" s="42">
        <f>(20.65*(1-O3/100))/0.75</f>
        <v>27.533333333333331</v>
      </c>
      <c r="M2623" s="12"/>
      <c r="N2623" s="40">
        <f>L2623*M2623</f>
        <v>0</v>
      </c>
      <c r="O2623" s="43">
        <f>0.038*M2623</f>
        <v>0</v>
      </c>
      <c r="P2623" s="47">
        <f>0.00004*M2623</f>
        <v>0</v>
      </c>
      <c r="Q2623" s="44"/>
      <c r="R2623" s="45" t="s">
        <v>8137</v>
      </c>
      <c r="S2623" s="45" t="s">
        <v>93</v>
      </c>
      <c r="T2623" s="37" t="str">
        <f>HYPERLINK("https://kanzpp.ru/api/getInfo/image/c57387f0-32e8-11ef-a261-00155d82e908")</f>
        <v>https://kanzpp.ru/api/getInfo/image/c57387f0-32e8-11ef-a261-00155d82e908</v>
      </c>
      <c r="U2623" s="37"/>
    </row>
    <row r="2624" spans="2:22" ht="22.95" customHeight="1" outlineLevel="4" x14ac:dyDescent="0.2">
      <c r="B2624" s="82" t="s">
        <v>8138</v>
      </c>
      <c r="C2624" s="82"/>
      <c r="D2624" s="82"/>
      <c r="L2624">
        <v>0</v>
      </c>
    </row>
    <row r="2625" spans="2:22" ht="21" customHeight="1" outlineLevel="5" x14ac:dyDescent="0.2">
      <c r="B2625" s="71">
        <v>1928</v>
      </c>
      <c r="C2625" s="37" t="s">
        <v>8139</v>
      </c>
      <c r="D2625" s="37" t="s">
        <v>8140</v>
      </c>
      <c r="E2625" s="38" t="s">
        <v>8141</v>
      </c>
      <c r="F2625" s="39"/>
      <c r="G2625" s="40"/>
      <c r="H2625" s="41">
        <v>160</v>
      </c>
      <c r="I2625" s="41">
        <v>16</v>
      </c>
      <c r="J2625" s="41">
        <v>368</v>
      </c>
      <c r="K2625" s="36">
        <v>16</v>
      </c>
      <c r="L2625" s="42">
        <f>(25.88*(1-O3/100))/0.75</f>
        <v>34.506666666666668</v>
      </c>
      <c r="M2625" s="12"/>
      <c r="N2625" s="40">
        <f>L2625*M2625</f>
        <v>0</v>
      </c>
      <c r="O2625" s="43">
        <f>0.034*M2625</f>
        <v>0</v>
      </c>
      <c r="P2625" s="47">
        <f>0.00007*M2625</f>
        <v>0</v>
      </c>
      <c r="Q2625" s="44"/>
      <c r="R2625" s="45" t="s">
        <v>8142</v>
      </c>
      <c r="S2625" s="45" t="s">
        <v>93</v>
      </c>
      <c r="T2625" s="37" t="str">
        <f>HYPERLINK("https://kanzpp.ru/api/getInfo/image/4f3e2855-a5b5-11ef-a267-00155d82e908")</f>
        <v>https://kanzpp.ru/api/getInfo/image/4f3e2855-a5b5-11ef-a267-00155d82e908</v>
      </c>
      <c r="U2625" s="37"/>
    </row>
    <row r="2626" spans="2:22" ht="21" customHeight="1" outlineLevel="5" x14ac:dyDescent="0.2">
      <c r="B2626" s="71">
        <v>1929</v>
      </c>
      <c r="C2626" s="37" t="s">
        <v>8143</v>
      </c>
      <c r="D2626" s="37" t="s">
        <v>8144</v>
      </c>
      <c r="E2626" s="38" t="s">
        <v>8145</v>
      </c>
      <c r="F2626" s="39"/>
      <c r="G2626" s="40"/>
      <c r="H2626" s="41">
        <v>160</v>
      </c>
      <c r="I2626" s="41">
        <v>16</v>
      </c>
      <c r="J2626" s="41">
        <v>250</v>
      </c>
      <c r="K2626" s="36">
        <v>16</v>
      </c>
      <c r="L2626" s="42">
        <f>(25.88*(1-O3/100))/0.75</f>
        <v>34.506666666666668</v>
      </c>
      <c r="M2626" s="12"/>
      <c r="N2626" s="40">
        <f>L2626*M2626</f>
        <v>0</v>
      </c>
      <c r="O2626" s="43">
        <f>0.145*M2626</f>
        <v>0</v>
      </c>
      <c r="P2626" s="47">
        <f>0.00007*M2626</f>
        <v>0</v>
      </c>
      <c r="Q2626" s="44"/>
      <c r="R2626" s="45" t="s">
        <v>8146</v>
      </c>
      <c r="S2626" s="45" t="s">
        <v>93</v>
      </c>
      <c r="T2626" s="37" t="str">
        <f>HYPERLINK("https://kanzpp.ru/api/getInfo/image/af781858-a634-11ef-a267-00155d82e908")</f>
        <v>https://kanzpp.ru/api/getInfo/image/af781858-a634-11ef-a267-00155d82e908</v>
      </c>
      <c r="U2626" s="37"/>
    </row>
    <row r="2627" spans="2:22" ht="21" customHeight="1" outlineLevel="5" x14ac:dyDescent="0.2">
      <c r="B2627" s="71">
        <v>1930</v>
      </c>
      <c r="C2627" s="37" t="s">
        <v>8147</v>
      </c>
      <c r="D2627" s="37" t="s">
        <v>8148</v>
      </c>
      <c r="E2627" s="38" t="s">
        <v>8149</v>
      </c>
      <c r="F2627" s="39"/>
      <c r="G2627" s="40"/>
      <c r="H2627" s="41">
        <v>160</v>
      </c>
      <c r="I2627" s="41">
        <v>16</v>
      </c>
      <c r="J2627" s="50">
        <v>1888</v>
      </c>
      <c r="K2627" s="36">
        <v>16</v>
      </c>
      <c r="L2627" s="42">
        <f>(25.88*(1-O3/100))/0.75</f>
        <v>34.506666666666668</v>
      </c>
      <c r="M2627" s="12"/>
      <c r="N2627" s="40">
        <f>L2627*M2627</f>
        <v>0</v>
      </c>
      <c r="O2627" s="43">
        <f>0.034*M2627</f>
        <v>0</v>
      </c>
      <c r="P2627" s="47">
        <f>0.00007*M2627</f>
        <v>0</v>
      </c>
      <c r="Q2627" s="44"/>
      <c r="R2627" s="45" t="s">
        <v>8150</v>
      </c>
      <c r="S2627" s="45" t="s">
        <v>93</v>
      </c>
      <c r="T2627" s="37" t="str">
        <f>HYPERLINK("https://kanzpp.ru/api/getInfo/image/ae1504d9-a636-11ef-a267-00155d82e908")</f>
        <v>https://kanzpp.ru/api/getInfo/image/ae1504d9-a636-11ef-a267-00155d82e908</v>
      </c>
      <c r="U2627" s="37"/>
    </row>
    <row r="2628" spans="2:22" ht="21" customHeight="1" outlineLevel="5" x14ac:dyDescent="0.2">
      <c r="B2628" s="71">
        <v>1931</v>
      </c>
      <c r="C2628" s="37" t="s">
        <v>8151</v>
      </c>
      <c r="D2628" s="37" t="s">
        <v>8152</v>
      </c>
      <c r="E2628" s="38" t="s">
        <v>8153</v>
      </c>
      <c r="F2628" s="39"/>
      <c r="G2628" s="40"/>
      <c r="H2628" s="41">
        <v>160</v>
      </c>
      <c r="I2628" s="41">
        <v>16</v>
      </c>
      <c r="J2628" s="50">
        <v>4970</v>
      </c>
      <c r="K2628" s="36">
        <v>16</v>
      </c>
      <c r="L2628" s="42">
        <f>(25.88*(1-O3/100))/0.75</f>
        <v>34.506666666666668</v>
      </c>
      <c r="M2628" s="12"/>
      <c r="N2628" s="40">
        <f>L2628*M2628</f>
        <v>0</v>
      </c>
      <c r="O2628" s="43">
        <f>0.043*M2628</f>
        <v>0</v>
      </c>
      <c r="P2628" s="47">
        <f>0.00009*M2628</f>
        <v>0</v>
      </c>
      <c r="Q2628" s="44"/>
      <c r="R2628" s="45" t="s">
        <v>8154</v>
      </c>
      <c r="S2628" s="45" t="s">
        <v>93</v>
      </c>
      <c r="T2628" s="37" t="str">
        <f>HYPERLINK("https://kanzpp.ru/api/getInfo/image/01f419da-a636-11ef-a267-00155d82e908")</f>
        <v>https://kanzpp.ru/api/getInfo/image/01f419da-a636-11ef-a267-00155d82e908</v>
      </c>
      <c r="U2628" s="37"/>
    </row>
    <row r="2629" spans="2:22" ht="22.95" customHeight="1" outlineLevel="4" x14ac:dyDescent="0.2">
      <c r="B2629" s="82" t="s">
        <v>8155</v>
      </c>
      <c r="C2629" s="82"/>
      <c r="D2629" s="82"/>
      <c r="L2629">
        <v>0</v>
      </c>
    </row>
    <row r="2630" spans="2:22" ht="21" customHeight="1" outlineLevel="5" x14ac:dyDescent="0.2">
      <c r="B2630" s="69">
        <v>1932</v>
      </c>
      <c r="C2630" s="6" t="s">
        <v>8156</v>
      </c>
      <c r="D2630" s="6" t="s">
        <v>8157</v>
      </c>
      <c r="E2630" s="7" t="s">
        <v>8158</v>
      </c>
      <c r="F2630" s="13"/>
      <c r="G2630" s="14"/>
      <c r="H2630" s="15">
        <v>160</v>
      </c>
      <c r="I2630" s="15">
        <v>20</v>
      </c>
      <c r="J2630" s="17">
        <v>1880</v>
      </c>
      <c r="K2630" s="5">
        <v>40</v>
      </c>
      <c r="L2630" s="16">
        <v>13.200000000000001</v>
      </c>
      <c r="M2630" s="12"/>
      <c r="N2630" s="14">
        <f>L2630*M2630</f>
        <v>0</v>
      </c>
      <c r="O2630" s="23">
        <f>0.025*M2630</f>
        <v>0</v>
      </c>
      <c r="P2630" s="24">
        <f>0.00004*M2630</f>
        <v>0</v>
      </c>
      <c r="Q2630" s="25"/>
      <c r="R2630" s="26" t="s">
        <v>8159</v>
      </c>
      <c r="S2630" s="26" t="s">
        <v>93</v>
      </c>
      <c r="T2630" s="6" t="str">
        <f>HYPERLINK("https://kanzpp.ru/api/getInfo/image/e03c541f-aed8-11ea-a248-ac1f6b442184")</f>
        <v>https://kanzpp.ru/api/getInfo/image/e03c541f-aed8-11ea-a248-ac1f6b442184</v>
      </c>
      <c r="U2630" s="6"/>
      <c r="V2630" s="33" t="s">
        <v>35</v>
      </c>
    </row>
    <row r="2631" spans="2:22" ht="22.95" customHeight="1" outlineLevel="3" x14ac:dyDescent="0.2">
      <c r="B2631" s="81" t="s">
        <v>8160</v>
      </c>
      <c r="C2631" s="81"/>
      <c r="D2631" s="81"/>
      <c r="L2631">
        <v>0</v>
      </c>
    </row>
    <row r="2632" spans="2:22" ht="22.95" customHeight="1" outlineLevel="4" x14ac:dyDescent="0.2">
      <c r="B2632" s="82" t="s">
        <v>8161</v>
      </c>
      <c r="C2632" s="82"/>
      <c r="D2632" s="82"/>
      <c r="L2632">
        <v>0</v>
      </c>
    </row>
    <row r="2633" spans="2:22" ht="21" customHeight="1" outlineLevel="5" x14ac:dyDescent="0.2">
      <c r="B2633" s="71">
        <v>1933</v>
      </c>
      <c r="C2633" s="37" t="s">
        <v>8162</v>
      </c>
      <c r="D2633" s="37" t="s">
        <v>8163</v>
      </c>
      <c r="E2633" s="38" t="s">
        <v>8164</v>
      </c>
      <c r="F2633" s="39"/>
      <c r="G2633" s="40"/>
      <c r="H2633" s="41">
        <v>128</v>
      </c>
      <c r="I2633" s="41">
        <v>16</v>
      </c>
      <c r="J2633" s="41">
        <v>863</v>
      </c>
      <c r="K2633" s="36">
        <v>64</v>
      </c>
      <c r="L2633" s="42">
        <f>(11.03*(1-O3/100))/0.75</f>
        <v>14.706666666666665</v>
      </c>
      <c r="M2633" s="12"/>
      <c r="N2633" s="40">
        <f t="shared" ref="N2633:N2642" si="120">L2633*M2633</f>
        <v>0</v>
      </c>
      <c r="O2633" s="43">
        <f>0.016*M2633</f>
        <v>0</v>
      </c>
      <c r="P2633" s="47">
        <f>0.00006*M2633</f>
        <v>0</v>
      </c>
      <c r="Q2633" s="44"/>
      <c r="R2633" s="45" t="s">
        <v>8165</v>
      </c>
      <c r="S2633" s="45" t="s">
        <v>93</v>
      </c>
      <c r="T2633" s="37" t="str">
        <f>HYPERLINK("https://kanzpp.ru/api/getInfo/image/292bca47-ecfa-11ef-a274-00155d82e908")</f>
        <v>https://kanzpp.ru/api/getInfo/image/292bca47-ecfa-11ef-a274-00155d82e908</v>
      </c>
      <c r="U2633" s="37"/>
    </row>
    <row r="2634" spans="2:22" ht="21" customHeight="1" outlineLevel="5" x14ac:dyDescent="0.2">
      <c r="B2634" s="71">
        <v>1934</v>
      </c>
      <c r="C2634" s="37" t="s">
        <v>8166</v>
      </c>
      <c r="D2634" s="37" t="s">
        <v>8167</v>
      </c>
      <c r="E2634" s="38" t="s">
        <v>8168</v>
      </c>
      <c r="F2634" s="39"/>
      <c r="G2634" s="40"/>
      <c r="H2634" s="41">
        <v>128</v>
      </c>
      <c r="I2634" s="41">
        <v>16</v>
      </c>
      <c r="J2634" s="50">
        <v>1024</v>
      </c>
      <c r="K2634" s="36">
        <v>64</v>
      </c>
      <c r="L2634" s="42">
        <f>(11.03*(1-O3/100))/0.75</f>
        <v>14.706666666666665</v>
      </c>
      <c r="M2634" s="12"/>
      <c r="N2634" s="40">
        <f t="shared" si="120"/>
        <v>0</v>
      </c>
      <c r="O2634" s="43">
        <f>0.016*M2634</f>
        <v>0</v>
      </c>
      <c r="P2634" s="47">
        <f>0.00006*M2634</f>
        <v>0</v>
      </c>
      <c r="Q2634" s="44"/>
      <c r="R2634" s="45" t="s">
        <v>8169</v>
      </c>
      <c r="S2634" s="45" t="s">
        <v>93</v>
      </c>
      <c r="T2634" s="37" t="str">
        <f>HYPERLINK("https://kanzpp.ru/api/getInfo/image/da0b4b0a-8a3b-11f0-a284-00155d82e908")</f>
        <v>https://kanzpp.ru/api/getInfo/image/da0b4b0a-8a3b-11f0-a284-00155d82e908</v>
      </c>
      <c r="U2634" s="37"/>
    </row>
    <row r="2635" spans="2:22" ht="21" customHeight="1" outlineLevel="5" x14ac:dyDescent="0.2">
      <c r="B2635" s="71">
        <v>1935</v>
      </c>
      <c r="C2635" s="37" t="s">
        <v>8170</v>
      </c>
      <c r="D2635" s="37" t="s">
        <v>8171</v>
      </c>
      <c r="E2635" s="38" t="s">
        <v>8172</v>
      </c>
      <c r="F2635" s="39"/>
      <c r="G2635" s="40"/>
      <c r="H2635" s="41">
        <v>128</v>
      </c>
      <c r="I2635" s="41">
        <v>16</v>
      </c>
      <c r="J2635" s="41">
        <v>17</v>
      </c>
      <c r="K2635" s="36">
        <v>17</v>
      </c>
      <c r="L2635" s="42">
        <f>(11.03*(1-O3/100))/0.75</f>
        <v>14.706666666666665</v>
      </c>
      <c r="M2635" s="12"/>
      <c r="N2635" s="40">
        <f t="shared" si="120"/>
        <v>0</v>
      </c>
      <c r="O2635" s="43">
        <f>0.016*M2635</f>
        <v>0</v>
      </c>
      <c r="P2635" s="47">
        <f>0.00006*M2635</f>
        <v>0</v>
      </c>
      <c r="Q2635" s="44"/>
      <c r="R2635" s="45" t="s">
        <v>8173</v>
      </c>
      <c r="S2635" s="45" t="s">
        <v>93</v>
      </c>
      <c r="T2635" s="37" t="str">
        <f>HYPERLINK("https://kanzpp.ru/api/getInfo/image/b0da660b-8a3c-11f0-a284-00155d82e908")</f>
        <v>https://kanzpp.ru/api/getInfo/image/b0da660b-8a3c-11f0-a284-00155d82e908</v>
      </c>
      <c r="U2635" s="37"/>
    </row>
    <row r="2636" spans="2:22" ht="21" customHeight="1" outlineLevel="5" x14ac:dyDescent="0.2">
      <c r="B2636" s="71">
        <v>1936</v>
      </c>
      <c r="C2636" s="37" t="s">
        <v>8174</v>
      </c>
      <c r="D2636" s="37" t="s">
        <v>8175</v>
      </c>
      <c r="E2636" s="38" t="s">
        <v>8176</v>
      </c>
      <c r="F2636" s="39"/>
      <c r="G2636" s="40"/>
      <c r="H2636" s="41">
        <v>128</v>
      </c>
      <c r="I2636" s="41">
        <v>16</v>
      </c>
      <c r="J2636" s="41">
        <v>256</v>
      </c>
      <c r="K2636" s="36">
        <v>64</v>
      </c>
      <c r="L2636" s="42">
        <f>(11.03*(1-O3/100))/0.75</f>
        <v>14.706666666666665</v>
      </c>
      <c r="M2636" s="12"/>
      <c r="N2636" s="40">
        <f t="shared" si="120"/>
        <v>0</v>
      </c>
      <c r="O2636" s="43">
        <f>0.016*M2636</f>
        <v>0</v>
      </c>
      <c r="P2636" s="47">
        <f>0.00006*M2636</f>
        <v>0</v>
      </c>
      <c r="Q2636" s="44"/>
      <c r="R2636" s="45" t="s">
        <v>8177</v>
      </c>
      <c r="S2636" s="45" t="s">
        <v>93</v>
      </c>
      <c r="T2636" s="37" t="str">
        <f>HYPERLINK("https://kanzpp.ru/api/getInfo/image/c85a754b-8a3a-11f0-a284-00155d82e908")</f>
        <v>https://kanzpp.ru/api/getInfo/image/c85a754b-8a3a-11f0-a284-00155d82e908</v>
      </c>
      <c r="U2636" s="37"/>
    </row>
    <row r="2637" spans="2:22" ht="21" customHeight="1" outlineLevel="5" x14ac:dyDescent="0.2">
      <c r="B2637" s="71">
        <v>1937</v>
      </c>
      <c r="C2637" s="37" t="s">
        <v>8178</v>
      </c>
      <c r="D2637" s="37" t="s">
        <v>8179</v>
      </c>
      <c r="E2637" s="38" t="s">
        <v>8180</v>
      </c>
      <c r="F2637" s="39"/>
      <c r="G2637" s="40"/>
      <c r="H2637" s="41">
        <v>128</v>
      </c>
      <c r="I2637" s="41">
        <v>16</v>
      </c>
      <c r="J2637" s="50">
        <v>3792</v>
      </c>
      <c r="K2637" s="36">
        <v>64</v>
      </c>
      <c r="L2637" s="42">
        <f>(11.03*(1-O3/100))/0.75</f>
        <v>14.706666666666665</v>
      </c>
      <c r="M2637" s="12"/>
      <c r="N2637" s="40">
        <f t="shared" si="120"/>
        <v>0</v>
      </c>
      <c r="O2637" s="43">
        <f>0.018*M2637</f>
        <v>0</v>
      </c>
      <c r="P2637" s="47">
        <f>0.00003*M2637</f>
        <v>0</v>
      </c>
      <c r="Q2637" s="44"/>
      <c r="R2637" s="45" t="s">
        <v>8181</v>
      </c>
      <c r="S2637" s="45" t="s">
        <v>93</v>
      </c>
      <c r="T2637" s="37" t="str">
        <f>HYPERLINK("https://kanzpp.ru/api/getInfo/image/52326eb6-8a39-11f0-a284-00155d82e908")</f>
        <v>https://kanzpp.ru/api/getInfo/image/52326eb6-8a39-11f0-a284-00155d82e908</v>
      </c>
      <c r="U2637" s="37"/>
    </row>
    <row r="2638" spans="2:22" ht="21" customHeight="1" outlineLevel="5" x14ac:dyDescent="0.2">
      <c r="B2638" s="71">
        <v>1938</v>
      </c>
      <c r="C2638" s="37" t="s">
        <v>8182</v>
      </c>
      <c r="D2638" s="37" t="s">
        <v>8183</v>
      </c>
      <c r="E2638" s="38" t="s">
        <v>8184</v>
      </c>
      <c r="F2638" s="39"/>
      <c r="G2638" s="40"/>
      <c r="H2638" s="41">
        <v>128</v>
      </c>
      <c r="I2638" s="41">
        <v>16</v>
      </c>
      <c r="J2638" s="50">
        <v>3792</v>
      </c>
      <c r="K2638" s="36">
        <v>64</v>
      </c>
      <c r="L2638" s="42">
        <f>(11.03*(1-O3/100))/0.75</f>
        <v>14.706666666666665</v>
      </c>
      <c r="M2638" s="12"/>
      <c r="N2638" s="40">
        <f t="shared" si="120"/>
        <v>0</v>
      </c>
      <c r="O2638" s="43">
        <f>0.018*M2638</f>
        <v>0</v>
      </c>
      <c r="P2638" s="47">
        <f>0.00004*M2638</f>
        <v>0</v>
      </c>
      <c r="Q2638" s="44"/>
      <c r="R2638" s="45" t="s">
        <v>8185</v>
      </c>
      <c r="S2638" s="45" t="s">
        <v>93</v>
      </c>
      <c r="T2638" s="37" t="str">
        <f>HYPERLINK("https://kanzpp.ru/api/getInfo/image/fa8ca948-8a3a-11f0-a284-00155d82e908")</f>
        <v>https://kanzpp.ru/api/getInfo/image/fa8ca948-8a3a-11f0-a284-00155d82e908</v>
      </c>
      <c r="U2638" s="37"/>
    </row>
    <row r="2639" spans="2:22" ht="21" customHeight="1" outlineLevel="5" x14ac:dyDescent="0.2">
      <c r="B2639" s="71">
        <v>1939</v>
      </c>
      <c r="C2639" s="37" t="s">
        <v>8186</v>
      </c>
      <c r="D2639" s="37" t="s">
        <v>8187</v>
      </c>
      <c r="E2639" s="38" t="s">
        <v>8188</v>
      </c>
      <c r="F2639" s="39"/>
      <c r="G2639" s="40"/>
      <c r="H2639" s="41">
        <v>128</v>
      </c>
      <c r="I2639" s="41">
        <v>16</v>
      </c>
      <c r="J2639" s="40" t="s">
        <v>144</v>
      </c>
      <c r="K2639" s="36">
        <v>64</v>
      </c>
      <c r="L2639" s="42">
        <f>(11.03*(1-O3/100))/0.75</f>
        <v>14.706666666666665</v>
      </c>
      <c r="M2639" s="12"/>
      <c r="N2639" s="40">
        <f t="shared" si="120"/>
        <v>0</v>
      </c>
      <c r="O2639" s="43">
        <f>0.035*M2639</f>
        <v>0</v>
      </c>
      <c r="P2639" s="47">
        <f>0.00002*M2639</f>
        <v>0</v>
      </c>
      <c r="Q2639" s="44"/>
      <c r="R2639" s="45" t="s">
        <v>8189</v>
      </c>
      <c r="S2639" s="45" t="s">
        <v>93</v>
      </c>
      <c r="T2639" s="37" t="str">
        <f>HYPERLINK("https://kanzpp.ru/api/getInfo/image/e6dd2a2c-d751-11f0-a28c-00155d82e908")</f>
        <v>https://kanzpp.ru/api/getInfo/image/e6dd2a2c-d751-11f0-a28c-00155d82e908</v>
      </c>
      <c r="U2639" s="37"/>
    </row>
    <row r="2640" spans="2:22" ht="21" customHeight="1" outlineLevel="5" x14ac:dyDescent="0.2">
      <c r="B2640" s="71">
        <v>1940</v>
      </c>
      <c r="C2640" s="37" t="s">
        <v>8190</v>
      </c>
      <c r="D2640" s="37" t="s">
        <v>8191</v>
      </c>
      <c r="E2640" s="38" t="s">
        <v>8192</v>
      </c>
      <c r="F2640" s="39"/>
      <c r="G2640" s="40"/>
      <c r="H2640" s="41">
        <v>128</v>
      </c>
      <c r="I2640" s="41">
        <v>16</v>
      </c>
      <c r="J2640" s="50">
        <v>2960</v>
      </c>
      <c r="K2640" s="36">
        <v>64</v>
      </c>
      <c r="L2640" s="42">
        <f>(11.03*(1-O3/100))/0.75</f>
        <v>14.706666666666665</v>
      </c>
      <c r="M2640" s="12"/>
      <c r="N2640" s="40">
        <f t="shared" si="120"/>
        <v>0</v>
      </c>
      <c r="O2640" s="43">
        <f>0.016*M2640</f>
        <v>0</v>
      </c>
      <c r="P2640" s="47">
        <f>0.00006*M2640</f>
        <v>0</v>
      </c>
      <c r="Q2640" s="44"/>
      <c r="R2640" s="45" t="s">
        <v>8193</v>
      </c>
      <c r="S2640" s="45" t="s">
        <v>93</v>
      </c>
      <c r="T2640" s="37" t="str">
        <f>HYPERLINK("https://kanzpp.ru/api/getInfo/image/5ce4fc5c-ecf9-11ef-a274-00155d82e908")</f>
        <v>https://kanzpp.ru/api/getInfo/image/5ce4fc5c-ecf9-11ef-a274-00155d82e908</v>
      </c>
      <c r="U2640" s="37"/>
    </row>
    <row r="2641" spans="2:22" ht="21" customHeight="1" outlineLevel="5" x14ac:dyDescent="0.2">
      <c r="B2641" s="71">
        <v>1941</v>
      </c>
      <c r="C2641" s="37" t="s">
        <v>8194</v>
      </c>
      <c r="D2641" s="37" t="s">
        <v>8195</v>
      </c>
      <c r="E2641" s="38" t="s">
        <v>8196</v>
      </c>
      <c r="F2641" s="39"/>
      <c r="G2641" s="40"/>
      <c r="H2641" s="41">
        <v>128</v>
      </c>
      <c r="I2641" s="41">
        <v>16</v>
      </c>
      <c r="J2641" s="40" t="s">
        <v>144</v>
      </c>
      <c r="K2641" s="36">
        <v>64</v>
      </c>
      <c r="L2641" s="42">
        <f>(12.68*(1-O3/100))/0.75</f>
        <v>16.906666666666666</v>
      </c>
      <c r="M2641" s="12"/>
      <c r="N2641" s="40">
        <f t="shared" si="120"/>
        <v>0</v>
      </c>
      <c r="O2641" s="48">
        <f>0.02*M2641</f>
        <v>0</v>
      </c>
      <c r="P2641" s="47">
        <f>0.00004*M2641</f>
        <v>0</v>
      </c>
      <c r="Q2641" s="44"/>
      <c r="R2641" s="45" t="s">
        <v>8197</v>
      </c>
      <c r="S2641" s="45" t="s">
        <v>93</v>
      </c>
      <c r="T2641" s="37" t="str">
        <f>HYPERLINK("https://kanzpp.ru/api/getInfo/image/2f272c2b-29d9-11f1-a292-00155d82e908")</f>
        <v>https://kanzpp.ru/api/getInfo/image/2f272c2b-29d9-11f1-a292-00155d82e908</v>
      </c>
      <c r="U2641" s="37"/>
    </row>
    <row r="2642" spans="2:22" ht="21" customHeight="1" outlineLevel="5" x14ac:dyDescent="0.2">
      <c r="B2642" s="71">
        <v>1942</v>
      </c>
      <c r="C2642" s="37" t="s">
        <v>8198</v>
      </c>
      <c r="D2642" s="37" t="s">
        <v>8199</v>
      </c>
      <c r="E2642" s="38" t="s">
        <v>8200</v>
      </c>
      <c r="F2642" s="39"/>
      <c r="G2642" s="40"/>
      <c r="H2642" s="41">
        <v>128</v>
      </c>
      <c r="I2642" s="41">
        <v>16</v>
      </c>
      <c r="J2642" s="40" t="s">
        <v>144</v>
      </c>
      <c r="K2642" s="36">
        <v>64</v>
      </c>
      <c r="L2642" s="42">
        <f>(11.03*(1-O3/100))/0.75</f>
        <v>14.706666666666665</v>
      </c>
      <c r="M2642" s="12"/>
      <c r="N2642" s="40">
        <f t="shared" si="120"/>
        <v>0</v>
      </c>
      <c r="O2642" s="48">
        <f>0.02*M2642</f>
        <v>0</v>
      </c>
      <c r="P2642" s="47">
        <f>0.00004*M2642</f>
        <v>0</v>
      </c>
      <c r="Q2642" s="44"/>
      <c r="R2642" s="45" t="s">
        <v>8201</v>
      </c>
      <c r="S2642" s="45" t="s">
        <v>93</v>
      </c>
      <c r="T2642" s="37" t="str">
        <f>HYPERLINK("https://kanzpp.ru/api/getInfo/image/9fc56e99-d751-11f0-a28c-00155d82e908")</f>
        <v>https://kanzpp.ru/api/getInfo/image/9fc56e99-d751-11f0-a28c-00155d82e908</v>
      </c>
      <c r="U2642" s="37"/>
    </row>
    <row r="2643" spans="2:22" ht="22.95" customHeight="1" outlineLevel="4" x14ac:dyDescent="0.2">
      <c r="B2643" s="82" t="s">
        <v>8202</v>
      </c>
      <c r="C2643" s="82"/>
      <c r="D2643" s="82"/>
      <c r="L2643">
        <v>0</v>
      </c>
    </row>
    <row r="2644" spans="2:22" ht="21" customHeight="1" outlineLevel="5" x14ac:dyDescent="0.2">
      <c r="B2644" s="71">
        <v>1943</v>
      </c>
      <c r="C2644" s="37" t="s">
        <v>8203</v>
      </c>
      <c r="D2644" s="37" t="s">
        <v>8204</v>
      </c>
      <c r="E2644" s="38" t="s">
        <v>8205</v>
      </c>
      <c r="F2644" s="39"/>
      <c r="G2644" s="40"/>
      <c r="H2644" s="41">
        <v>128</v>
      </c>
      <c r="I2644" s="41">
        <v>16</v>
      </c>
      <c r="J2644" s="50">
        <v>1331</v>
      </c>
      <c r="K2644" s="36">
        <v>64</v>
      </c>
      <c r="L2644" s="42">
        <f>(11.03*(1-O3/100))/0.75</f>
        <v>14.706666666666665</v>
      </c>
      <c r="M2644" s="12"/>
      <c r="N2644" s="40">
        <f t="shared" ref="N2644:N2659" si="121">L2644*M2644</f>
        <v>0</v>
      </c>
      <c r="O2644" s="43">
        <f>0.025*M2644</f>
        <v>0</v>
      </c>
      <c r="P2644" s="47">
        <f>0.00004*M2644</f>
        <v>0</v>
      </c>
      <c r="Q2644" s="44"/>
      <c r="R2644" s="45" t="s">
        <v>8206</v>
      </c>
      <c r="S2644" s="45" t="s">
        <v>93</v>
      </c>
      <c r="T2644" s="37" t="str">
        <f>HYPERLINK("https://kanzpp.ru/api/getInfo/image/ac74b924-aa84-11f0-a286-00155d82e908")</f>
        <v>https://kanzpp.ru/api/getInfo/image/ac74b924-aa84-11f0-a286-00155d82e908</v>
      </c>
      <c r="U2644" s="37"/>
    </row>
    <row r="2645" spans="2:22" ht="21" customHeight="1" outlineLevel="5" x14ac:dyDescent="0.2">
      <c r="B2645" s="71">
        <v>1944</v>
      </c>
      <c r="C2645" s="37" t="s">
        <v>8207</v>
      </c>
      <c r="D2645" s="37" t="s">
        <v>8208</v>
      </c>
      <c r="E2645" s="38" t="s">
        <v>8209</v>
      </c>
      <c r="F2645" s="39"/>
      <c r="G2645" s="40"/>
      <c r="H2645" s="41">
        <v>128</v>
      </c>
      <c r="I2645" s="41">
        <v>16</v>
      </c>
      <c r="J2645" s="41">
        <v>112</v>
      </c>
      <c r="K2645" s="36">
        <v>64</v>
      </c>
      <c r="L2645" s="42">
        <f>(11.03*(1-O3/100))/0.75</f>
        <v>14.706666666666665</v>
      </c>
      <c r="M2645" s="12"/>
      <c r="N2645" s="40">
        <f t="shared" si="121"/>
        <v>0</v>
      </c>
      <c r="O2645" s="43">
        <f>0.024*M2645</f>
        <v>0</v>
      </c>
      <c r="P2645" s="47">
        <f>0.00003*M2645</f>
        <v>0</v>
      </c>
      <c r="Q2645" s="44"/>
      <c r="R2645" s="45" t="s">
        <v>8210</v>
      </c>
      <c r="S2645" s="45" t="s">
        <v>93</v>
      </c>
      <c r="T2645" s="37" t="str">
        <f>HYPERLINK("https://kanzpp.ru/api/getInfo/image/60ace932-95bc-11ef-a267-00155d82e908")</f>
        <v>https://kanzpp.ru/api/getInfo/image/60ace932-95bc-11ef-a267-00155d82e908</v>
      </c>
      <c r="U2645" s="37"/>
    </row>
    <row r="2646" spans="2:22" ht="21" customHeight="1" outlineLevel="5" x14ac:dyDescent="0.2">
      <c r="B2646" s="69">
        <v>1945</v>
      </c>
      <c r="C2646" s="6" t="s">
        <v>8211</v>
      </c>
      <c r="D2646" s="6" t="s">
        <v>8212</v>
      </c>
      <c r="E2646" s="7" t="s">
        <v>8213</v>
      </c>
      <c r="F2646" s="13"/>
      <c r="G2646" s="14"/>
      <c r="H2646" s="15">
        <v>128</v>
      </c>
      <c r="I2646" s="15">
        <v>16</v>
      </c>
      <c r="J2646" s="14" t="s">
        <v>144</v>
      </c>
      <c r="K2646" s="5">
        <v>64</v>
      </c>
      <c r="L2646" s="16">
        <v>10.533333333333333</v>
      </c>
      <c r="M2646" s="12"/>
      <c r="N2646" s="14">
        <f t="shared" si="121"/>
        <v>0</v>
      </c>
      <c r="O2646" s="28">
        <f>0.03*M2646</f>
        <v>0</v>
      </c>
      <c r="P2646" s="24">
        <f>0.00003*M2646</f>
        <v>0</v>
      </c>
      <c r="Q2646" s="25"/>
      <c r="R2646" s="26" t="s">
        <v>8214</v>
      </c>
      <c r="S2646" s="26" t="s">
        <v>93</v>
      </c>
      <c r="T2646" s="6" t="str">
        <f>HYPERLINK("https://kanzpp.ru/api/getInfo/image/86ceacd4-add8-11ed-a230-00155d82e902")</f>
        <v>https://kanzpp.ru/api/getInfo/image/86ceacd4-add8-11ed-a230-00155d82e902</v>
      </c>
      <c r="U2646" s="6"/>
      <c r="V2646" s="33" t="s">
        <v>35</v>
      </c>
    </row>
    <row r="2647" spans="2:22" ht="21" customHeight="1" outlineLevel="5" x14ac:dyDescent="0.2">
      <c r="B2647" s="71">
        <v>1946</v>
      </c>
      <c r="C2647" s="37" t="s">
        <v>8215</v>
      </c>
      <c r="D2647" s="37" t="s">
        <v>8216</v>
      </c>
      <c r="E2647" s="38" t="s">
        <v>8217</v>
      </c>
      <c r="F2647" s="39"/>
      <c r="G2647" s="40"/>
      <c r="H2647" s="41">
        <v>128</v>
      </c>
      <c r="I2647" s="41">
        <v>16</v>
      </c>
      <c r="J2647" s="40" t="s">
        <v>144</v>
      </c>
      <c r="K2647" s="36">
        <v>64</v>
      </c>
      <c r="L2647" s="42">
        <f>(11.03*(1-O3/100))/0.75</f>
        <v>14.706666666666665</v>
      </c>
      <c r="M2647" s="12"/>
      <c r="N2647" s="40">
        <f t="shared" si="121"/>
        <v>0</v>
      </c>
      <c r="O2647" s="43">
        <f>0.022*M2647</f>
        <v>0</v>
      </c>
      <c r="P2647" s="47">
        <f>0.00004*M2647</f>
        <v>0</v>
      </c>
      <c r="Q2647" s="44"/>
      <c r="R2647" s="45" t="s">
        <v>8218</v>
      </c>
      <c r="S2647" s="45" t="s">
        <v>93</v>
      </c>
      <c r="T2647" s="37" t="str">
        <f>HYPERLINK("https://kanzpp.ru/api/getInfo/image/d58d4445-aa84-11f0-a286-00155d82e908")</f>
        <v>https://kanzpp.ru/api/getInfo/image/d58d4445-aa84-11f0-a286-00155d82e908</v>
      </c>
      <c r="U2647" s="37"/>
    </row>
    <row r="2648" spans="2:22" ht="21" customHeight="1" outlineLevel="5" x14ac:dyDescent="0.2">
      <c r="B2648" s="71">
        <v>1947</v>
      </c>
      <c r="C2648" s="37" t="s">
        <v>8219</v>
      </c>
      <c r="D2648" s="37" t="s">
        <v>8220</v>
      </c>
      <c r="E2648" s="38" t="s">
        <v>8221</v>
      </c>
      <c r="F2648" s="39"/>
      <c r="G2648" s="40"/>
      <c r="H2648" s="41">
        <v>128</v>
      </c>
      <c r="I2648" s="41">
        <v>16</v>
      </c>
      <c r="J2648" s="41">
        <v>204</v>
      </c>
      <c r="K2648" s="36">
        <v>64</v>
      </c>
      <c r="L2648" s="42">
        <f>(11.03*(1-O3/100))/0.75</f>
        <v>14.706666666666665</v>
      </c>
      <c r="M2648" s="12"/>
      <c r="N2648" s="40">
        <f t="shared" si="121"/>
        <v>0</v>
      </c>
      <c r="O2648" s="43">
        <f>0.022*M2648</f>
        <v>0</v>
      </c>
      <c r="P2648" s="47">
        <f>0.00003*M2648</f>
        <v>0</v>
      </c>
      <c r="Q2648" s="44"/>
      <c r="R2648" s="45" t="s">
        <v>8222</v>
      </c>
      <c r="S2648" s="45" t="s">
        <v>93</v>
      </c>
      <c r="T2648" s="37" t="str">
        <f>HYPERLINK("https://kanzpp.ru/api/getInfo/image/547af666-95bd-11ef-a267-00155d82e908")</f>
        <v>https://kanzpp.ru/api/getInfo/image/547af666-95bd-11ef-a267-00155d82e908</v>
      </c>
      <c r="U2648" s="37"/>
    </row>
    <row r="2649" spans="2:22" ht="21" customHeight="1" outlineLevel="5" x14ac:dyDescent="0.2">
      <c r="B2649" s="71">
        <v>1948</v>
      </c>
      <c r="C2649" s="37" t="s">
        <v>8223</v>
      </c>
      <c r="D2649" s="37" t="s">
        <v>8224</v>
      </c>
      <c r="E2649" s="38" t="s">
        <v>8225</v>
      </c>
      <c r="F2649" s="39"/>
      <c r="G2649" s="40"/>
      <c r="H2649" s="41">
        <v>128</v>
      </c>
      <c r="I2649" s="41">
        <v>16</v>
      </c>
      <c r="J2649" s="41">
        <v>400</v>
      </c>
      <c r="K2649" s="36">
        <v>64</v>
      </c>
      <c r="L2649" s="42">
        <f>(11.03*(1-O3/100))/0.75</f>
        <v>14.706666666666665</v>
      </c>
      <c r="M2649" s="12"/>
      <c r="N2649" s="40">
        <f t="shared" si="121"/>
        <v>0</v>
      </c>
      <c r="O2649" s="43">
        <f>0.021*M2649</f>
        <v>0</v>
      </c>
      <c r="P2649" s="47">
        <f>0.00003*M2649</f>
        <v>0</v>
      </c>
      <c r="Q2649" s="44"/>
      <c r="R2649" s="45" t="s">
        <v>8226</v>
      </c>
      <c r="S2649" s="45" t="s">
        <v>93</v>
      </c>
      <c r="T2649" s="37" t="str">
        <f>HYPERLINK("https://kanzpp.ru/api/getInfo/image/4196f116-95bb-11ef-a267-00155d82e908")</f>
        <v>https://kanzpp.ru/api/getInfo/image/4196f116-95bb-11ef-a267-00155d82e908</v>
      </c>
      <c r="U2649" s="37"/>
    </row>
    <row r="2650" spans="2:22" ht="21" customHeight="1" outlineLevel="5" x14ac:dyDescent="0.2">
      <c r="B2650" s="71">
        <v>1949</v>
      </c>
      <c r="C2650" s="37" t="s">
        <v>8227</v>
      </c>
      <c r="D2650" s="37" t="s">
        <v>8228</v>
      </c>
      <c r="E2650" s="38" t="s">
        <v>8229</v>
      </c>
      <c r="F2650" s="39"/>
      <c r="G2650" s="40"/>
      <c r="H2650" s="41">
        <v>128</v>
      </c>
      <c r="I2650" s="41">
        <v>16</v>
      </c>
      <c r="J2650" s="41">
        <v>64</v>
      </c>
      <c r="K2650" s="36">
        <v>64</v>
      </c>
      <c r="L2650" s="42">
        <f>(11.03*(1-O3/100))/0.75</f>
        <v>14.706666666666665</v>
      </c>
      <c r="M2650" s="12"/>
      <c r="N2650" s="40">
        <f t="shared" si="121"/>
        <v>0</v>
      </c>
      <c r="O2650" s="43">
        <f>0.145*M2650</f>
        <v>0</v>
      </c>
      <c r="P2650" s="47">
        <f>0.00007*M2650</f>
        <v>0</v>
      </c>
      <c r="Q2650" s="44"/>
      <c r="R2650" s="45" t="s">
        <v>8230</v>
      </c>
      <c r="S2650" s="45" t="s">
        <v>93</v>
      </c>
      <c r="T2650" s="37" t="str">
        <f>HYPERLINK("https://kanzpp.ru/api/getInfo/image/107e426e-aa86-11f0-a286-00155d82e908")</f>
        <v>https://kanzpp.ru/api/getInfo/image/107e426e-aa86-11f0-a286-00155d82e908</v>
      </c>
      <c r="U2650" s="37"/>
    </row>
    <row r="2651" spans="2:22" ht="21" customHeight="1" outlineLevel="5" x14ac:dyDescent="0.2">
      <c r="B2651" s="71">
        <v>1950</v>
      </c>
      <c r="C2651" s="37" t="s">
        <v>8231</v>
      </c>
      <c r="D2651" s="37" t="s">
        <v>8232</v>
      </c>
      <c r="E2651" s="38" t="s">
        <v>8233</v>
      </c>
      <c r="F2651" s="39"/>
      <c r="G2651" s="40"/>
      <c r="H2651" s="41">
        <v>128</v>
      </c>
      <c r="I2651" s="41">
        <v>16</v>
      </c>
      <c r="J2651" s="50">
        <v>1711</v>
      </c>
      <c r="K2651" s="36">
        <v>64</v>
      </c>
      <c r="L2651" s="42">
        <f>(11.03*(1-O3/100))/0.75</f>
        <v>14.706666666666665</v>
      </c>
      <c r="M2651" s="12"/>
      <c r="N2651" s="40">
        <f t="shared" si="121"/>
        <v>0</v>
      </c>
      <c r="O2651" s="43">
        <f>0.024*M2651</f>
        <v>0</v>
      </c>
      <c r="P2651" s="47">
        <f>0.00003*M2651</f>
        <v>0</v>
      </c>
      <c r="Q2651" s="44"/>
      <c r="R2651" s="45" t="s">
        <v>8234</v>
      </c>
      <c r="S2651" s="45" t="s">
        <v>93</v>
      </c>
      <c r="T2651" s="37" t="str">
        <f>HYPERLINK("https://kanzpp.ru/api/getInfo/image/f43602de-95bb-11ef-a267-00155d82e908")</f>
        <v>https://kanzpp.ru/api/getInfo/image/f43602de-95bb-11ef-a267-00155d82e908</v>
      </c>
      <c r="U2651" s="37"/>
    </row>
    <row r="2652" spans="2:22" ht="21" customHeight="1" outlineLevel="5" x14ac:dyDescent="0.2">
      <c r="B2652" s="71">
        <v>1951</v>
      </c>
      <c r="C2652" s="37" t="s">
        <v>8235</v>
      </c>
      <c r="D2652" s="37" t="s">
        <v>8236</v>
      </c>
      <c r="E2652" s="38" t="s">
        <v>8237</v>
      </c>
      <c r="F2652" s="39"/>
      <c r="G2652" s="40"/>
      <c r="H2652" s="41">
        <v>128</v>
      </c>
      <c r="I2652" s="41">
        <v>16</v>
      </c>
      <c r="J2652" s="40" t="s">
        <v>144</v>
      </c>
      <c r="K2652" s="36">
        <v>64</v>
      </c>
      <c r="L2652" s="42">
        <f>(11.03*(1-O3/100))/0.75</f>
        <v>14.706666666666665</v>
      </c>
      <c r="M2652" s="12"/>
      <c r="N2652" s="40">
        <f t="shared" si="121"/>
        <v>0</v>
      </c>
      <c r="O2652" s="43">
        <f>0.024*M2652</f>
        <v>0</v>
      </c>
      <c r="P2652" s="47">
        <f>0.00002*M2652</f>
        <v>0</v>
      </c>
      <c r="Q2652" s="44"/>
      <c r="R2652" s="45" t="s">
        <v>8238</v>
      </c>
      <c r="S2652" s="45" t="s">
        <v>93</v>
      </c>
      <c r="T2652" s="37" t="str">
        <f>HYPERLINK("https://kanzpp.ru/api/getInfo/image/4a806cd4-aa85-11f0-a286-00155d82e908")</f>
        <v>https://kanzpp.ru/api/getInfo/image/4a806cd4-aa85-11f0-a286-00155d82e908</v>
      </c>
      <c r="U2652" s="37"/>
    </row>
    <row r="2653" spans="2:22" ht="21" customHeight="1" outlineLevel="5" x14ac:dyDescent="0.2">
      <c r="B2653" s="71">
        <v>1952</v>
      </c>
      <c r="C2653" s="37" t="s">
        <v>8239</v>
      </c>
      <c r="D2653" s="37" t="s">
        <v>8240</v>
      </c>
      <c r="E2653" s="38" t="s">
        <v>8241</v>
      </c>
      <c r="F2653" s="39"/>
      <c r="G2653" s="40"/>
      <c r="H2653" s="41">
        <v>128</v>
      </c>
      <c r="I2653" s="41">
        <v>16</v>
      </c>
      <c r="J2653" s="40" t="s">
        <v>144</v>
      </c>
      <c r="K2653" s="36">
        <v>64</v>
      </c>
      <c r="L2653" s="42">
        <f>(11.03*(1-O3/100))/0.75</f>
        <v>14.706666666666665</v>
      </c>
      <c r="M2653" s="12"/>
      <c r="N2653" s="40">
        <f t="shared" si="121"/>
        <v>0</v>
      </c>
      <c r="O2653" s="43">
        <f>0.021*M2653</f>
        <v>0</v>
      </c>
      <c r="P2653" s="47">
        <f>0.00003*M2653</f>
        <v>0</v>
      </c>
      <c r="Q2653" s="44"/>
      <c r="R2653" s="45" t="s">
        <v>8242</v>
      </c>
      <c r="S2653" s="45" t="s">
        <v>93</v>
      </c>
      <c r="T2653" s="37" t="str">
        <f>HYPERLINK("https://kanzpp.ru/api/getInfo/image/7fb9a91e-95bd-11ef-a267-00155d82e908")</f>
        <v>https://kanzpp.ru/api/getInfo/image/7fb9a91e-95bd-11ef-a267-00155d82e908</v>
      </c>
      <c r="U2653" s="37"/>
    </row>
    <row r="2654" spans="2:22" ht="21" customHeight="1" outlineLevel="5" x14ac:dyDescent="0.2">
      <c r="B2654" s="69">
        <v>1953</v>
      </c>
      <c r="C2654" s="6" t="s">
        <v>8243</v>
      </c>
      <c r="D2654" s="6" t="s">
        <v>8244</v>
      </c>
      <c r="E2654" s="7" t="s">
        <v>8245</v>
      </c>
      <c r="F2654" s="13"/>
      <c r="G2654" s="14"/>
      <c r="H2654" s="15">
        <v>128</v>
      </c>
      <c r="I2654" s="15">
        <v>16</v>
      </c>
      <c r="J2654" s="14" t="s">
        <v>144</v>
      </c>
      <c r="K2654" s="5">
        <v>64</v>
      </c>
      <c r="L2654" s="16">
        <v>7.8666666666666671</v>
      </c>
      <c r="M2654" s="12"/>
      <c r="N2654" s="14">
        <f t="shared" si="121"/>
        <v>0</v>
      </c>
      <c r="O2654" s="23">
        <f>0.023*M2654</f>
        <v>0</v>
      </c>
      <c r="P2654" s="24">
        <f>0.00003*M2654</f>
        <v>0</v>
      </c>
      <c r="Q2654" s="25"/>
      <c r="R2654" s="26" t="s">
        <v>8246</v>
      </c>
      <c r="S2654" s="26" t="s">
        <v>93</v>
      </c>
      <c r="T2654" s="6" t="str">
        <f>HYPERLINK("https://kanzpp.ru/api/getInfo/image/77249703-95ba-11ef-a267-00155d82e908")</f>
        <v>https://kanzpp.ru/api/getInfo/image/77249703-95ba-11ef-a267-00155d82e908</v>
      </c>
      <c r="U2654" s="6"/>
      <c r="V2654" s="33" t="s">
        <v>35</v>
      </c>
    </row>
    <row r="2655" spans="2:22" ht="21" customHeight="1" outlineLevel="5" x14ac:dyDescent="0.2">
      <c r="B2655" s="71">
        <v>1954</v>
      </c>
      <c r="C2655" s="37" t="s">
        <v>8247</v>
      </c>
      <c r="D2655" s="37" t="s">
        <v>8248</v>
      </c>
      <c r="E2655" s="38" t="s">
        <v>8249</v>
      </c>
      <c r="F2655" s="39"/>
      <c r="G2655" s="40"/>
      <c r="H2655" s="41">
        <v>128</v>
      </c>
      <c r="I2655" s="41">
        <v>16</v>
      </c>
      <c r="J2655" s="50">
        <v>1605</v>
      </c>
      <c r="K2655" s="36">
        <v>64</v>
      </c>
      <c r="L2655" s="42">
        <f>(11.03*(1-O3/100))/0.75</f>
        <v>14.706666666666665</v>
      </c>
      <c r="M2655" s="12"/>
      <c r="N2655" s="40">
        <f t="shared" si="121"/>
        <v>0</v>
      </c>
      <c r="O2655" s="43">
        <f>0.024*M2655</f>
        <v>0</v>
      </c>
      <c r="P2655" s="47">
        <f>0.00003*M2655</f>
        <v>0</v>
      </c>
      <c r="Q2655" s="44"/>
      <c r="R2655" s="45" t="s">
        <v>8250</v>
      </c>
      <c r="S2655" s="45" t="s">
        <v>93</v>
      </c>
      <c r="T2655" s="37" t="str">
        <f>HYPERLINK("https://kanzpp.ru/api/getInfo/image/2773ecc2-95bd-11ef-a267-00155d82e908")</f>
        <v>https://kanzpp.ru/api/getInfo/image/2773ecc2-95bd-11ef-a267-00155d82e908</v>
      </c>
      <c r="U2655" s="37"/>
    </row>
    <row r="2656" spans="2:22" ht="21" customHeight="1" outlineLevel="5" x14ac:dyDescent="0.2">
      <c r="B2656" s="71">
        <v>1955</v>
      </c>
      <c r="C2656" s="37" t="s">
        <v>8251</v>
      </c>
      <c r="D2656" s="37" t="s">
        <v>8252</v>
      </c>
      <c r="E2656" s="38" t="s">
        <v>8253</v>
      </c>
      <c r="F2656" s="39"/>
      <c r="G2656" s="40"/>
      <c r="H2656" s="41">
        <v>128</v>
      </c>
      <c r="I2656" s="41">
        <v>16</v>
      </c>
      <c r="J2656" s="41">
        <v>60</v>
      </c>
      <c r="K2656" s="36">
        <v>60</v>
      </c>
      <c r="L2656" s="42">
        <f>(11.03*(1-O3/100))/0.75</f>
        <v>14.706666666666665</v>
      </c>
      <c r="M2656" s="12"/>
      <c r="N2656" s="40">
        <f t="shared" si="121"/>
        <v>0</v>
      </c>
      <c r="O2656" s="43">
        <f>0.027*M2656</f>
        <v>0</v>
      </c>
      <c r="P2656" s="47">
        <f>0.00004*M2656</f>
        <v>0</v>
      </c>
      <c r="Q2656" s="44"/>
      <c r="R2656" s="45" t="s">
        <v>8254</v>
      </c>
      <c r="S2656" s="45" t="s">
        <v>93</v>
      </c>
      <c r="T2656" s="37" t="str">
        <f>HYPERLINK("https://kanzpp.ru/api/getInfo/image/0e2591e6-aa83-11f0-a286-00155d82e908")</f>
        <v>https://kanzpp.ru/api/getInfo/image/0e2591e6-aa83-11f0-a286-00155d82e908</v>
      </c>
      <c r="U2656" s="37"/>
    </row>
    <row r="2657" spans="2:22" ht="21" customHeight="1" outlineLevel="5" x14ac:dyDescent="0.2">
      <c r="B2657" s="71">
        <v>1956</v>
      </c>
      <c r="C2657" s="37" t="s">
        <v>8255</v>
      </c>
      <c r="D2657" s="37" t="s">
        <v>8256</v>
      </c>
      <c r="E2657" s="38" t="s">
        <v>8257</v>
      </c>
      <c r="F2657" s="39"/>
      <c r="G2657" s="40"/>
      <c r="H2657" s="41">
        <v>128</v>
      </c>
      <c r="I2657" s="41">
        <v>16</v>
      </c>
      <c r="J2657" s="41">
        <v>16</v>
      </c>
      <c r="K2657" s="36">
        <v>16</v>
      </c>
      <c r="L2657" s="42">
        <f>(11.03*(1-O3/100))/0.75</f>
        <v>14.706666666666665</v>
      </c>
      <c r="M2657" s="12"/>
      <c r="N2657" s="40">
        <f t="shared" si="121"/>
        <v>0</v>
      </c>
      <c r="O2657" s="43">
        <f>0.022*M2657</f>
        <v>0</v>
      </c>
      <c r="P2657" s="47">
        <f>0.00004*M2657</f>
        <v>0</v>
      </c>
      <c r="Q2657" s="44"/>
      <c r="R2657" s="45" t="s">
        <v>8258</v>
      </c>
      <c r="S2657" s="45" t="s">
        <v>93</v>
      </c>
      <c r="T2657" s="37" t="str">
        <f>HYPERLINK("https://kanzpp.ru/api/getInfo/image/8e8bf6e3-aa85-11f0-a286-00155d82e908")</f>
        <v>https://kanzpp.ru/api/getInfo/image/8e8bf6e3-aa85-11f0-a286-00155d82e908</v>
      </c>
      <c r="U2657" s="37"/>
    </row>
    <row r="2658" spans="2:22" ht="21" customHeight="1" outlineLevel="5" x14ac:dyDescent="0.2">
      <c r="B2658" s="71">
        <v>1957</v>
      </c>
      <c r="C2658" s="37" t="s">
        <v>8259</v>
      </c>
      <c r="D2658" s="37" t="s">
        <v>8260</v>
      </c>
      <c r="E2658" s="38" t="s">
        <v>8261</v>
      </c>
      <c r="F2658" s="39"/>
      <c r="G2658" s="40"/>
      <c r="H2658" s="41">
        <v>128</v>
      </c>
      <c r="I2658" s="41">
        <v>16</v>
      </c>
      <c r="J2658" s="40" t="s">
        <v>144</v>
      </c>
      <c r="K2658" s="36">
        <v>64</v>
      </c>
      <c r="L2658" s="42">
        <f>(11.03*(1-O3/100))/0.75</f>
        <v>14.706666666666665</v>
      </c>
      <c r="M2658" s="12"/>
      <c r="N2658" s="40">
        <f t="shared" si="121"/>
        <v>0</v>
      </c>
      <c r="O2658" s="43">
        <f>0.022*M2658</f>
        <v>0</v>
      </c>
      <c r="P2658" s="47">
        <f>0.00003*M2658</f>
        <v>0</v>
      </c>
      <c r="Q2658" s="44"/>
      <c r="R2658" s="45" t="s">
        <v>8262</v>
      </c>
      <c r="S2658" s="45" t="s">
        <v>93</v>
      </c>
      <c r="T2658" s="37" t="str">
        <f>HYPERLINK("https://kanzpp.ru/api/getInfo/image/fa6fec32-aa84-11f0-a286-00155d82e908")</f>
        <v>https://kanzpp.ru/api/getInfo/image/fa6fec32-aa84-11f0-a286-00155d82e908</v>
      </c>
      <c r="U2658" s="37"/>
    </row>
    <row r="2659" spans="2:22" ht="21" customHeight="1" outlineLevel="5" x14ac:dyDescent="0.2">
      <c r="B2659" s="71">
        <v>1958</v>
      </c>
      <c r="C2659" s="37" t="s">
        <v>8263</v>
      </c>
      <c r="D2659" s="37" t="s">
        <v>8264</v>
      </c>
      <c r="E2659" s="38" t="s">
        <v>8265</v>
      </c>
      <c r="F2659" s="39"/>
      <c r="G2659" s="40"/>
      <c r="H2659" s="41">
        <v>128</v>
      </c>
      <c r="I2659" s="41">
        <v>16</v>
      </c>
      <c r="J2659" s="40" t="s">
        <v>144</v>
      </c>
      <c r="K2659" s="36">
        <v>64</v>
      </c>
      <c r="L2659" s="42">
        <f>(11.03*(1-O3/100))/0.75</f>
        <v>14.706666666666665</v>
      </c>
      <c r="M2659" s="12"/>
      <c r="N2659" s="40">
        <f t="shared" si="121"/>
        <v>0</v>
      </c>
      <c r="O2659" s="43">
        <f>0.022*M2659</f>
        <v>0</v>
      </c>
      <c r="P2659" s="47">
        <f>0.00003*M2659</f>
        <v>0</v>
      </c>
      <c r="Q2659" s="44"/>
      <c r="R2659" s="45" t="s">
        <v>8266</v>
      </c>
      <c r="S2659" s="45" t="s">
        <v>93</v>
      </c>
      <c r="T2659" s="37" t="str">
        <f>HYPERLINK("https://kanzpp.ru/api/getInfo/image/bc28e7fb-aa85-11f0-a286-00155d82e908")</f>
        <v>https://kanzpp.ru/api/getInfo/image/bc28e7fb-aa85-11f0-a286-00155d82e908</v>
      </c>
      <c r="U2659" s="37"/>
    </row>
    <row r="2660" spans="2:22" ht="22.95" customHeight="1" outlineLevel="2" x14ac:dyDescent="0.2">
      <c r="B2660" s="80" t="s">
        <v>8267</v>
      </c>
      <c r="C2660" s="80"/>
      <c r="D2660" s="80"/>
      <c r="L2660">
        <v>0</v>
      </c>
    </row>
    <row r="2661" spans="2:22" ht="22.95" customHeight="1" outlineLevel="3" x14ac:dyDescent="0.2">
      <c r="B2661" s="81" t="s">
        <v>8268</v>
      </c>
      <c r="C2661" s="81"/>
      <c r="D2661" s="81"/>
      <c r="L2661">
        <v>0</v>
      </c>
    </row>
    <row r="2662" spans="2:22" ht="22.95" customHeight="1" outlineLevel="4" x14ac:dyDescent="0.2">
      <c r="B2662" s="82" t="s">
        <v>8269</v>
      </c>
      <c r="C2662" s="82"/>
      <c r="D2662" s="82"/>
      <c r="L2662">
        <v>0</v>
      </c>
    </row>
    <row r="2663" spans="2:22" ht="21" customHeight="1" outlineLevel="5" x14ac:dyDescent="0.2">
      <c r="B2663" s="71">
        <v>1959</v>
      </c>
      <c r="C2663" s="37" t="s">
        <v>8270</v>
      </c>
      <c r="D2663" s="37" t="s">
        <v>8271</v>
      </c>
      <c r="E2663" s="38" t="s">
        <v>8272</v>
      </c>
      <c r="F2663" s="39"/>
      <c r="G2663" s="40"/>
      <c r="H2663" s="40"/>
      <c r="I2663" s="41">
        <v>15</v>
      </c>
      <c r="J2663" s="41">
        <v>329</v>
      </c>
      <c r="K2663" s="36">
        <v>15</v>
      </c>
      <c r="L2663" s="42">
        <f>(65.37*(1-O3/100))/0.75</f>
        <v>87.160000000000011</v>
      </c>
      <c r="M2663" s="12"/>
      <c r="N2663" s="40">
        <f>L2663*M2663</f>
        <v>0</v>
      </c>
      <c r="O2663" s="43">
        <f>0.155*M2663</f>
        <v>0</v>
      </c>
      <c r="P2663" s="47">
        <f>0.00049*M2663</f>
        <v>0</v>
      </c>
      <c r="Q2663" s="44"/>
      <c r="R2663" s="45" t="s">
        <v>8273</v>
      </c>
      <c r="S2663" s="45" t="s">
        <v>93</v>
      </c>
      <c r="T2663" s="37" t="str">
        <f>HYPERLINK("https://kanzpp.ru/api/getInfo/image/ce1bbcd7-aa87-11f0-a286-00155d82e908")</f>
        <v>https://kanzpp.ru/api/getInfo/image/ce1bbcd7-aa87-11f0-a286-00155d82e908</v>
      </c>
      <c r="U2663" s="37"/>
    </row>
    <row r="2664" spans="2:22" ht="21" customHeight="1" outlineLevel="5" x14ac:dyDescent="0.2">
      <c r="B2664" s="71">
        <v>1960</v>
      </c>
      <c r="C2664" s="37" t="s">
        <v>8274</v>
      </c>
      <c r="D2664" s="37" t="s">
        <v>8275</v>
      </c>
      <c r="E2664" s="38" t="s">
        <v>8276</v>
      </c>
      <c r="F2664" s="39"/>
      <c r="G2664" s="40"/>
      <c r="H2664" s="40"/>
      <c r="I2664" s="41">
        <v>15</v>
      </c>
      <c r="J2664" s="41">
        <v>123</v>
      </c>
      <c r="K2664" s="36">
        <v>15</v>
      </c>
      <c r="L2664" s="42">
        <f>(65.37*(1-O3/100))/0.75</f>
        <v>87.160000000000011</v>
      </c>
      <c r="M2664" s="12"/>
      <c r="N2664" s="40">
        <f>L2664*M2664</f>
        <v>0</v>
      </c>
      <c r="O2664" s="43">
        <f>0.152*M2664</f>
        <v>0</v>
      </c>
      <c r="P2664" s="47">
        <f>0.00048*M2664</f>
        <v>0</v>
      </c>
      <c r="Q2664" s="44"/>
      <c r="R2664" s="45" t="s">
        <v>8277</v>
      </c>
      <c r="S2664" s="45" t="s">
        <v>93</v>
      </c>
      <c r="T2664" s="37" t="str">
        <f>HYPERLINK("https://kanzpp.ru/api/getInfo/image/30bd52d3-68ff-11ef-a265-00155d82e908")</f>
        <v>https://kanzpp.ru/api/getInfo/image/30bd52d3-68ff-11ef-a265-00155d82e908</v>
      </c>
      <c r="U2664" s="37"/>
    </row>
    <row r="2665" spans="2:22" ht="21" customHeight="1" outlineLevel="5" x14ac:dyDescent="0.2">
      <c r="B2665" s="69">
        <v>1961</v>
      </c>
      <c r="C2665" s="6" t="s">
        <v>8278</v>
      </c>
      <c r="D2665" s="6" t="s">
        <v>8279</v>
      </c>
      <c r="E2665" s="7" t="s">
        <v>8280</v>
      </c>
      <c r="F2665" s="13"/>
      <c r="G2665" s="14"/>
      <c r="H2665" s="14"/>
      <c r="I2665" s="15">
        <v>15</v>
      </c>
      <c r="J2665" s="15">
        <v>209</v>
      </c>
      <c r="K2665" s="5">
        <v>15</v>
      </c>
      <c r="L2665" s="16">
        <v>58.666666666666664</v>
      </c>
      <c r="M2665" s="12"/>
      <c r="N2665" s="14">
        <f>L2665*M2665</f>
        <v>0</v>
      </c>
      <c r="O2665" s="23">
        <f>0.152*M2665</f>
        <v>0</v>
      </c>
      <c r="P2665" s="24">
        <f>0.00022*M2665</f>
        <v>0</v>
      </c>
      <c r="Q2665" s="25"/>
      <c r="R2665" s="26" t="s">
        <v>8281</v>
      </c>
      <c r="S2665" s="26" t="s">
        <v>93</v>
      </c>
      <c r="T2665" s="6" t="str">
        <f>HYPERLINK("https://kanzpp.ru/api/getInfo/image/252663f4-6901-11ef-a265-00155d82e908")</f>
        <v>https://kanzpp.ru/api/getInfo/image/252663f4-6901-11ef-a265-00155d82e908</v>
      </c>
      <c r="U2665" s="6"/>
      <c r="V2665" s="33" t="s">
        <v>35</v>
      </c>
    </row>
    <row r="2666" spans="2:22" ht="22.95" customHeight="1" outlineLevel="3" x14ac:dyDescent="0.2">
      <c r="B2666" s="81" t="s">
        <v>8282</v>
      </c>
      <c r="C2666" s="81"/>
      <c r="D2666" s="81"/>
      <c r="L2666">
        <v>0</v>
      </c>
    </row>
    <row r="2667" spans="2:22" ht="22.95" customHeight="1" outlineLevel="4" x14ac:dyDescent="0.2">
      <c r="B2667" s="82" t="s">
        <v>8283</v>
      </c>
      <c r="C2667" s="82"/>
      <c r="D2667" s="82"/>
      <c r="L2667">
        <v>0</v>
      </c>
    </row>
    <row r="2668" spans="2:22" ht="21" customHeight="1" outlineLevel="5" x14ac:dyDescent="0.2">
      <c r="B2668" s="69">
        <v>1962</v>
      </c>
      <c r="C2668" s="6" t="s">
        <v>8284</v>
      </c>
      <c r="D2668" s="6" t="s">
        <v>8285</v>
      </c>
      <c r="E2668" s="7" t="s">
        <v>8286</v>
      </c>
      <c r="F2668" s="13"/>
      <c r="G2668" s="14"/>
      <c r="H2668" s="14"/>
      <c r="I2668" s="15">
        <v>20</v>
      </c>
      <c r="J2668" s="15">
        <v>2</v>
      </c>
      <c r="K2668" s="5">
        <v>2</v>
      </c>
      <c r="L2668" s="16">
        <v>39.866666666666667</v>
      </c>
      <c r="M2668" s="12"/>
      <c r="N2668" s="14">
        <f>L2668*M2668</f>
        <v>0</v>
      </c>
      <c r="O2668" s="23">
        <f>0.099*M2668</f>
        <v>0</v>
      </c>
      <c r="P2668" s="24">
        <f>0.00024*M2668</f>
        <v>0</v>
      </c>
      <c r="Q2668" s="25"/>
      <c r="R2668" s="26" t="s">
        <v>8287</v>
      </c>
      <c r="S2668" s="26" t="s">
        <v>93</v>
      </c>
      <c r="T2668" s="6" t="str">
        <f>HYPERLINK("https://kanzpp.ru/api/getInfo/image/23fc8ef5-beab-11ee-a25a-00155d82e908")</f>
        <v>https://kanzpp.ru/api/getInfo/image/23fc8ef5-beab-11ee-a25a-00155d82e908</v>
      </c>
      <c r="U2668" s="6"/>
      <c r="V2668" s="33" t="s">
        <v>35</v>
      </c>
    </row>
    <row r="2669" spans="2:22" ht="22.95" customHeight="1" outlineLevel="4" x14ac:dyDescent="0.2">
      <c r="B2669" s="82" t="s">
        <v>8288</v>
      </c>
      <c r="C2669" s="82"/>
      <c r="D2669" s="82"/>
      <c r="L2669">
        <v>0</v>
      </c>
    </row>
    <row r="2670" spans="2:22" ht="21" customHeight="1" outlineLevel="5" x14ac:dyDescent="0.2">
      <c r="B2670" s="71">
        <v>1963</v>
      </c>
      <c r="C2670" s="37" t="s">
        <v>8289</v>
      </c>
      <c r="D2670" s="37" t="s">
        <v>8290</v>
      </c>
      <c r="E2670" s="38" t="s">
        <v>8291</v>
      </c>
      <c r="F2670" s="39"/>
      <c r="G2670" s="40"/>
      <c r="H2670" s="41">
        <v>80</v>
      </c>
      <c r="I2670" s="41">
        <v>20</v>
      </c>
      <c r="J2670" s="41">
        <v>970</v>
      </c>
      <c r="K2670" s="36">
        <v>20</v>
      </c>
      <c r="L2670" s="42">
        <f>(31.05*(1-O3/100))/0.75</f>
        <v>41.4</v>
      </c>
      <c r="M2670" s="12"/>
      <c r="N2670" s="40">
        <f>L2670*M2670</f>
        <v>0</v>
      </c>
      <c r="O2670" s="43">
        <f>0.082*M2670</f>
        <v>0</v>
      </c>
      <c r="P2670" s="47">
        <f>0.00012*M2670</f>
        <v>0</v>
      </c>
      <c r="Q2670" s="44"/>
      <c r="R2670" s="45" t="s">
        <v>8292</v>
      </c>
      <c r="S2670" s="45" t="s">
        <v>93</v>
      </c>
      <c r="T2670" s="37" t="str">
        <f>HYPERLINK("https://kanzpp.ru/api/getInfo/image/957932ef-16af-11f0-a279-00155d82e908")</f>
        <v>https://kanzpp.ru/api/getInfo/image/957932ef-16af-11f0-a279-00155d82e908</v>
      </c>
      <c r="U2670" s="37"/>
    </row>
    <row r="2671" spans="2:22" ht="22.95" customHeight="1" outlineLevel="4" x14ac:dyDescent="0.2">
      <c r="B2671" s="82" t="s">
        <v>8293</v>
      </c>
      <c r="C2671" s="82"/>
      <c r="D2671" s="82"/>
      <c r="L2671">
        <v>0</v>
      </c>
    </row>
    <row r="2672" spans="2:22" ht="21" customHeight="1" outlineLevel="5" x14ac:dyDescent="0.2">
      <c r="B2672" s="71">
        <v>1964</v>
      </c>
      <c r="C2672" s="37" t="s">
        <v>8294</v>
      </c>
      <c r="D2672" s="37" t="s">
        <v>8295</v>
      </c>
      <c r="E2672" s="38" t="s">
        <v>8296</v>
      </c>
      <c r="F2672" s="39"/>
      <c r="G2672" s="40"/>
      <c r="H2672" s="41">
        <v>80</v>
      </c>
      <c r="I2672" s="41">
        <v>20</v>
      </c>
      <c r="J2672" s="50">
        <v>1740</v>
      </c>
      <c r="K2672" s="36">
        <v>20</v>
      </c>
      <c r="L2672" s="42">
        <f>(47.87*(1-O3/100))/0.75</f>
        <v>63.826666666666661</v>
      </c>
      <c r="M2672" s="12"/>
      <c r="N2672" s="40">
        <f>L2672*M2672</f>
        <v>0</v>
      </c>
      <c r="O2672" s="43">
        <f>0.108*M2672</f>
        <v>0</v>
      </c>
      <c r="P2672" s="47">
        <f>0.00021*M2672</f>
        <v>0</v>
      </c>
      <c r="Q2672" s="44"/>
      <c r="R2672" s="45" t="s">
        <v>8297</v>
      </c>
      <c r="S2672" s="45" t="s">
        <v>93</v>
      </c>
      <c r="T2672" s="37" t="str">
        <f>HYPERLINK("https://kanzpp.ru/api/getInfo/image/49bc3a2e-aa8a-11f0-a286-00155d82e908")</f>
        <v>https://kanzpp.ru/api/getInfo/image/49bc3a2e-aa8a-11f0-a286-00155d82e908</v>
      </c>
      <c r="U2672" s="37"/>
    </row>
    <row r="2673" spans="2:22" ht="22.95" customHeight="1" outlineLevel="4" x14ac:dyDescent="0.2">
      <c r="B2673" s="82" t="s">
        <v>8298</v>
      </c>
      <c r="C2673" s="82"/>
      <c r="D2673" s="82"/>
      <c r="L2673">
        <v>0</v>
      </c>
    </row>
    <row r="2674" spans="2:22" ht="21" customHeight="1" outlineLevel="5" x14ac:dyDescent="0.2">
      <c r="B2674" s="72">
        <v>1965</v>
      </c>
      <c r="C2674" s="56" t="s">
        <v>8299</v>
      </c>
      <c r="D2674" s="56" t="s">
        <v>8300</v>
      </c>
      <c r="E2674" s="57" t="s">
        <v>8301</v>
      </c>
      <c r="F2674" s="58"/>
      <c r="G2674" s="59"/>
      <c r="H2674" s="59"/>
      <c r="I2674" s="60">
        <v>40</v>
      </c>
      <c r="J2674" s="59" t="s">
        <v>144</v>
      </c>
      <c r="K2674" s="55">
        <v>40</v>
      </c>
      <c r="L2674" s="61">
        <f>(46.16*(1-O3/100))/0.75</f>
        <v>61.54666666666666</v>
      </c>
      <c r="M2674" s="12"/>
      <c r="N2674" s="59">
        <f t="shared" ref="N2674:N2688" si="122">L2674*M2674</f>
        <v>0</v>
      </c>
      <c r="O2674" s="62">
        <f>0.093*M2674</f>
        <v>0</v>
      </c>
      <c r="P2674" s="63">
        <f>0.00015*M2674</f>
        <v>0</v>
      </c>
      <c r="Q2674" s="64" t="s">
        <v>344</v>
      </c>
      <c r="R2674" s="65" t="s">
        <v>8302</v>
      </c>
      <c r="S2674" s="65" t="s">
        <v>93</v>
      </c>
      <c r="T2674" s="56" t="str">
        <f>HYPERLINK("https://kanzpp.ru/api/getInfo/image/a610d378-f2a8-11f0-a28d-00155d82e908")</f>
        <v>https://kanzpp.ru/api/getInfo/image/a610d378-f2a8-11f0-a28d-00155d82e908</v>
      </c>
      <c r="U2674" s="56"/>
      <c r="V2674" s="66"/>
    </row>
    <row r="2675" spans="2:22" ht="21" customHeight="1" outlineLevel="5" x14ac:dyDescent="0.2">
      <c r="B2675" s="72">
        <v>1966</v>
      </c>
      <c r="C2675" s="56" t="s">
        <v>8303</v>
      </c>
      <c r="D2675" s="56" t="s">
        <v>8304</v>
      </c>
      <c r="E2675" s="57" t="s">
        <v>8305</v>
      </c>
      <c r="F2675" s="58"/>
      <c r="G2675" s="59"/>
      <c r="H2675" s="59"/>
      <c r="I2675" s="60">
        <v>40</v>
      </c>
      <c r="J2675" s="59" t="s">
        <v>144</v>
      </c>
      <c r="K2675" s="55">
        <v>40</v>
      </c>
      <c r="L2675" s="61">
        <f>(46.16*(1-O3/100))/0.75</f>
        <v>61.54666666666666</v>
      </c>
      <c r="M2675" s="12"/>
      <c r="N2675" s="59">
        <f t="shared" si="122"/>
        <v>0</v>
      </c>
      <c r="O2675" s="62">
        <f>0.093*M2675</f>
        <v>0</v>
      </c>
      <c r="P2675" s="63">
        <f>0.00016*M2675</f>
        <v>0</v>
      </c>
      <c r="Q2675" s="64" t="s">
        <v>344</v>
      </c>
      <c r="R2675" s="65" t="s">
        <v>8306</v>
      </c>
      <c r="S2675" s="65" t="s">
        <v>93</v>
      </c>
      <c r="T2675" s="56" t="str">
        <f>HYPERLINK("https://kanzpp.ru/api/getInfo/image/77da16a5-f2aa-11f0-a28d-00155d82e908")</f>
        <v>https://kanzpp.ru/api/getInfo/image/77da16a5-f2aa-11f0-a28d-00155d82e908</v>
      </c>
      <c r="U2675" s="56"/>
      <c r="V2675" s="66"/>
    </row>
    <row r="2676" spans="2:22" ht="21" customHeight="1" outlineLevel="5" x14ac:dyDescent="0.2">
      <c r="B2676" s="69">
        <v>1967</v>
      </c>
      <c r="C2676" s="6" t="s">
        <v>8307</v>
      </c>
      <c r="D2676" s="6" t="s">
        <v>8308</v>
      </c>
      <c r="E2676" s="7" t="s">
        <v>8309</v>
      </c>
      <c r="F2676" s="13"/>
      <c r="G2676" s="14"/>
      <c r="H2676" s="14"/>
      <c r="I2676" s="15">
        <v>40</v>
      </c>
      <c r="J2676" s="14" t="s">
        <v>144</v>
      </c>
      <c r="K2676" s="5">
        <v>40</v>
      </c>
      <c r="L2676" s="16">
        <v>39.866666666666667</v>
      </c>
      <c r="M2676" s="12"/>
      <c r="N2676" s="14">
        <f t="shared" si="122"/>
        <v>0</v>
      </c>
      <c r="O2676" s="23">
        <f>0.092*M2676</f>
        <v>0</v>
      </c>
      <c r="P2676" s="31">
        <f>0.0002*M2676</f>
        <v>0</v>
      </c>
      <c r="Q2676" s="25"/>
      <c r="R2676" s="26" t="s">
        <v>8310</v>
      </c>
      <c r="S2676" s="26" t="s">
        <v>93</v>
      </c>
      <c r="T2676" s="6" t="str">
        <f>HYPERLINK("https://kanzpp.ru/api/getInfo/image/cf215508-690c-11ef-a265-00155d82e908")</f>
        <v>https://kanzpp.ru/api/getInfo/image/cf215508-690c-11ef-a265-00155d82e908</v>
      </c>
      <c r="U2676" s="6"/>
      <c r="V2676" s="33" t="s">
        <v>35</v>
      </c>
    </row>
    <row r="2677" spans="2:22" ht="21" customHeight="1" outlineLevel="5" x14ac:dyDescent="0.2">
      <c r="B2677" s="72">
        <v>1968</v>
      </c>
      <c r="C2677" s="56" t="s">
        <v>8311</v>
      </c>
      <c r="D2677" s="56" t="s">
        <v>8312</v>
      </c>
      <c r="E2677" s="57" t="s">
        <v>8313</v>
      </c>
      <c r="F2677" s="58"/>
      <c r="G2677" s="59"/>
      <c r="H2677" s="59"/>
      <c r="I2677" s="60">
        <v>40</v>
      </c>
      <c r="J2677" s="59" t="s">
        <v>144</v>
      </c>
      <c r="K2677" s="55">
        <v>40</v>
      </c>
      <c r="L2677" s="61">
        <f>(46.16*(1-O3/100))/0.75</f>
        <v>61.54666666666666</v>
      </c>
      <c r="M2677" s="12"/>
      <c r="N2677" s="59">
        <f t="shared" si="122"/>
        <v>0</v>
      </c>
      <c r="O2677" s="74">
        <f>0.1*M2677</f>
        <v>0</v>
      </c>
      <c r="P2677" s="63">
        <f>0.00019*M2677</f>
        <v>0</v>
      </c>
      <c r="Q2677" s="64" t="s">
        <v>344</v>
      </c>
      <c r="R2677" s="65" t="s">
        <v>8314</v>
      </c>
      <c r="S2677" s="65" t="s">
        <v>93</v>
      </c>
      <c r="T2677" s="56" t="str">
        <f>HYPERLINK("https://kanzpp.ru/api/getInfo/image/e8cb3c00-f2a9-11f0-a28d-00155d82e908")</f>
        <v>https://kanzpp.ru/api/getInfo/image/e8cb3c00-f2a9-11f0-a28d-00155d82e908</v>
      </c>
      <c r="U2677" s="56"/>
      <c r="V2677" s="66"/>
    </row>
    <row r="2678" spans="2:22" ht="21" customHeight="1" outlineLevel="5" x14ac:dyDescent="0.2">
      <c r="B2678" s="69">
        <v>1969</v>
      </c>
      <c r="C2678" s="6" t="s">
        <v>8315</v>
      </c>
      <c r="D2678" s="6" t="s">
        <v>8316</v>
      </c>
      <c r="E2678" s="7" t="s">
        <v>8317</v>
      </c>
      <c r="F2678" s="13"/>
      <c r="G2678" s="14"/>
      <c r="H2678" s="14"/>
      <c r="I2678" s="15">
        <v>40</v>
      </c>
      <c r="J2678" s="14" t="s">
        <v>144</v>
      </c>
      <c r="K2678" s="5">
        <v>40</v>
      </c>
      <c r="L2678" s="16">
        <v>39.866666666666667</v>
      </c>
      <c r="M2678" s="12"/>
      <c r="N2678" s="14">
        <f t="shared" si="122"/>
        <v>0</v>
      </c>
      <c r="O2678" s="23">
        <f>0.092*M2678</f>
        <v>0</v>
      </c>
      <c r="P2678" s="24">
        <f>0.00018*M2678</f>
        <v>0</v>
      </c>
      <c r="Q2678" s="25"/>
      <c r="R2678" s="26" t="s">
        <v>8318</v>
      </c>
      <c r="S2678" s="26" t="s">
        <v>93</v>
      </c>
      <c r="T2678" s="6" t="str">
        <f>HYPERLINK("https://kanzpp.ru/api/getInfo/image/e7552cc5-690a-11ef-a265-00155d82e908")</f>
        <v>https://kanzpp.ru/api/getInfo/image/e7552cc5-690a-11ef-a265-00155d82e908</v>
      </c>
      <c r="U2678" s="6"/>
      <c r="V2678" s="33" t="s">
        <v>35</v>
      </c>
    </row>
    <row r="2679" spans="2:22" ht="21" customHeight="1" outlineLevel="5" x14ac:dyDescent="0.2">
      <c r="B2679" s="72">
        <v>1970</v>
      </c>
      <c r="C2679" s="56" t="s">
        <v>8319</v>
      </c>
      <c r="D2679" s="56" t="s">
        <v>8320</v>
      </c>
      <c r="E2679" s="57" t="s">
        <v>8321</v>
      </c>
      <c r="F2679" s="58"/>
      <c r="G2679" s="59"/>
      <c r="H2679" s="59"/>
      <c r="I2679" s="60">
        <v>40</v>
      </c>
      <c r="J2679" s="59" t="s">
        <v>144</v>
      </c>
      <c r="K2679" s="55">
        <v>40</v>
      </c>
      <c r="L2679" s="61">
        <f>(46.16*(1-O3/100))/0.75</f>
        <v>61.54666666666666</v>
      </c>
      <c r="M2679" s="12"/>
      <c r="N2679" s="59">
        <f t="shared" si="122"/>
        <v>0</v>
      </c>
      <c r="O2679" s="62">
        <f>0.095*M2679</f>
        <v>0</v>
      </c>
      <c r="P2679" s="63">
        <f>0.00016*M2679</f>
        <v>0</v>
      </c>
      <c r="Q2679" s="64" t="s">
        <v>344</v>
      </c>
      <c r="R2679" s="65" t="s">
        <v>8322</v>
      </c>
      <c r="S2679" s="65" t="s">
        <v>93</v>
      </c>
      <c r="T2679" s="56" t="str">
        <f>HYPERLINK("https://kanzpp.ru/api/getInfo/image/654d8aaa-f2a8-11f0-a28d-00155d82e908")</f>
        <v>https://kanzpp.ru/api/getInfo/image/654d8aaa-f2a8-11f0-a28d-00155d82e908</v>
      </c>
      <c r="U2679" s="56"/>
      <c r="V2679" s="66"/>
    </row>
    <row r="2680" spans="2:22" ht="21" customHeight="1" outlineLevel="5" x14ac:dyDescent="0.2">
      <c r="B2680" s="72">
        <v>1971</v>
      </c>
      <c r="C2680" s="56" t="s">
        <v>8323</v>
      </c>
      <c r="D2680" s="56" t="s">
        <v>8324</v>
      </c>
      <c r="E2680" s="57" t="s">
        <v>8325</v>
      </c>
      <c r="F2680" s="58"/>
      <c r="G2680" s="59"/>
      <c r="H2680" s="59"/>
      <c r="I2680" s="60">
        <v>40</v>
      </c>
      <c r="J2680" s="59" t="s">
        <v>144</v>
      </c>
      <c r="K2680" s="55">
        <v>40</v>
      </c>
      <c r="L2680" s="61">
        <f>(46.16*(1-O3/100))/0.75</f>
        <v>61.54666666666666</v>
      </c>
      <c r="M2680" s="12"/>
      <c r="N2680" s="59">
        <f t="shared" si="122"/>
        <v>0</v>
      </c>
      <c r="O2680" s="62">
        <f>0.091*M2680</f>
        <v>0</v>
      </c>
      <c r="P2680" s="63">
        <f>0.00018*M2680</f>
        <v>0</v>
      </c>
      <c r="Q2680" s="64" t="s">
        <v>344</v>
      </c>
      <c r="R2680" s="65" t="s">
        <v>8326</v>
      </c>
      <c r="S2680" s="65" t="s">
        <v>93</v>
      </c>
      <c r="T2680" s="56" t="str">
        <f>HYPERLINK("https://kanzpp.ru/api/getInfo/image/6b0bdc8b-f2a9-11f0-a28d-00155d82e908")</f>
        <v>https://kanzpp.ru/api/getInfo/image/6b0bdc8b-f2a9-11f0-a28d-00155d82e908</v>
      </c>
      <c r="U2680" s="56"/>
      <c r="V2680" s="66"/>
    </row>
    <row r="2681" spans="2:22" ht="21" customHeight="1" outlineLevel="5" x14ac:dyDescent="0.2">
      <c r="B2681" s="72">
        <v>1972</v>
      </c>
      <c r="C2681" s="56" t="s">
        <v>8327</v>
      </c>
      <c r="D2681" s="56" t="s">
        <v>8328</v>
      </c>
      <c r="E2681" s="57" t="s">
        <v>8329</v>
      </c>
      <c r="F2681" s="58"/>
      <c r="G2681" s="59"/>
      <c r="H2681" s="59"/>
      <c r="I2681" s="60">
        <v>40</v>
      </c>
      <c r="J2681" s="59" t="s">
        <v>144</v>
      </c>
      <c r="K2681" s="55">
        <v>40</v>
      </c>
      <c r="L2681" s="61">
        <f>(46.16*(1-O3/100))/0.75</f>
        <v>61.54666666666666</v>
      </c>
      <c r="M2681" s="12"/>
      <c r="N2681" s="59">
        <f t="shared" si="122"/>
        <v>0</v>
      </c>
      <c r="O2681" s="62">
        <f>0.095*M2681</f>
        <v>0</v>
      </c>
      <c r="P2681" s="63">
        <f>0.00016*M2681</f>
        <v>0</v>
      </c>
      <c r="Q2681" s="64" t="s">
        <v>344</v>
      </c>
      <c r="R2681" s="65" t="s">
        <v>8330</v>
      </c>
      <c r="S2681" s="65" t="s">
        <v>93</v>
      </c>
      <c r="T2681" s="56" t="str">
        <f>HYPERLINK("https://kanzpp.ru/api/getInfo/image/1956fc9b-f2aa-11f0-a28d-00155d82e908")</f>
        <v>https://kanzpp.ru/api/getInfo/image/1956fc9b-f2aa-11f0-a28d-00155d82e908</v>
      </c>
      <c r="U2681" s="56"/>
      <c r="V2681" s="66"/>
    </row>
    <row r="2682" spans="2:22" ht="21" customHeight="1" outlineLevel="5" x14ac:dyDescent="0.2">
      <c r="B2682" s="72">
        <v>1973</v>
      </c>
      <c r="C2682" s="56" t="s">
        <v>8331</v>
      </c>
      <c r="D2682" s="56" t="s">
        <v>8332</v>
      </c>
      <c r="E2682" s="57" t="s">
        <v>8333</v>
      </c>
      <c r="F2682" s="58"/>
      <c r="G2682" s="59"/>
      <c r="H2682" s="59"/>
      <c r="I2682" s="60">
        <v>40</v>
      </c>
      <c r="J2682" s="59" t="s">
        <v>144</v>
      </c>
      <c r="K2682" s="55">
        <v>40</v>
      </c>
      <c r="L2682" s="61">
        <f>(46.16*(1-O3/100))/0.75</f>
        <v>61.54666666666666</v>
      </c>
      <c r="M2682" s="12"/>
      <c r="N2682" s="59">
        <f t="shared" si="122"/>
        <v>0</v>
      </c>
      <c r="O2682" s="62">
        <f>0.095*M2682</f>
        <v>0</v>
      </c>
      <c r="P2682" s="63">
        <f>0.00019*M2682</f>
        <v>0</v>
      </c>
      <c r="Q2682" s="64" t="s">
        <v>344</v>
      </c>
      <c r="R2682" s="65" t="s">
        <v>8334</v>
      </c>
      <c r="S2682" s="65" t="s">
        <v>93</v>
      </c>
      <c r="T2682" s="56" t="str">
        <f>HYPERLINK("https://kanzpp.ru/api/getInfo/image/bf7f925c-f2a9-11f0-a28d-00155d82e908")</f>
        <v>https://kanzpp.ru/api/getInfo/image/bf7f925c-f2a9-11f0-a28d-00155d82e908</v>
      </c>
      <c r="U2682" s="56"/>
      <c r="V2682" s="66"/>
    </row>
    <row r="2683" spans="2:22" ht="21" customHeight="1" outlineLevel="5" x14ac:dyDescent="0.2">
      <c r="B2683" s="72">
        <v>1974</v>
      </c>
      <c r="C2683" s="56" t="s">
        <v>8335</v>
      </c>
      <c r="D2683" s="56" t="s">
        <v>8336</v>
      </c>
      <c r="E2683" s="57" t="s">
        <v>8337</v>
      </c>
      <c r="F2683" s="58"/>
      <c r="G2683" s="59"/>
      <c r="H2683" s="59"/>
      <c r="I2683" s="60">
        <v>40</v>
      </c>
      <c r="J2683" s="59" t="s">
        <v>144</v>
      </c>
      <c r="K2683" s="55">
        <v>40</v>
      </c>
      <c r="L2683" s="61">
        <f>(46.16*(1-O3/100))/0.75</f>
        <v>61.54666666666666</v>
      </c>
      <c r="M2683" s="12"/>
      <c r="N2683" s="59">
        <f t="shared" si="122"/>
        <v>0</v>
      </c>
      <c r="O2683" s="62">
        <f>0.093*M2683</f>
        <v>0</v>
      </c>
      <c r="P2683" s="63">
        <f>0.00002*M2683</f>
        <v>0</v>
      </c>
      <c r="Q2683" s="64" t="s">
        <v>344</v>
      </c>
      <c r="R2683" s="65" t="s">
        <v>8338</v>
      </c>
      <c r="S2683" s="65" t="s">
        <v>93</v>
      </c>
      <c r="T2683" s="56" t="str">
        <f>HYPERLINK("https://kanzpp.ru/api/getInfo/image/964ffbac-f2a9-11f0-a28d-00155d82e908")</f>
        <v>https://kanzpp.ru/api/getInfo/image/964ffbac-f2a9-11f0-a28d-00155d82e908</v>
      </c>
      <c r="U2683" s="56"/>
      <c r="V2683" s="66"/>
    </row>
    <row r="2684" spans="2:22" ht="21" customHeight="1" outlineLevel="5" x14ac:dyDescent="0.2">
      <c r="B2684" s="69">
        <v>1975</v>
      </c>
      <c r="C2684" s="6" t="s">
        <v>8339</v>
      </c>
      <c r="D2684" s="6" t="s">
        <v>8340</v>
      </c>
      <c r="E2684" s="7" t="s">
        <v>8341</v>
      </c>
      <c r="F2684" s="13"/>
      <c r="G2684" s="14"/>
      <c r="H2684" s="14"/>
      <c r="I2684" s="15">
        <v>40</v>
      </c>
      <c r="J2684" s="15">
        <v>497</v>
      </c>
      <c r="K2684" s="5">
        <v>40</v>
      </c>
      <c r="L2684" s="16">
        <v>39.866666666666667</v>
      </c>
      <c r="M2684" s="12"/>
      <c r="N2684" s="14">
        <f t="shared" si="122"/>
        <v>0</v>
      </c>
      <c r="O2684" s="23">
        <f>0.092*M2684</f>
        <v>0</v>
      </c>
      <c r="P2684" s="24">
        <f>0.00018*M2684</f>
        <v>0</v>
      </c>
      <c r="Q2684" s="25"/>
      <c r="R2684" s="26" t="s">
        <v>8342</v>
      </c>
      <c r="S2684" s="26" t="s">
        <v>93</v>
      </c>
      <c r="T2684" s="6" t="str">
        <f>HYPERLINK("https://kanzpp.ru/api/getInfo/image/2eca5de2-6909-11ef-a265-00155d82e908")</f>
        <v>https://kanzpp.ru/api/getInfo/image/2eca5de2-6909-11ef-a265-00155d82e908</v>
      </c>
      <c r="U2684" s="6"/>
      <c r="V2684" s="33" t="s">
        <v>35</v>
      </c>
    </row>
    <row r="2685" spans="2:22" ht="21" customHeight="1" outlineLevel="5" x14ac:dyDescent="0.2">
      <c r="B2685" s="72">
        <v>1976</v>
      </c>
      <c r="C2685" s="56" t="s">
        <v>8343</v>
      </c>
      <c r="D2685" s="56" t="s">
        <v>8344</v>
      </c>
      <c r="E2685" s="57" t="s">
        <v>8345</v>
      </c>
      <c r="F2685" s="58"/>
      <c r="G2685" s="59"/>
      <c r="H2685" s="59"/>
      <c r="I2685" s="60">
        <v>40</v>
      </c>
      <c r="J2685" s="59" t="s">
        <v>144</v>
      </c>
      <c r="K2685" s="55">
        <v>40</v>
      </c>
      <c r="L2685" s="61">
        <f>(46.16*(1-O3/100))/0.75</f>
        <v>61.54666666666666</v>
      </c>
      <c r="M2685" s="12"/>
      <c r="N2685" s="59">
        <f t="shared" si="122"/>
        <v>0</v>
      </c>
      <c r="O2685" s="62">
        <f>0.093*M2685</f>
        <v>0</v>
      </c>
      <c r="P2685" s="63">
        <f>0.00016*M2685</f>
        <v>0</v>
      </c>
      <c r="Q2685" s="64" t="s">
        <v>344</v>
      </c>
      <c r="R2685" s="65" t="s">
        <v>8346</v>
      </c>
      <c r="S2685" s="65" t="s">
        <v>93</v>
      </c>
      <c r="T2685" s="56" t="str">
        <f>HYPERLINK("https://kanzpp.ru/api/getInfo/image/ea89aa57-f2a8-11f0-a28d-00155d82e908")</f>
        <v>https://kanzpp.ru/api/getInfo/image/ea89aa57-f2a8-11f0-a28d-00155d82e908</v>
      </c>
      <c r="U2685" s="56"/>
      <c r="V2685" s="66"/>
    </row>
    <row r="2686" spans="2:22" ht="21" customHeight="1" outlineLevel="5" x14ac:dyDescent="0.2">
      <c r="B2686" s="72">
        <v>1977</v>
      </c>
      <c r="C2686" s="56" t="s">
        <v>8347</v>
      </c>
      <c r="D2686" s="56" t="s">
        <v>8348</v>
      </c>
      <c r="E2686" s="57" t="s">
        <v>8349</v>
      </c>
      <c r="F2686" s="58"/>
      <c r="G2686" s="59"/>
      <c r="H2686" s="59"/>
      <c r="I2686" s="60">
        <v>40</v>
      </c>
      <c r="J2686" s="59" t="s">
        <v>144</v>
      </c>
      <c r="K2686" s="55">
        <v>40</v>
      </c>
      <c r="L2686" s="61">
        <f>(46.16*(1-O3/100))/0.75</f>
        <v>61.54666666666666</v>
      </c>
      <c r="M2686" s="12"/>
      <c r="N2686" s="59">
        <f t="shared" si="122"/>
        <v>0</v>
      </c>
      <c r="O2686" s="62">
        <f>0.091*M2686</f>
        <v>0</v>
      </c>
      <c r="P2686" s="63">
        <f>0.00018*M2686</f>
        <v>0</v>
      </c>
      <c r="Q2686" s="64" t="s">
        <v>344</v>
      </c>
      <c r="R2686" s="65" t="s">
        <v>8350</v>
      </c>
      <c r="S2686" s="65" t="s">
        <v>93</v>
      </c>
      <c r="T2686" s="56" t="str">
        <f>HYPERLINK("https://kanzpp.ru/api/getInfo/image/414535ba-f2a9-11f0-a28d-00155d82e908")</f>
        <v>https://kanzpp.ru/api/getInfo/image/414535ba-f2a9-11f0-a28d-00155d82e908</v>
      </c>
      <c r="U2686" s="56"/>
      <c r="V2686" s="66"/>
    </row>
    <row r="2687" spans="2:22" ht="21" customHeight="1" outlineLevel="5" x14ac:dyDescent="0.2">
      <c r="B2687" s="72">
        <v>1978</v>
      </c>
      <c r="C2687" s="56" t="s">
        <v>8351</v>
      </c>
      <c r="D2687" s="56" t="s">
        <v>8352</v>
      </c>
      <c r="E2687" s="57" t="s">
        <v>8353</v>
      </c>
      <c r="F2687" s="58"/>
      <c r="G2687" s="59"/>
      <c r="H2687" s="59"/>
      <c r="I2687" s="60">
        <v>40</v>
      </c>
      <c r="J2687" s="59" t="s">
        <v>144</v>
      </c>
      <c r="K2687" s="55">
        <v>40</v>
      </c>
      <c r="L2687" s="61">
        <f>(46.16*(1-O3/100))/0.75</f>
        <v>61.54666666666666</v>
      </c>
      <c r="M2687" s="12"/>
      <c r="N2687" s="59">
        <f t="shared" si="122"/>
        <v>0</v>
      </c>
      <c r="O2687" s="62">
        <f>0.089*M2687</f>
        <v>0</v>
      </c>
      <c r="P2687" s="63">
        <f>0.00018*M2687</f>
        <v>0</v>
      </c>
      <c r="Q2687" s="64" t="s">
        <v>344</v>
      </c>
      <c r="R2687" s="65" t="s">
        <v>8354</v>
      </c>
      <c r="S2687" s="65" t="s">
        <v>93</v>
      </c>
      <c r="T2687" s="56" t="str">
        <f>HYPERLINK("https://kanzpp.ru/api/getInfo/image/48c761ba-f2aa-11f0-a28d-00155d82e908")</f>
        <v>https://kanzpp.ru/api/getInfo/image/48c761ba-f2aa-11f0-a28d-00155d82e908</v>
      </c>
      <c r="U2687" s="56"/>
      <c r="V2687" s="66"/>
    </row>
    <row r="2688" spans="2:22" ht="21" customHeight="1" outlineLevel="5" x14ac:dyDescent="0.2">
      <c r="B2688" s="72">
        <v>1979</v>
      </c>
      <c r="C2688" s="56" t="s">
        <v>8355</v>
      </c>
      <c r="D2688" s="56" t="s">
        <v>8356</v>
      </c>
      <c r="E2688" s="57" t="s">
        <v>8357</v>
      </c>
      <c r="F2688" s="58"/>
      <c r="G2688" s="59"/>
      <c r="H2688" s="59"/>
      <c r="I2688" s="60">
        <v>40</v>
      </c>
      <c r="J2688" s="59" t="s">
        <v>144</v>
      </c>
      <c r="K2688" s="55">
        <v>40</v>
      </c>
      <c r="L2688" s="61">
        <f>(46.16*(1-O3/100))/0.75</f>
        <v>61.54666666666666</v>
      </c>
      <c r="M2688" s="12"/>
      <c r="N2688" s="59">
        <f t="shared" si="122"/>
        <v>0</v>
      </c>
      <c r="O2688" s="62">
        <f>0.093*M2688</f>
        <v>0</v>
      </c>
      <c r="P2688" s="63">
        <f>0.00016*M2688</f>
        <v>0</v>
      </c>
      <c r="Q2688" s="64" t="s">
        <v>344</v>
      </c>
      <c r="R2688" s="65" t="s">
        <v>8358</v>
      </c>
      <c r="S2688" s="65" t="s">
        <v>93</v>
      </c>
      <c r="T2688" s="56" t="str">
        <f>HYPERLINK("https://kanzpp.ru/api/getInfo/image/152ac036-f2a9-11f0-a28d-00155d82e908")</f>
        <v>https://kanzpp.ru/api/getInfo/image/152ac036-f2a9-11f0-a28d-00155d82e908</v>
      </c>
      <c r="U2688" s="56"/>
      <c r="V2688" s="66"/>
    </row>
    <row r="2689" spans="2:22" ht="22.95" customHeight="1" outlineLevel="1" x14ac:dyDescent="0.2">
      <c r="B2689" s="79" t="s">
        <v>8359</v>
      </c>
      <c r="C2689" s="79"/>
      <c r="D2689" s="79"/>
      <c r="L2689">
        <v>0</v>
      </c>
    </row>
    <row r="2690" spans="2:22" ht="22.95" customHeight="1" outlineLevel="2" x14ac:dyDescent="0.2">
      <c r="B2690" s="80" t="s">
        <v>8360</v>
      </c>
      <c r="C2690" s="80"/>
      <c r="D2690" s="80"/>
      <c r="L2690">
        <v>0</v>
      </c>
    </row>
    <row r="2691" spans="2:22" ht="22.95" customHeight="1" outlineLevel="3" x14ac:dyDescent="0.2">
      <c r="B2691" s="81" t="s">
        <v>8361</v>
      </c>
      <c r="C2691" s="81"/>
      <c r="D2691" s="81"/>
      <c r="L2691">
        <v>0</v>
      </c>
    </row>
    <row r="2692" spans="2:22" ht="22.95" customHeight="1" outlineLevel="4" x14ac:dyDescent="0.2">
      <c r="B2692" s="82" t="s">
        <v>8362</v>
      </c>
      <c r="C2692" s="82"/>
      <c r="D2692" s="82"/>
      <c r="L2692">
        <v>0</v>
      </c>
    </row>
    <row r="2693" spans="2:22" ht="21" customHeight="1" outlineLevel="5" x14ac:dyDescent="0.2">
      <c r="B2693" s="69">
        <v>1980</v>
      </c>
      <c r="C2693" s="6" t="s">
        <v>8363</v>
      </c>
      <c r="D2693" s="6" t="s">
        <v>8364</v>
      </c>
      <c r="E2693" s="7" t="s">
        <v>8365</v>
      </c>
      <c r="F2693" s="13"/>
      <c r="G2693" s="14"/>
      <c r="H2693" s="14"/>
      <c r="I2693" s="15">
        <v>12</v>
      </c>
      <c r="J2693" s="14" t="s">
        <v>144</v>
      </c>
      <c r="K2693" s="5">
        <v>4</v>
      </c>
      <c r="L2693" s="16">
        <v>109.33333333333333</v>
      </c>
      <c r="M2693" s="12"/>
      <c r="N2693" s="14">
        <f>L2693*M2693</f>
        <v>0</v>
      </c>
      <c r="O2693" s="23">
        <f>0.393*M2693</f>
        <v>0</v>
      </c>
      <c r="P2693" s="24">
        <f>0.00063*M2693</f>
        <v>0</v>
      </c>
      <c r="Q2693" s="25"/>
      <c r="R2693" s="26" t="s">
        <v>8366</v>
      </c>
      <c r="S2693" s="26" t="s">
        <v>93</v>
      </c>
      <c r="T2693" s="6" t="str">
        <f>HYPERLINK("https://kanzpp.ru/api/getInfo/image/65024a76-11d7-11ef-a25d-00155d82e908")</f>
        <v>https://kanzpp.ru/api/getInfo/image/65024a76-11d7-11ef-a25d-00155d82e908</v>
      </c>
      <c r="U2693" s="6"/>
      <c r="V2693" s="33" t="s">
        <v>35</v>
      </c>
    </row>
    <row r="2694" spans="2:22" ht="21" customHeight="1" outlineLevel="5" x14ac:dyDescent="0.2">
      <c r="B2694" s="69">
        <v>1981</v>
      </c>
      <c r="C2694" s="6" t="s">
        <v>8367</v>
      </c>
      <c r="D2694" s="6" t="s">
        <v>8368</v>
      </c>
      <c r="E2694" s="7" t="s">
        <v>8369</v>
      </c>
      <c r="F2694" s="13"/>
      <c r="G2694" s="14"/>
      <c r="H2694" s="14"/>
      <c r="I2694" s="15">
        <v>12</v>
      </c>
      <c r="J2694" s="14" t="s">
        <v>144</v>
      </c>
      <c r="K2694" s="5">
        <v>4</v>
      </c>
      <c r="L2694" s="16">
        <v>119.86666666666667</v>
      </c>
      <c r="M2694" s="12"/>
      <c r="N2694" s="14">
        <f>L2694*M2694</f>
        <v>0</v>
      </c>
      <c r="O2694" s="23">
        <f>0.394*M2694</f>
        <v>0</v>
      </c>
      <c r="P2694" s="24">
        <f>0.00063*M2694</f>
        <v>0</v>
      </c>
      <c r="Q2694" s="25"/>
      <c r="R2694" s="26" t="s">
        <v>8370</v>
      </c>
      <c r="S2694" s="26" t="s">
        <v>93</v>
      </c>
      <c r="T2694" s="6" t="str">
        <f>HYPERLINK("https://kanzpp.ru/api/getInfo/image/8f1af2fd-11d7-11ef-a25d-00155d82e908")</f>
        <v>https://kanzpp.ru/api/getInfo/image/8f1af2fd-11d7-11ef-a25d-00155d82e908</v>
      </c>
      <c r="U2694" s="6"/>
      <c r="V2694" s="33" t="s">
        <v>35</v>
      </c>
    </row>
    <row r="2695" spans="2:22" ht="22.95" customHeight="1" outlineLevel="4" x14ac:dyDescent="0.2">
      <c r="B2695" s="82" t="s">
        <v>8371</v>
      </c>
      <c r="C2695" s="82"/>
      <c r="D2695" s="82"/>
      <c r="L2695">
        <v>0</v>
      </c>
    </row>
    <row r="2696" spans="2:22" ht="21" customHeight="1" outlineLevel="5" x14ac:dyDescent="0.2">
      <c r="B2696" s="71">
        <v>1982</v>
      </c>
      <c r="C2696" s="37" t="s">
        <v>8372</v>
      </c>
      <c r="D2696" s="37" t="s">
        <v>8373</v>
      </c>
      <c r="E2696" s="38" t="s">
        <v>8374</v>
      </c>
      <c r="F2696" s="39"/>
      <c r="G2696" s="40"/>
      <c r="H2696" s="40"/>
      <c r="I2696" s="41">
        <v>12</v>
      </c>
      <c r="J2696" s="40" t="s">
        <v>144</v>
      </c>
      <c r="K2696" s="36">
        <v>4</v>
      </c>
      <c r="L2696" s="42">
        <f>(172.33*(1-O3/100))/0.75</f>
        <v>229.77333333333334</v>
      </c>
      <c r="M2696" s="12"/>
      <c r="N2696" s="40">
        <f>L2696*M2696</f>
        <v>0</v>
      </c>
      <c r="O2696" s="43">
        <f>0.433*M2696</f>
        <v>0</v>
      </c>
      <c r="P2696" s="47">
        <f>0.00057*M2696</f>
        <v>0</v>
      </c>
      <c r="Q2696" s="44"/>
      <c r="R2696" s="45" t="s">
        <v>8375</v>
      </c>
      <c r="S2696" s="45" t="s">
        <v>93</v>
      </c>
      <c r="T2696" s="37" t="str">
        <f>HYPERLINK("https://kanzpp.ru/api/getInfo/image/fb4c640a-11d7-11ef-a25d-00155d82e908")</f>
        <v>https://kanzpp.ru/api/getInfo/image/fb4c640a-11d7-11ef-a25d-00155d82e908</v>
      </c>
      <c r="U2696" s="37"/>
    </row>
    <row r="2697" spans="2:22" ht="21" customHeight="1" outlineLevel="5" x14ac:dyDescent="0.2">
      <c r="B2697" s="71">
        <v>1983</v>
      </c>
      <c r="C2697" s="37" t="s">
        <v>8376</v>
      </c>
      <c r="D2697" s="37" t="s">
        <v>8377</v>
      </c>
      <c r="E2697" s="38" t="s">
        <v>8378</v>
      </c>
      <c r="F2697" s="39"/>
      <c r="G2697" s="40"/>
      <c r="H2697" s="40"/>
      <c r="I2697" s="41">
        <v>12</v>
      </c>
      <c r="J2697" s="40" t="s">
        <v>144</v>
      </c>
      <c r="K2697" s="36">
        <v>4</v>
      </c>
      <c r="L2697" s="42">
        <f>(172.33*(1-O3/100))/0.75</f>
        <v>229.77333333333334</v>
      </c>
      <c r="M2697" s="12"/>
      <c r="N2697" s="40">
        <f>L2697*M2697</f>
        <v>0</v>
      </c>
      <c r="O2697" s="43">
        <f>0.518*M2697</f>
        <v>0</v>
      </c>
      <c r="P2697" s="47">
        <f>0.00069*M2697</f>
        <v>0</v>
      </c>
      <c r="Q2697" s="44"/>
      <c r="R2697" s="45" t="s">
        <v>8379</v>
      </c>
      <c r="S2697" s="45" t="s">
        <v>93</v>
      </c>
      <c r="T2697" s="37" t="str">
        <f>HYPERLINK("https://kanzpp.ru/api/getInfo/image/0efe3efa-84b1-11f0-a284-00155d82e908")</f>
        <v>https://kanzpp.ru/api/getInfo/image/0efe3efa-84b1-11f0-a284-00155d82e908</v>
      </c>
      <c r="U2697" s="37"/>
    </row>
    <row r="2698" spans="2:22" ht="21" customHeight="1" outlineLevel="5" x14ac:dyDescent="0.2">
      <c r="B2698" s="71">
        <v>1984</v>
      </c>
      <c r="C2698" s="37" t="s">
        <v>8380</v>
      </c>
      <c r="D2698" s="37" t="s">
        <v>8381</v>
      </c>
      <c r="E2698" s="38" t="s">
        <v>8382</v>
      </c>
      <c r="F2698" s="39"/>
      <c r="G2698" s="40"/>
      <c r="H2698" s="40"/>
      <c r="I2698" s="41">
        <v>12</v>
      </c>
      <c r="J2698" s="40" t="s">
        <v>144</v>
      </c>
      <c r="K2698" s="36">
        <v>4</v>
      </c>
      <c r="L2698" s="42">
        <f>(172.33*(1-O3/100))/0.75</f>
        <v>229.77333333333334</v>
      </c>
      <c r="M2698" s="12"/>
      <c r="N2698" s="40">
        <f>L2698*M2698</f>
        <v>0</v>
      </c>
      <c r="O2698" s="43">
        <f>0.218*M2698</f>
        <v>0</v>
      </c>
      <c r="P2698" s="47">
        <f>0.00069*M2698</f>
        <v>0</v>
      </c>
      <c r="Q2698" s="44"/>
      <c r="R2698" s="45" t="s">
        <v>8383</v>
      </c>
      <c r="S2698" s="45" t="s">
        <v>93</v>
      </c>
      <c r="T2698" s="37" t="str">
        <f>HYPERLINK("https://kanzpp.ru/api/getInfo/image/e51af978-84b0-11f0-a284-00155d82e908")</f>
        <v>https://kanzpp.ru/api/getInfo/image/e51af978-84b0-11f0-a284-00155d82e908</v>
      </c>
      <c r="U2698" s="37"/>
    </row>
    <row r="2699" spans="2:22" ht="22.95" customHeight="1" outlineLevel="4" x14ac:dyDescent="0.2">
      <c r="B2699" s="82" t="s">
        <v>8384</v>
      </c>
      <c r="C2699" s="82"/>
      <c r="D2699" s="82"/>
      <c r="L2699">
        <v>0</v>
      </c>
    </row>
    <row r="2700" spans="2:22" ht="21" customHeight="1" outlineLevel="5" x14ac:dyDescent="0.2">
      <c r="B2700" s="71">
        <v>1985</v>
      </c>
      <c r="C2700" s="37" t="s">
        <v>8385</v>
      </c>
      <c r="D2700" s="37" t="s">
        <v>8386</v>
      </c>
      <c r="E2700" s="38" t="s">
        <v>8387</v>
      </c>
      <c r="F2700" s="39"/>
      <c r="G2700" s="40"/>
      <c r="H2700" s="40"/>
      <c r="I2700" s="41">
        <v>12</v>
      </c>
      <c r="J2700" s="40" t="s">
        <v>144</v>
      </c>
      <c r="K2700" s="36">
        <v>3</v>
      </c>
      <c r="L2700" s="42">
        <f>(197.69*(1-O3/100))/0.75</f>
        <v>263.58666666666664</v>
      </c>
      <c r="M2700" s="12"/>
      <c r="N2700" s="40">
        <f>L2700*M2700</f>
        <v>0</v>
      </c>
      <c r="O2700" s="43">
        <f>0.453*M2700</f>
        <v>0</v>
      </c>
      <c r="P2700" s="47">
        <f>0.00076*M2700</f>
        <v>0</v>
      </c>
      <c r="Q2700" s="44"/>
      <c r="R2700" s="45" t="s">
        <v>8388</v>
      </c>
      <c r="S2700" s="45" t="s">
        <v>93</v>
      </c>
      <c r="T2700" s="37" t="str">
        <f>HYPERLINK("https://kanzpp.ru/api/getInfo/image/b0ec7b6f-11d8-11ef-a25d-00155d82e908")</f>
        <v>https://kanzpp.ru/api/getInfo/image/b0ec7b6f-11d8-11ef-a25d-00155d82e908</v>
      </c>
      <c r="U2700" s="37"/>
    </row>
    <row r="2701" spans="2:22" ht="21" customHeight="1" outlineLevel="5" x14ac:dyDescent="0.2">
      <c r="B2701" s="71">
        <v>1986</v>
      </c>
      <c r="C2701" s="37" t="s">
        <v>8389</v>
      </c>
      <c r="D2701" s="37" t="s">
        <v>8390</v>
      </c>
      <c r="E2701" s="38" t="s">
        <v>8391</v>
      </c>
      <c r="F2701" s="39"/>
      <c r="G2701" s="40"/>
      <c r="H2701" s="40"/>
      <c r="I2701" s="41">
        <v>12</v>
      </c>
      <c r="J2701" s="40" t="s">
        <v>144</v>
      </c>
      <c r="K2701" s="36">
        <v>3</v>
      </c>
      <c r="L2701" s="42">
        <f>(197.69*(1-O3/100))/0.75</f>
        <v>263.58666666666664</v>
      </c>
      <c r="M2701" s="12"/>
      <c r="N2701" s="40">
        <f>L2701*M2701</f>
        <v>0</v>
      </c>
      <c r="O2701" s="43">
        <f>0.441*M2701</f>
        <v>0</v>
      </c>
      <c r="P2701" s="47">
        <f>0.00063*M2701</f>
        <v>0</v>
      </c>
      <c r="Q2701" s="44"/>
      <c r="R2701" s="45" t="s">
        <v>8392</v>
      </c>
      <c r="S2701" s="45" t="s">
        <v>93</v>
      </c>
      <c r="T2701" s="37" t="str">
        <f>HYPERLINK("https://kanzpp.ru/api/getInfo/image/07a4c193-84b2-11f0-a284-00155d82e908")</f>
        <v>https://kanzpp.ru/api/getInfo/image/07a4c193-84b2-11f0-a284-00155d82e908</v>
      </c>
      <c r="U2701" s="37"/>
    </row>
    <row r="2702" spans="2:22" ht="21" customHeight="1" outlineLevel="5" x14ac:dyDescent="0.2">
      <c r="B2702" s="71">
        <v>1987</v>
      </c>
      <c r="C2702" s="37" t="s">
        <v>8393</v>
      </c>
      <c r="D2702" s="37" t="s">
        <v>8394</v>
      </c>
      <c r="E2702" s="38" t="s">
        <v>8395</v>
      </c>
      <c r="F2702" s="39"/>
      <c r="G2702" s="40"/>
      <c r="H2702" s="40"/>
      <c r="I2702" s="41">
        <v>12</v>
      </c>
      <c r="J2702" s="41">
        <v>36</v>
      </c>
      <c r="K2702" s="36">
        <v>3</v>
      </c>
      <c r="L2702" s="42">
        <f>(197.69*(1-O3/100))/0.75</f>
        <v>263.58666666666664</v>
      </c>
      <c r="M2702" s="12"/>
      <c r="N2702" s="40">
        <f>L2702*M2702</f>
        <v>0</v>
      </c>
      <c r="O2702" s="43">
        <f>0.456*M2702</f>
        <v>0</v>
      </c>
      <c r="P2702" s="46">
        <f>0.0006*M2702</f>
        <v>0</v>
      </c>
      <c r="Q2702" s="44"/>
      <c r="R2702" s="45" t="s">
        <v>8396</v>
      </c>
      <c r="S2702" s="45" t="s">
        <v>93</v>
      </c>
      <c r="T2702" s="37" t="str">
        <f>HYPERLINK("https://kanzpp.ru/api/getInfo/image/c80dad7c-8f2a-11ec-a211-ac1f6b442185")</f>
        <v>https://kanzpp.ru/api/getInfo/image/c80dad7c-8f2a-11ec-a211-ac1f6b442185</v>
      </c>
      <c r="U2702" s="37"/>
    </row>
    <row r="2703" spans="2:22" ht="21" customHeight="1" outlineLevel="5" x14ac:dyDescent="0.2">
      <c r="B2703" s="71">
        <v>1988</v>
      </c>
      <c r="C2703" s="37" t="s">
        <v>8397</v>
      </c>
      <c r="D2703" s="37" t="s">
        <v>8398</v>
      </c>
      <c r="E2703" s="38" t="s">
        <v>8399</v>
      </c>
      <c r="F2703" s="39"/>
      <c r="G2703" s="40"/>
      <c r="H2703" s="40"/>
      <c r="I2703" s="41">
        <v>12</v>
      </c>
      <c r="J2703" s="40" t="s">
        <v>144</v>
      </c>
      <c r="K2703" s="36">
        <v>3</v>
      </c>
      <c r="L2703" s="42">
        <f>(197.69*(1-O3/100))/0.75</f>
        <v>263.58666666666664</v>
      </c>
      <c r="M2703" s="12"/>
      <c r="N2703" s="40">
        <f>L2703*M2703</f>
        <v>0</v>
      </c>
      <c r="O2703" s="43">
        <f>0.445*M2703</f>
        <v>0</v>
      </c>
      <c r="P2703" s="47">
        <f>0.00063*M2703</f>
        <v>0</v>
      </c>
      <c r="Q2703" s="44"/>
      <c r="R2703" s="45" t="s">
        <v>8400</v>
      </c>
      <c r="S2703" s="45" t="s">
        <v>93</v>
      </c>
      <c r="T2703" s="37" t="str">
        <f>HYPERLINK("https://kanzpp.ru/api/getInfo/image/c1959d2d-84b1-11f0-a284-00155d82e908")</f>
        <v>https://kanzpp.ru/api/getInfo/image/c1959d2d-84b1-11f0-a284-00155d82e908</v>
      </c>
      <c r="U2703" s="37"/>
    </row>
    <row r="2704" spans="2:22" ht="22.95" customHeight="1" outlineLevel="4" x14ac:dyDescent="0.2">
      <c r="B2704" s="82" t="s">
        <v>8401</v>
      </c>
      <c r="C2704" s="82"/>
      <c r="D2704" s="82"/>
      <c r="L2704">
        <v>0</v>
      </c>
    </row>
    <row r="2705" spans="2:22" ht="21" customHeight="1" outlineLevel="5" x14ac:dyDescent="0.2">
      <c r="B2705" s="69">
        <v>1989</v>
      </c>
      <c r="C2705" s="6" t="s">
        <v>8402</v>
      </c>
      <c r="D2705" s="6" t="s">
        <v>8403</v>
      </c>
      <c r="E2705" s="7" t="s">
        <v>8404</v>
      </c>
      <c r="F2705" s="13"/>
      <c r="G2705" s="14"/>
      <c r="H2705" s="14"/>
      <c r="I2705" s="15">
        <v>10</v>
      </c>
      <c r="J2705" s="14" t="s">
        <v>144</v>
      </c>
      <c r="K2705" s="5">
        <v>3</v>
      </c>
      <c r="L2705" s="16">
        <v>192</v>
      </c>
      <c r="M2705" s="12"/>
      <c r="N2705" s="14">
        <f>L2705*M2705</f>
        <v>0</v>
      </c>
      <c r="O2705" s="23">
        <f>0.543*M2705</f>
        <v>0</v>
      </c>
      <c r="P2705" s="24">
        <f>0.00093*M2705</f>
        <v>0</v>
      </c>
      <c r="Q2705" s="25"/>
      <c r="R2705" s="26" t="s">
        <v>8405</v>
      </c>
      <c r="S2705" s="26" t="s">
        <v>93</v>
      </c>
      <c r="T2705" s="6" t="str">
        <f>HYPERLINK("https://kanzpp.ru/api/getInfo/image/e92a5b1e-11e1-11ef-a25d-00155d82e908")</f>
        <v>https://kanzpp.ru/api/getInfo/image/e92a5b1e-11e1-11ef-a25d-00155d82e908</v>
      </c>
      <c r="U2705" s="6"/>
      <c r="V2705" s="33" t="s">
        <v>35</v>
      </c>
    </row>
    <row r="2706" spans="2:22" ht="21" customHeight="1" outlineLevel="5" x14ac:dyDescent="0.2">
      <c r="B2706" s="71">
        <v>1990</v>
      </c>
      <c r="C2706" s="37" t="s">
        <v>8406</v>
      </c>
      <c r="D2706" s="37" t="s">
        <v>8407</v>
      </c>
      <c r="E2706" s="38" t="s">
        <v>8408</v>
      </c>
      <c r="F2706" s="39"/>
      <c r="G2706" s="40"/>
      <c r="H2706" s="40"/>
      <c r="I2706" s="41">
        <v>10</v>
      </c>
      <c r="J2706" s="40" t="s">
        <v>144</v>
      </c>
      <c r="K2706" s="36">
        <v>3</v>
      </c>
      <c r="L2706" s="42">
        <f>(217.85*(1-O3/100))/0.75</f>
        <v>290.46666666666664</v>
      </c>
      <c r="M2706" s="12"/>
      <c r="N2706" s="40">
        <f>L2706*M2706</f>
        <v>0</v>
      </c>
      <c r="O2706" s="43">
        <f>0.564*M2706</f>
        <v>0</v>
      </c>
      <c r="P2706" s="47">
        <f>0.00076*M2706</f>
        <v>0</v>
      </c>
      <c r="Q2706" s="44"/>
      <c r="R2706" s="45" t="s">
        <v>8409</v>
      </c>
      <c r="S2706" s="45" t="s">
        <v>93</v>
      </c>
      <c r="T2706" s="37" t="str">
        <f>HYPERLINK("https://kanzpp.ru/api/getInfo/image/c05d53c9-11e1-11ef-a25d-00155d82e908")</f>
        <v>https://kanzpp.ru/api/getInfo/image/c05d53c9-11e1-11ef-a25d-00155d82e908</v>
      </c>
      <c r="U2706" s="37"/>
    </row>
    <row r="2707" spans="2:22" ht="21" customHeight="1" outlineLevel="5" x14ac:dyDescent="0.2">
      <c r="B2707" s="71">
        <v>1991</v>
      </c>
      <c r="C2707" s="37" t="s">
        <v>8410</v>
      </c>
      <c r="D2707" s="37" t="s">
        <v>8411</v>
      </c>
      <c r="E2707" s="38" t="s">
        <v>8412</v>
      </c>
      <c r="F2707" s="39"/>
      <c r="G2707" s="40"/>
      <c r="H2707" s="40"/>
      <c r="I2707" s="41">
        <v>10</v>
      </c>
      <c r="J2707" s="40" t="s">
        <v>144</v>
      </c>
      <c r="K2707" s="36">
        <v>3</v>
      </c>
      <c r="L2707" s="42">
        <f>(217.85*(1-O3/100))/0.75</f>
        <v>290.46666666666664</v>
      </c>
      <c r="M2707" s="12"/>
      <c r="N2707" s="40">
        <f>L2707*M2707</f>
        <v>0</v>
      </c>
      <c r="O2707" s="43">
        <f>0.518*M2707</f>
        <v>0</v>
      </c>
      <c r="P2707" s="47">
        <f>0.00697*M2707</f>
        <v>0</v>
      </c>
      <c r="Q2707" s="44"/>
      <c r="R2707" s="45" t="s">
        <v>8413</v>
      </c>
      <c r="S2707" s="45" t="s">
        <v>93</v>
      </c>
      <c r="T2707" s="37" t="str">
        <f>HYPERLINK("https://kanzpp.ru/api/getInfo/image/f76f3abe-84b2-11f0-a284-00155d82e908")</f>
        <v>https://kanzpp.ru/api/getInfo/image/f76f3abe-84b2-11f0-a284-00155d82e908</v>
      </c>
      <c r="U2707" s="37"/>
    </row>
    <row r="2708" spans="2:22" ht="21" customHeight="1" outlineLevel="5" x14ac:dyDescent="0.2">
      <c r="B2708" s="71">
        <v>1992</v>
      </c>
      <c r="C2708" s="37" t="s">
        <v>8414</v>
      </c>
      <c r="D2708" s="37" t="s">
        <v>8415</v>
      </c>
      <c r="E2708" s="38" t="s">
        <v>8416</v>
      </c>
      <c r="F2708" s="39"/>
      <c r="G2708" s="40"/>
      <c r="H2708" s="40"/>
      <c r="I2708" s="41">
        <v>10</v>
      </c>
      <c r="J2708" s="40" t="s">
        <v>144</v>
      </c>
      <c r="K2708" s="36">
        <v>3</v>
      </c>
      <c r="L2708" s="42">
        <f>(217.85*(1-O3/100))/0.75</f>
        <v>290.46666666666664</v>
      </c>
      <c r="M2708" s="12"/>
      <c r="N2708" s="40">
        <f>L2708*M2708</f>
        <v>0</v>
      </c>
      <c r="O2708" s="43">
        <f>0.518*M2708</f>
        <v>0</v>
      </c>
      <c r="P2708" s="47">
        <f>0.00069*M2708</f>
        <v>0</v>
      </c>
      <c r="Q2708" s="44"/>
      <c r="R2708" s="45" t="s">
        <v>8417</v>
      </c>
      <c r="S2708" s="45" t="s">
        <v>93</v>
      </c>
      <c r="T2708" s="37" t="str">
        <f>HYPERLINK("https://kanzpp.ru/api/getInfo/image/cbfdb7e4-84b2-11f0-a284-00155d82e908")</f>
        <v>https://kanzpp.ru/api/getInfo/image/cbfdb7e4-84b2-11f0-a284-00155d82e908</v>
      </c>
      <c r="U2708" s="37"/>
    </row>
    <row r="2709" spans="2:22" ht="21" customHeight="1" outlineLevel="5" x14ac:dyDescent="0.2">
      <c r="B2709" s="69">
        <v>1993</v>
      </c>
      <c r="C2709" s="6" t="s">
        <v>8418</v>
      </c>
      <c r="D2709" s="6" t="s">
        <v>8419</v>
      </c>
      <c r="E2709" s="7" t="s">
        <v>8420</v>
      </c>
      <c r="F2709" s="13"/>
      <c r="G2709" s="14"/>
      <c r="H2709" s="14"/>
      <c r="I2709" s="15">
        <v>10</v>
      </c>
      <c r="J2709" s="14" t="s">
        <v>144</v>
      </c>
      <c r="K2709" s="5">
        <v>3</v>
      </c>
      <c r="L2709" s="16">
        <v>192</v>
      </c>
      <c r="M2709" s="12"/>
      <c r="N2709" s="14">
        <f>L2709*M2709</f>
        <v>0</v>
      </c>
      <c r="O2709" s="23">
        <f>0.522*M2709</f>
        <v>0</v>
      </c>
      <c r="P2709" s="31">
        <f>0.0007*M2709</f>
        <v>0</v>
      </c>
      <c r="Q2709" s="25"/>
      <c r="R2709" s="26" t="s">
        <v>8421</v>
      </c>
      <c r="S2709" s="26" t="s">
        <v>93</v>
      </c>
      <c r="T2709" s="6" t="str">
        <f>HYPERLINK("https://kanzpp.ru/api/getInfo/image/b071ebf8-d453-11ed-a231-00155d82e902")</f>
        <v>https://kanzpp.ru/api/getInfo/image/b071ebf8-d453-11ed-a231-00155d82e902</v>
      </c>
      <c r="U2709" s="6"/>
      <c r="V2709" s="33" t="s">
        <v>35</v>
      </c>
    </row>
    <row r="2710" spans="2:22" ht="22.95" customHeight="1" outlineLevel="4" x14ac:dyDescent="0.2">
      <c r="B2710" s="82" t="s">
        <v>8422</v>
      </c>
      <c r="C2710" s="82"/>
      <c r="D2710" s="82"/>
      <c r="L2710">
        <v>0</v>
      </c>
    </row>
    <row r="2711" spans="2:22" ht="21" customHeight="1" outlineLevel="5" x14ac:dyDescent="0.2">
      <c r="B2711" s="71">
        <v>1994</v>
      </c>
      <c r="C2711" s="37" t="s">
        <v>8423</v>
      </c>
      <c r="D2711" s="37" t="s">
        <v>8424</v>
      </c>
      <c r="E2711" s="38" t="s">
        <v>8425</v>
      </c>
      <c r="F2711" s="39"/>
      <c r="G2711" s="40"/>
      <c r="H2711" s="40"/>
      <c r="I2711" s="41">
        <v>6</v>
      </c>
      <c r="J2711" s="40" t="s">
        <v>144</v>
      </c>
      <c r="K2711" s="36">
        <v>3</v>
      </c>
      <c r="L2711" s="42">
        <f>(256.49*(1-O3/100))/0.75</f>
        <v>341.98666666666668</v>
      </c>
      <c r="M2711" s="12"/>
      <c r="N2711" s="40">
        <f t="shared" ref="N2711:N2716" si="123">L2711*M2711</f>
        <v>0</v>
      </c>
      <c r="O2711" s="43">
        <f>0.686*M2711</f>
        <v>0</v>
      </c>
      <c r="P2711" s="47">
        <f>0.00029*M2711</f>
        <v>0</v>
      </c>
      <c r="Q2711" s="44"/>
      <c r="R2711" s="45" t="s">
        <v>8426</v>
      </c>
      <c r="S2711" s="45" t="s">
        <v>93</v>
      </c>
      <c r="T2711" s="37" t="str">
        <f>HYPERLINK("https://kanzpp.ru/api/getInfo/image/bd09f685-06c5-11ee-a23b-00155d82e902")</f>
        <v>https://kanzpp.ru/api/getInfo/image/bd09f685-06c5-11ee-a23b-00155d82e902</v>
      </c>
      <c r="U2711" s="37"/>
    </row>
    <row r="2712" spans="2:22" ht="21" customHeight="1" outlineLevel="5" x14ac:dyDescent="0.2">
      <c r="B2712" s="69">
        <v>1995</v>
      </c>
      <c r="C2712" s="6" t="s">
        <v>8427</v>
      </c>
      <c r="D2712" s="6" t="s">
        <v>8428</v>
      </c>
      <c r="E2712" s="7" t="s">
        <v>8429</v>
      </c>
      <c r="F2712" s="13"/>
      <c r="G2712" s="14"/>
      <c r="H2712" s="14"/>
      <c r="I2712" s="15">
        <v>6</v>
      </c>
      <c r="J2712" s="14" t="s">
        <v>144</v>
      </c>
      <c r="K2712" s="5">
        <v>3</v>
      </c>
      <c r="L2712" s="16">
        <v>192</v>
      </c>
      <c r="M2712" s="12"/>
      <c r="N2712" s="14">
        <f t="shared" si="123"/>
        <v>0</v>
      </c>
      <c r="O2712" s="23">
        <f>0.658*M2712</f>
        <v>0</v>
      </c>
      <c r="P2712" s="31">
        <f>0.0012*M2712</f>
        <v>0</v>
      </c>
      <c r="Q2712" s="25"/>
      <c r="R2712" s="26" t="s">
        <v>8430</v>
      </c>
      <c r="S2712" s="26" t="s">
        <v>93</v>
      </c>
      <c r="T2712" s="6" t="str">
        <f>HYPERLINK("https://kanzpp.ru/api/getInfo/image/896f07c9-06c5-11ee-a23b-00155d82e902")</f>
        <v>https://kanzpp.ru/api/getInfo/image/896f07c9-06c5-11ee-a23b-00155d82e902</v>
      </c>
      <c r="U2712" s="6"/>
      <c r="V2712" s="33" t="s">
        <v>35</v>
      </c>
    </row>
    <row r="2713" spans="2:22" ht="21" customHeight="1" outlineLevel="5" x14ac:dyDescent="0.2">
      <c r="B2713" s="69">
        <v>1996</v>
      </c>
      <c r="C2713" s="6" t="s">
        <v>8431</v>
      </c>
      <c r="D2713" s="6" t="s">
        <v>8432</v>
      </c>
      <c r="E2713" s="7" t="s">
        <v>8433</v>
      </c>
      <c r="F2713" s="13"/>
      <c r="G2713" s="14"/>
      <c r="H2713" s="14"/>
      <c r="I2713" s="15">
        <v>6</v>
      </c>
      <c r="J2713" s="15">
        <v>9</v>
      </c>
      <c r="K2713" s="5">
        <v>3</v>
      </c>
      <c r="L2713" s="16">
        <v>192</v>
      </c>
      <c r="M2713" s="12"/>
      <c r="N2713" s="14">
        <f t="shared" si="123"/>
        <v>0</v>
      </c>
      <c r="O2713" s="23">
        <f>0.659*M2713</f>
        <v>0</v>
      </c>
      <c r="P2713" s="24">
        <f>0.00117*M2713</f>
        <v>0</v>
      </c>
      <c r="Q2713" s="25"/>
      <c r="R2713" s="26" t="s">
        <v>8434</v>
      </c>
      <c r="S2713" s="26" t="s">
        <v>93</v>
      </c>
      <c r="T2713" s="6" t="str">
        <f>HYPERLINK("https://kanzpp.ru/api/getInfo/image/7c2b10d1-8f2c-11ec-a211-ac1f6b442185")</f>
        <v>https://kanzpp.ru/api/getInfo/image/7c2b10d1-8f2c-11ec-a211-ac1f6b442185</v>
      </c>
      <c r="U2713" s="6"/>
      <c r="V2713" s="33" t="s">
        <v>35</v>
      </c>
    </row>
    <row r="2714" spans="2:22" ht="21" customHeight="1" outlineLevel="5" x14ac:dyDescent="0.2">
      <c r="B2714" s="71">
        <v>1997</v>
      </c>
      <c r="C2714" s="37" t="s">
        <v>8435</v>
      </c>
      <c r="D2714" s="37" t="s">
        <v>8436</v>
      </c>
      <c r="E2714" s="38" t="s">
        <v>8437</v>
      </c>
      <c r="F2714" s="39"/>
      <c r="G2714" s="40"/>
      <c r="H2714" s="40"/>
      <c r="I2714" s="41">
        <v>6</v>
      </c>
      <c r="J2714" s="40" t="s">
        <v>144</v>
      </c>
      <c r="K2714" s="36">
        <v>3</v>
      </c>
      <c r="L2714" s="42">
        <f>(256.49*(1-O3/100))/0.75</f>
        <v>341.98666666666668</v>
      </c>
      <c r="M2714" s="12"/>
      <c r="N2714" s="40">
        <f t="shared" si="123"/>
        <v>0</v>
      </c>
      <c r="O2714" s="43">
        <f>0.518*M2714</f>
        <v>0</v>
      </c>
      <c r="P2714" s="47">
        <f>0.00069*M2714</f>
        <v>0</v>
      </c>
      <c r="Q2714" s="44"/>
      <c r="R2714" s="45" t="s">
        <v>8438</v>
      </c>
      <c r="S2714" s="45" t="s">
        <v>93</v>
      </c>
      <c r="T2714" s="37" t="str">
        <f>HYPERLINK("https://kanzpp.ru/api/getInfo/image/de13b0fe-84b3-11f0-a284-00155d82e908")</f>
        <v>https://kanzpp.ru/api/getInfo/image/de13b0fe-84b3-11f0-a284-00155d82e908</v>
      </c>
      <c r="U2714" s="37"/>
    </row>
    <row r="2715" spans="2:22" ht="21" customHeight="1" outlineLevel="5" x14ac:dyDescent="0.2">
      <c r="B2715" s="71">
        <v>1998</v>
      </c>
      <c r="C2715" s="37" t="s">
        <v>8439</v>
      </c>
      <c r="D2715" s="37" t="s">
        <v>8440</v>
      </c>
      <c r="E2715" s="38" t="s">
        <v>8441</v>
      </c>
      <c r="F2715" s="39"/>
      <c r="G2715" s="40"/>
      <c r="H2715" s="40"/>
      <c r="I2715" s="41">
        <v>6</v>
      </c>
      <c r="J2715" s="40" t="s">
        <v>144</v>
      </c>
      <c r="K2715" s="36">
        <v>3</v>
      </c>
      <c r="L2715" s="42">
        <f>(256.49*(1-O3/100))/0.75</f>
        <v>341.98666666666668</v>
      </c>
      <c r="M2715" s="12"/>
      <c r="N2715" s="40">
        <f t="shared" si="123"/>
        <v>0</v>
      </c>
      <c r="O2715" s="43">
        <f>0.563*M2715</f>
        <v>0</v>
      </c>
      <c r="P2715" s="47">
        <f>0.00069*M2715</f>
        <v>0</v>
      </c>
      <c r="Q2715" s="44"/>
      <c r="R2715" s="45" t="s">
        <v>8442</v>
      </c>
      <c r="S2715" s="45" t="s">
        <v>93</v>
      </c>
      <c r="T2715" s="37" t="str">
        <f>HYPERLINK("https://kanzpp.ru/api/getInfo/image/72b3fd77-11e2-11ef-a25d-00155d82e908")</f>
        <v>https://kanzpp.ru/api/getInfo/image/72b3fd77-11e2-11ef-a25d-00155d82e908</v>
      </c>
      <c r="U2715" s="37"/>
    </row>
    <row r="2716" spans="2:22" ht="21" customHeight="1" outlineLevel="5" x14ac:dyDescent="0.2">
      <c r="B2716" s="71">
        <v>1999</v>
      </c>
      <c r="C2716" s="37" t="s">
        <v>8443</v>
      </c>
      <c r="D2716" s="37" t="s">
        <v>8444</v>
      </c>
      <c r="E2716" s="38" t="s">
        <v>8445</v>
      </c>
      <c r="F2716" s="39"/>
      <c r="G2716" s="40"/>
      <c r="H2716" s="40"/>
      <c r="I2716" s="41">
        <v>6</v>
      </c>
      <c r="J2716" s="40" t="s">
        <v>144</v>
      </c>
      <c r="K2716" s="36">
        <v>3</v>
      </c>
      <c r="L2716" s="42">
        <f>(256.49*(1-O3/100))/0.75</f>
        <v>341.98666666666668</v>
      </c>
      <c r="M2716" s="12"/>
      <c r="N2716" s="40">
        <f t="shared" si="123"/>
        <v>0</v>
      </c>
      <c r="O2716" s="43">
        <f>0.669*M2716</f>
        <v>0</v>
      </c>
      <c r="P2716" s="46">
        <f>0.0011*M2716</f>
        <v>0</v>
      </c>
      <c r="Q2716" s="44"/>
      <c r="R2716" s="45" t="s">
        <v>8446</v>
      </c>
      <c r="S2716" s="45" t="s">
        <v>93</v>
      </c>
      <c r="T2716" s="37" t="str">
        <f>HYPERLINK("https://kanzpp.ru/api/getInfo/image/b6228577-84b3-11f0-a284-00155d82e908")</f>
        <v>https://kanzpp.ru/api/getInfo/image/b6228577-84b3-11f0-a284-00155d82e908</v>
      </c>
      <c r="U2716" s="37"/>
    </row>
    <row r="2717" spans="2:22" ht="22.95" customHeight="1" outlineLevel="4" x14ac:dyDescent="0.2">
      <c r="B2717" s="82" t="s">
        <v>8447</v>
      </c>
      <c r="C2717" s="82"/>
      <c r="D2717" s="82"/>
      <c r="L2717">
        <v>0</v>
      </c>
    </row>
    <row r="2718" spans="2:22" ht="21" customHeight="1" outlineLevel="5" x14ac:dyDescent="0.2">
      <c r="B2718" s="71">
        <v>2000</v>
      </c>
      <c r="C2718" s="37" t="s">
        <v>8448</v>
      </c>
      <c r="D2718" s="37" t="s">
        <v>8449</v>
      </c>
      <c r="E2718" s="38" t="s">
        <v>8450</v>
      </c>
      <c r="F2718" s="39"/>
      <c r="G2718" s="40"/>
      <c r="H2718" s="40"/>
      <c r="I2718" s="41">
        <v>6</v>
      </c>
      <c r="J2718" s="40" t="s">
        <v>144</v>
      </c>
      <c r="K2718" s="36">
        <v>2</v>
      </c>
      <c r="L2718" s="42">
        <f>(333.43*(1-O3/100))/0.75</f>
        <v>444.57333333333332</v>
      </c>
      <c r="M2718" s="12"/>
      <c r="N2718" s="40">
        <f>L2718*M2718</f>
        <v>0</v>
      </c>
      <c r="O2718" s="43">
        <f>0.778*M2718</f>
        <v>0</v>
      </c>
      <c r="P2718" s="47">
        <f>0.00108*M2718</f>
        <v>0</v>
      </c>
      <c r="Q2718" s="44"/>
      <c r="R2718" s="45" t="s">
        <v>8451</v>
      </c>
      <c r="S2718" s="45" t="s">
        <v>93</v>
      </c>
      <c r="T2718" s="37" t="str">
        <f>HYPERLINK("https://kanzpp.ru/api/getInfo/image/919f2239-d454-11ed-a231-00155d82e902")</f>
        <v>https://kanzpp.ru/api/getInfo/image/919f2239-d454-11ed-a231-00155d82e902</v>
      </c>
      <c r="U2718" s="37"/>
    </row>
    <row r="2719" spans="2:22" ht="21" customHeight="1" outlineLevel="5" x14ac:dyDescent="0.2">
      <c r="B2719" s="71">
        <v>2001</v>
      </c>
      <c r="C2719" s="37" t="s">
        <v>8452</v>
      </c>
      <c r="D2719" s="37" t="s">
        <v>8453</v>
      </c>
      <c r="E2719" s="38" t="s">
        <v>8454</v>
      </c>
      <c r="F2719" s="39"/>
      <c r="G2719" s="40"/>
      <c r="H2719" s="40"/>
      <c r="I2719" s="41">
        <v>6</v>
      </c>
      <c r="J2719" s="40" t="s">
        <v>144</v>
      </c>
      <c r="K2719" s="36">
        <v>2</v>
      </c>
      <c r="L2719" s="42">
        <f>(333.43*(1-O3/100))/0.75</f>
        <v>444.57333333333332</v>
      </c>
      <c r="M2719" s="12"/>
      <c r="N2719" s="40">
        <f>L2719*M2719</f>
        <v>0</v>
      </c>
      <c r="O2719" s="43">
        <f>0.762*M2719</f>
        <v>0</v>
      </c>
      <c r="P2719" s="47">
        <f>0.00118*M2719</f>
        <v>0</v>
      </c>
      <c r="Q2719" s="44"/>
      <c r="R2719" s="45" t="s">
        <v>8455</v>
      </c>
      <c r="S2719" s="45" t="s">
        <v>93</v>
      </c>
      <c r="T2719" s="37" t="str">
        <f>HYPERLINK("https://kanzpp.ru/api/getInfo/image/7a57394c-8f2d-11ec-a211-ac1f6b442185")</f>
        <v>https://kanzpp.ru/api/getInfo/image/7a57394c-8f2d-11ec-a211-ac1f6b442185</v>
      </c>
      <c r="U2719" s="37"/>
    </row>
    <row r="2720" spans="2:22" ht="21" customHeight="1" outlineLevel="5" x14ac:dyDescent="0.2">
      <c r="B2720" s="71">
        <v>2002</v>
      </c>
      <c r="C2720" s="37" t="s">
        <v>8456</v>
      </c>
      <c r="D2720" s="37" t="s">
        <v>8457</v>
      </c>
      <c r="E2720" s="38" t="s">
        <v>8458</v>
      </c>
      <c r="F2720" s="39"/>
      <c r="G2720" s="40"/>
      <c r="H2720" s="40"/>
      <c r="I2720" s="41">
        <v>6</v>
      </c>
      <c r="J2720" s="40" t="s">
        <v>144</v>
      </c>
      <c r="K2720" s="36">
        <v>2</v>
      </c>
      <c r="L2720" s="42">
        <f>(333.43*(1-O3/100))/0.75</f>
        <v>444.57333333333332</v>
      </c>
      <c r="M2720" s="12"/>
      <c r="N2720" s="40">
        <f>L2720*M2720</f>
        <v>0</v>
      </c>
      <c r="O2720" s="43">
        <f>0.781*M2720</f>
        <v>0</v>
      </c>
      <c r="P2720" s="46">
        <f>0.0012*M2720</f>
        <v>0</v>
      </c>
      <c r="Q2720" s="44"/>
      <c r="R2720" s="45" t="s">
        <v>8459</v>
      </c>
      <c r="S2720" s="45" t="s">
        <v>93</v>
      </c>
      <c r="T2720" s="37" t="str">
        <f>HYPERLINK("https://kanzpp.ru/api/getInfo/image/3c1b03da-08c1-11f1-a28f-00155d82e908")</f>
        <v>https://kanzpp.ru/api/getInfo/image/3c1b03da-08c1-11f1-a28f-00155d82e908</v>
      </c>
      <c r="U2720" s="37"/>
    </row>
    <row r="2721" spans="2:22" ht="22.95" customHeight="1" outlineLevel="3" x14ac:dyDescent="0.2">
      <c r="B2721" s="81" t="s">
        <v>8460</v>
      </c>
      <c r="C2721" s="81"/>
      <c r="D2721" s="81"/>
      <c r="L2721">
        <v>0</v>
      </c>
    </row>
    <row r="2722" spans="2:22" ht="22.95" customHeight="1" outlineLevel="4" x14ac:dyDescent="0.2">
      <c r="B2722" s="82" t="s">
        <v>8461</v>
      </c>
      <c r="C2722" s="82"/>
      <c r="D2722" s="82"/>
      <c r="L2722">
        <v>0</v>
      </c>
    </row>
    <row r="2723" spans="2:22" ht="21" customHeight="1" outlineLevel="5" x14ac:dyDescent="0.2">
      <c r="B2723" s="69">
        <v>2003</v>
      </c>
      <c r="C2723" s="6" t="s">
        <v>8462</v>
      </c>
      <c r="D2723" s="6" t="s">
        <v>8463</v>
      </c>
      <c r="E2723" s="7" t="s">
        <v>8464</v>
      </c>
      <c r="F2723" s="13"/>
      <c r="G2723" s="14"/>
      <c r="H2723" s="14"/>
      <c r="I2723" s="15">
        <v>20</v>
      </c>
      <c r="J2723" s="15">
        <v>98</v>
      </c>
      <c r="K2723" s="5">
        <v>7</v>
      </c>
      <c r="L2723" s="16">
        <v>76.266666666666666</v>
      </c>
      <c r="M2723" s="12"/>
      <c r="N2723" s="14">
        <f t="shared" ref="N2723:N2729" si="124">L2723*M2723</f>
        <v>0</v>
      </c>
      <c r="O2723" s="28">
        <f>0.21*M2723</f>
        <v>0</v>
      </c>
      <c r="P2723" s="24">
        <f>0.00031*M2723</f>
        <v>0</v>
      </c>
      <c r="Q2723" s="25"/>
      <c r="R2723" s="26" t="s">
        <v>8465</v>
      </c>
      <c r="S2723" s="26" t="s">
        <v>93</v>
      </c>
      <c r="T2723" s="6" t="str">
        <f>HYPERLINK("https://kanzpp.ru/api/getInfo/image/78097aac-1f1f-11ef-a25f-00155d82e908")</f>
        <v>https://kanzpp.ru/api/getInfo/image/78097aac-1f1f-11ef-a25f-00155d82e908</v>
      </c>
      <c r="U2723" s="6"/>
      <c r="V2723" s="33" t="s">
        <v>35</v>
      </c>
    </row>
    <row r="2724" spans="2:22" ht="21" customHeight="1" outlineLevel="5" x14ac:dyDescent="0.2">
      <c r="B2724" s="69">
        <v>2004</v>
      </c>
      <c r="C2724" s="6" t="s">
        <v>8466</v>
      </c>
      <c r="D2724" s="6" t="s">
        <v>8467</v>
      </c>
      <c r="E2724" s="7" t="s">
        <v>8464</v>
      </c>
      <c r="F2724" s="13"/>
      <c r="G2724" s="14"/>
      <c r="H2724" s="15">
        <v>20</v>
      </c>
      <c r="I2724" s="14"/>
      <c r="J2724" s="15">
        <v>236</v>
      </c>
      <c r="K2724" s="5">
        <v>7</v>
      </c>
      <c r="L2724" s="16">
        <v>76.266666666666666</v>
      </c>
      <c r="M2724" s="12"/>
      <c r="N2724" s="14">
        <f t="shared" si="124"/>
        <v>0</v>
      </c>
      <c r="O2724" s="23">
        <f>0.207*M2724</f>
        <v>0</v>
      </c>
      <c r="P2724" s="24">
        <f>0.00028*M2724</f>
        <v>0</v>
      </c>
      <c r="Q2724" s="25"/>
      <c r="R2724" s="26"/>
      <c r="S2724" s="26" t="s">
        <v>93</v>
      </c>
      <c r="T2724" s="6" t="str">
        <f>HYPERLINK("https://kanzpp.ru/api/getInfo/image/0e210b09-2721-11ef-a25f-00155d82e908")</f>
        <v>https://kanzpp.ru/api/getInfo/image/0e210b09-2721-11ef-a25f-00155d82e908</v>
      </c>
      <c r="U2724" s="6"/>
      <c r="V2724" s="33" t="s">
        <v>35</v>
      </c>
    </row>
    <row r="2725" spans="2:22" ht="21" customHeight="1" outlineLevel="5" x14ac:dyDescent="0.2">
      <c r="B2725" s="71">
        <v>2005</v>
      </c>
      <c r="C2725" s="37" t="s">
        <v>8468</v>
      </c>
      <c r="D2725" s="37" t="s">
        <v>8469</v>
      </c>
      <c r="E2725" s="38" t="s">
        <v>8470</v>
      </c>
      <c r="F2725" s="39"/>
      <c r="G2725" s="40"/>
      <c r="H2725" s="40"/>
      <c r="I2725" s="41">
        <v>20</v>
      </c>
      <c r="J2725" s="41">
        <v>952</v>
      </c>
      <c r="K2725" s="36">
        <v>7</v>
      </c>
      <c r="L2725" s="42">
        <f>(91.79*(1-O3/100))/0.75</f>
        <v>122.38666666666667</v>
      </c>
      <c r="M2725" s="12"/>
      <c r="N2725" s="40">
        <f t="shared" si="124"/>
        <v>0</v>
      </c>
      <c r="O2725" s="43">
        <f>0.207*M2725</f>
        <v>0</v>
      </c>
      <c r="P2725" s="47">
        <f>0.00028*M2725</f>
        <v>0</v>
      </c>
      <c r="Q2725" s="44"/>
      <c r="R2725" s="45" t="s">
        <v>8471</v>
      </c>
      <c r="S2725" s="45" t="s">
        <v>93</v>
      </c>
      <c r="T2725" s="37" t="str">
        <f>HYPERLINK("https://kanzpp.ru/api/getInfo/image/303c63cd-6c5a-11f0-a283-00155d82e908")</f>
        <v>https://kanzpp.ru/api/getInfo/image/303c63cd-6c5a-11f0-a283-00155d82e908</v>
      </c>
      <c r="U2725" s="37"/>
    </row>
    <row r="2726" spans="2:22" ht="21" customHeight="1" outlineLevel="5" x14ac:dyDescent="0.2">
      <c r="B2726" s="69">
        <v>2006</v>
      </c>
      <c r="C2726" s="6" t="s">
        <v>8472</v>
      </c>
      <c r="D2726" s="6" t="s">
        <v>8473</v>
      </c>
      <c r="E2726" s="7" t="s">
        <v>8474</v>
      </c>
      <c r="F2726" s="13"/>
      <c r="G2726" s="14"/>
      <c r="H2726" s="14"/>
      <c r="I2726" s="15">
        <v>20</v>
      </c>
      <c r="J2726" s="15">
        <v>366</v>
      </c>
      <c r="K2726" s="5">
        <v>7</v>
      </c>
      <c r="L2726" s="16">
        <v>66.533333333333331</v>
      </c>
      <c r="M2726" s="12"/>
      <c r="N2726" s="14">
        <f t="shared" si="124"/>
        <v>0</v>
      </c>
      <c r="O2726" s="23">
        <f>0.204*M2726</f>
        <v>0</v>
      </c>
      <c r="P2726" s="24">
        <f>0.00028*M2726</f>
        <v>0</v>
      </c>
      <c r="Q2726" s="25"/>
      <c r="R2726" s="26" t="s">
        <v>8475</v>
      </c>
      <c r="S2726" s="26" t="s">
        <v>93</v>
      </c>
      <c r="T2726" s="6" t="str">
        <f>HYPERLINK("https://kanzpp.ru/api/getInfo/image/5caeae3e-793f-11ee-a248-00155d82e902")</f>
        <v>https://kanzpp.ru/api/getInfo/image/5caeae3e-793f-11ee-a248-00155d82e902</v>
      </c>
      <c r="U2726" s="6"/>
      <c r="V2726" s="33" t="s">
        <v>35</v>
      </c>
    </row>
    <row r="2727" spans="2:22" ht="21" customHeight="1" outlineLevel="5" x14ac:dyDescent="0.2">
      <c r="B2727" s="71">
        <v>2007</v>
      </c>
      <c r="C2727" s="37" t="s">
        <v>8476</v>
      </c>
      <c r="D2727" s="37" t="s">
        <v>8477</v>
      </c>
      <c r="E2727" s="38" t="s">
        <v>8478</v>
      </c>
      <c r="F2727" s="39"/>
      <c r="G2727" s="40"/>
      <c r="H2727" s="40"/>
      <c r="I2727" s="41">
        <v>20</v>
      </c>
      <c r="J2727" s="41">
        <v>108</v>
      </c>
      <c r="K2727" s="36">
        <v>7</v>
      </c>
      <c r="L2727" s="42">
        <f>(91.79*(1-O3/100))/0.75</f>
        <v>122.38666666666667</v>
      </c>
      <c r="M2727" s="12"/>
      <c r="N2727" s="40">
        <f t="shared" si="124"/>
        <v>0</v>
      </c>
      <c r="O2727" s="43">
        <f>0.207*M2727</f>
        <v>0</v>
      </c>
      <c r="P2727" s="47">
        <f>0.00028*M2727</f>
        <v>0</v>
      </c>
      <c r="Q2727" s="44"/>
      <c r="R2727" s="45" t="s">
        <v>8479</v>
      </c>
      <c r="S2727" s="45" t="s">
        <v>93</v>
      </c>
      <c r="T2727" s="37" t="str">
        <f>HYPERLINK("https://kanzpp.ru/api/getInfo/image/57fcb1a5-6c5a-11f0-a283-00155d82e908")</f>
        <v>https://kanzpp.ru/api/getInfo/image/57fcb1a5-6c5a-11f0-a283-00155d82e908</v>
      </c>
      <c r="U2727" s="37"/>
    </row>
    <row r="2728" spans="2:22" ht="21" customHeight="1" outlineLevel="5" x14ac:dyDescent="0.2">
      <c r="B2728" s="71">
        <v>2008</v>
      </c>
      <c r="C2728" s="37" t="s">
        <v>8480</v>
      </c>
      <c r="D2728" s="37" t="s">
        <v>8481</v>
      </c>
      <c r="E2728" s="38" t="s">
        <v>8482</v>
      </c>
      <c r="F2728" s="39"/>
      <c r="G2728" s="40"/>
      <c r="H2728" s="40"/>
      <c r="I2728" s="41">
        <v>20</v>
      </c>
      <c r="J2728" s="41">
        <v>8</v>
      </c>
      <c r="K2728" s="36">
        <v>7</v>
      </c>
      <c r="L2728" s="42">
        <f>(91.79*(1-O3/100))/0.75</f>
        <v>122.38666666666667</v>
      </c>
      <c r="M2728" s="12"/>
      <c r="N2728" s="40">
        <f t="shared" si="124"/>
        <v>0</v>
      </c>
      <c r="O2728" s="43">
        <f>0.203*M2728</f>
        <v>0</v>
      </c>
      <c r="P2728" s="47">
        <f>0.00003*M2728</f>
        <v>0</v>
      </c>
      <c r="Q2728" s="44"/>
      <c r="R2728" s="45" t="s">
        <v>8483</v>
      </c>
      <c r="S2728" s="45" t="s">
        <v>93</v>
      </c>
      <c r="T2728" s="37" t="str">
        <f>HYPERLINK("https://kanzpp.ru/api/getInfo/image/f880ae63-9399-11f0-a284-00155d82e908")</f>
        <v>https://kanzpp.ru/api/getInfo/image/f880ae63-9399-11f0-a284-00155d82e908</v>
      </c>
      <c r="U2728" s="37"/>
    </row>
    <row r="2729" spans="2:22" ht="21" customHeight="1" outlineLevel="5" x14ac:dyDescent="0.2">
      <c r="B2729" s="71">
        <v>2009</v>
      </c>
      <c r="C2729" s="37" t="s">
        <v>8484</v>
      </c>
      <c r="D2729" s="37" t="s">
        <v>8485</v>
      </c>
      <c r="E2729" s="38" t="s">
        <v>8486</v>
      </c>
      <c r="F2729" s="39"/>
      <c r="G2729" s="40"/>
      <c r="H2729" s="40"/>
      <c r="I2729" s="41">
        <v>20</v>
      </c>
      <c r="J2729" s="41">
        <v>1</v>
      </c>
      <c r="K2729" s="36">
        <v>1</v>
      </c>
      <c r="L2729" s="42">
        <f>(91.79*(1-O3/100))/0.75</f>
        <v>122.38666666666667</v>
      </c>
      <c r="M2729" s="12"/>
      <c r="N2729" s="40">
        <f t="shared" si="124"/>
        <v>0</v>
      </c>
      <c r="O2729" s="43">
        <f>0.203*M2729</f>
        <v>0</v>
      </c>
      <c r="P2729" s="47">
        <f>0.00034*M2729</f>
        <v>0</v>
      </c>
      <c r="Q2729" s="44"/>
      <c r="R2729" s="45" t="s">
        <v>8487</v>
      </c>
      <c r="S2729" s="45" t="s">
        <v>93</v>
      </c>
      <c r="T2729" s="37" t="str">
        <f>HYPERLINK("https://kanzpp.ru/api/getInfo/image/bdd70999-9399-11f0-a284-00155d82e908")</f>
        <v>https://kanzpp.ru/api/getInfo/image/bdd70999-9399-11f0-a284-00155d82e908</v>
      </c>
      <c r="U2729" s="37"/>
    </row>
    <row r="2730" spans="2:22" ht="22.95" customHeight="1" outlineLevel="4" x14ac:dyDescent="0.2">
      <c r="B2730" s="82" t="s">
        <v>8488</v>
      </c>
      <c r="C2730" s="82"/>
      <c r="D2730" s="82"/>
      <c r="L2730">
        <v>0</v>
      </c>
    </row>
    <row r="2731" spans="2:22" ht="21" customHeight="1" outlineLevel="5" x14ac:dyDescent="0.2">
      <c r="B2731" s="71">
        <v>2010</v>
      </c>
      <c r="C2731" s="37" t="s">
        <v>8489</v>
      </c>
      <c r="D2731" s="37" t="s">
        <v>8490</v>
      </c>
      <c r="E2731" s="38" t="s">
        <v>8491</v>
      </c>
      <c r="F2731" s="39"/>
      <c r="G2731" s="40"/>
      <c r="H2731" s="40"/>
      <c r="I2731" s="41">
        <v>14</v>
      </c>
      <c r="J2731" s="41">
        <v>223</v>
      </c>
      <c r="K2731" s="36">
        <v>6</v>
      </c>
      <c r="L2731" s="42">
        <f>(107.57*(1-O3/100))/0.75</f>
        <v>143.42666666666665</v>
      </c>
      <c r="M2731" s="12"/>
      <c r="N2731" s="40">
        <f t="shared" ref="N2731:N2738" si="125">L2731*M2731</f>
        <v>0</v>
      </c>
      <c r="O2731" s="43">
        <f>0.256*M2731</f>
        <v>0</v>
      </c>
      <c r="P2731" s="47">
        <f>0.00031*M2731</f>
        <v>0</v>
      </c>
      <c r="Q2731" s="44"/>
      <c r="R2731" s="45" t="s">
        <v>8492</v>
      </c>
      <c r="S2731" s="45" t="s">
        <v>93</v>
      </c>
      <c r="T2731" s="37" t="str">
        <f>HYPERLINK("https://kanzpp.ru/api/getInfo/image/4797fb49-1e7c-11f0-a279-00155d82e908")</f>
        <v>https://kanzpp.ru/api/getInfo/image/4797fb49-1e7c-11f0-a279-00155d82e908</v>
      </c>
      <c r="U2731" s="37"/>
    </row>
    <row r="2732" spans="2:22" ht="21" customHeight="1" outlineLevel="5" x14ac:dyDescent="0.2">
      <c r="B2732" s="71">
        <v>2011</v>
      </c>
      <c r="C2732" s="37" t="s">
        <v>8493</v>
      </c>
      <c r="D2732" s="37" t="s">
        <v>8494</v>
      </c>
      <c r="E2732" s="38" t="s">
        <v>8495</v>
      </c>
      <c r="F2732" s="39"/>
      <c r="G2732" s="40"/>
      <c r="H2732" s="40"/>
      <c r="I2732" s="41">
        <v>14</v>
      </c>
      <c r="J2732" s="41">
        <v>102</v>
      </c>
      <c r="K2732" s="36">
        <v>6</v>
      </c>
      <c r="L2732" s="42">
        <f>(107.57*(1-O3/100))/0.75</f>
        <v>143.42666666666665</v>
      </c>
      <c r="M2732" s="12"/>
      <c r="N2732" s="40">
        <f t="shared" si="125"/>
        <v>0</v>
      </c>
      <c r="O2732" s="43">
        <f>0.256*M2732</f>
        <v>0</v>
      </c>
      <c r="P2732" s="47">
        <f>0.00035*M2732</f>
        <v>0</v>
      </c>
      <c r="Q2732" s="44"/>
      <c r="R2732" s="45" t="s">
        <v>8496</v>
      </c>
      <c r="S2732" s="45" t="s">
        <v>93</v>
      </c>
      <c r="T2732" s="37" t="str">
        <f>HYPERLINK("https://kanzpp.ru/api/getInfo/image/69b420fd-1e7c-11f0-a279-00155d82e908")</f>
        <v>https://kanzpp.ru/api/getInfo/image/69b420fd-1e7c-11f0-a279-00155d82e908</v>
      </c>
      <c r="U2732" s="37"/>
    </row>
    <row r="2733" spans="2:22" ht="21" customHeight="1" outlineLevel="5" x14ac:dyDescent="0.2">
      <c r="B2733" s="71">
        <v>2012</v>
      </c>
      <c r="C2733" s="37" t="s">
        <v>8497</v>
      </c>
      <c r="D2733" s="37" t="s">
        <v>8498</v>
      </c>
      <c r="E2733" s="38" t="s">
        <v>8499</v>
      </c>
      <c r="F2733" s="39"/>
      <c r="G2733" s="40"/>
      <c r="H2733" s="40"/>
      <c r="I2733" s="41">
        <v>14</v>
      </c>
      <c r="J2733" s="41">
        <v>21</v>
      </c>
      <c r="K2733" s="36">
        <v>6</v>
      </c>
      <c r="L2733" s="42">
        <f>(107.57*(1-O3/100))/0.75</f>
        <v>143.42666666666665</v>
      </c>
      <c r="M2733" s="12"/>
      <c r="N2733" s="40">
        <f t="shared" si="125"/>
        <v>0</v>
      </c>
      <c r="O2733" s="43">
        <f>0.256*M2733</f>
        <v>0</v>
      </c>
      <c r="P2733" s="47">
        <f>0.00031*M2733</f>
        <v>0</v>
      </c>
      <c r="Q2733" s="44"/>
      <c r="R2733" s="45" t="s">
        <v>8500</v>
      </c>
      <c r="S2733" s="45" t="s">
        <v>93</v>
      </c>
      <c r="T2733" s="37" t="str">
        <f>HYPERLINK("https://kanzpp.ru/api/getInfo/image/a34a1106-1e7b-11f0-a279-00155d82e908")</f>
        <v>https://kanzpp.ru/api/getInfo/image/a34a1106-1e7b-11f0-a279-00155d82e908</v>
      </c>
      <c r="U2733" s="37"/>
    </row>
    <row r="2734" spans="2:22" ht="21" customHeight="1" outlineLevel="5" x14ac:dyDescent="0.2">
      <c r="B2734" s="71">
        <v>2013</v>
      </c>
      <c r="C2734" s="37" t="s">
        <v>8501</v>
      </c>
      <c r="D2734" s="37" t="s">
        <v>8502</v>
      </c>
      <c r="E2734" s="38" t="s">
        <v>8503</v>
      </c>
      <c r="F2734" s="39"/>
      <c r="G2734" s="40"/>
      <c r="H2734" s="40"/>
      <c r="I2734" s="41">
        <v>14</v>
      </c>
      <c r="J2734" s="41">
        <v>130</v>
      </c>
      <c r="K2734" s="36">
        <v>6</v>
      </c>
      <c r="L2734" s="42">
        <f>(107.57*(1-O3/100))/0.75</f>
        <v>143.42666666666665</v>
      </c>
      <c r="M2734" s="12"/>
      <c r="N2734" s="40">
        <f t="shared" si="125"/>
        <v>0</v>
      </c>
      <c r="O2734" s="43">
        <f>0.262*M2734</f>
        <v>0</v>
      </c>
      <c r="P2734" s="46">
        <f>0.0003*M2734</f>
        <v>0</v>
      </c>
      <c r="Q2734" s="44"/>
      <c r="R2734" s="45" t="s">
        <v>8504</v>
      </c>
      <c r="S2734" s="45" t="s">
        <v>93</v>
      </c>
      <c r="T2734" s="37" t="str">
        <f>HYPERLINK("https://kanzpp.ru/api/getInfo/image/5f61e13a-77bd-11e9-a226-ac1f6b442184")</f>
        <v>https://kanzpp.ru/api/getInfo/image/5f61e13a-77bd-11e9-a226-ac1f6b442184</v>
      </c>
      <c r="U2734" s="37"/>
    </row>
    <row r="2735" spans="2:22" ht="21" customHeight="1" outlineLevel="5" x14ac:dyDescent="0.2">
      <c r="B2735" s="71">
        <v>2014</v>
      </c>
      <c r="C2735" s="37" t="s">
        <v>8505</v>
      </c>
      <c r="D2735" s="37" t="s">
        <v>8506</v>
      </c>
      <c r="E2735" s="38" t="s">
        <v>8507</v>
      </c>
      <c r="F2735" s="39"/>
      <c r="G2735" s="40"/>
      <c r="H2735" s="40"/>
      <c r="I2735" s="41">
        <v>14</v>
      </c>
      <c r="J2735" s="41">
        <v>986</v>
      </c>
      <c r="K2735" s="36">
        <v>6</v>
      </c>
      <c r="L2735" s="42">
        <f>(107.57*(1-O3/100))/0.75</f>
        <v>143.42666666666665</v>
      </c>
      <c r="M2735" s="12"/>
      <c r="N2735" s="40">
        <f t="shared" si="125"/>
        <v>0</v>
      </c>
      <c r="O2735" s="43">
        <f>0.256*M2735</f>
        <v>0</v>
      </c>
      <c r="P2735" s="47">
        <f>0.00031*M2735</f>
        <v>0</v>
      </c>
      <c r="Q2735" s="44"/>
      <c r="R2735" s="45" t="s">
        <v>8508</v>
      </c>
      <c r="S2735" s="45" t="s">
        <v>93</v>
      </c>
      <c r="T2735" s="37" t="str">
        <f>HYPERLINK("https://kanzpp.ru/api/getInfo/image/3b0e4dea-1e7b-11f0-a279-00155d82e908")</f>
        <v>https://kanzpp.ru/api/getInfo/image/3b0e4dea-1e7b-11f0-a279-00155d82e908</v>
      </c>
      <c r="U2735" s="37"/>
    </row>
    <row r="2736" spans="2:22" ht="21" customHeight="1" outlineLevel="5" x14ac:dyDescent="0.2">
      <c r="B2736" s="71">
        <v>2015</v>
      </c>
      <c r="C2736" s="37" t="s">
        <v>8509</v>
      </c>
      <c r="D2736" s="37" t="s">
        <v>8510</v>
      </c>
      <c r="E2736" s="38" t="s">
        <v>8511</v>
      </c>
      <c r="F2736" s="39"/>
      <c r="G2736" s="40"/>
      <c r="H2736" s="40"/>
      <c r="I2736" s="41">
        <v>14</v>
      </c>
      <c r="J2736" s="41">
        <v>452</v>
      </c>
      <c r="K2736" s="36">
        <v>6</v>
      </c>
      <c r="L2736" s="42">
        <f>(107.57*(1-O3/100))/0.75</f>
        <v>143.42666666666665</v>
      </c>
      <c r="M2736" s="12"/>
      <c r="N2736" s="40">
        <f t="shared" si="125"/>
        <v>0</v>
      </c>
      <c r="O2736" s="43">
        <f>0.256*M2736</f>
        <v>0</v>
      </c>
      <c r="P2736" s="47">
        <f>0.00031*M2736</f>
        <v>0</v>
      </c>
      <c r="Q2736" s="44"/>
      <c r="R2736" s="45" t="s">
        <v>8512</v>
      </c>
      <c r="S2736" s="45" t="s">
        <v>93</v>
      </c>
      <c r="T2736" s="37" t="str">
        <f>HYPERLINK("https://kanzpp.ru/api/getInfo/image/7c152586-1e7b-11f0-a279-00155d82e908")</f>
        <v>https://kanzpp.ru/api/getInfo/image/7c152586-1e7b-11f0-a279-00155d82e908</v>
      </c>
      <c r="U2736" s="37"/>
    </row>
    <row r="2737" spans="2:22" ht="21" customHeight="1" outlineLevel="5" x14ac:dyDescent="0.2">
      <c r="B2737" s="71">
        <v>2016</v>
      </c>
      <c r="C2737" s="37" t="s">
        <v>8513</v>
      </c>
      <c r="D2737" s="37" t="s">
        <v>8514</v>
      </c>
      <c r="E2737" s="38" t="s">
        <v>8515</v>
      </c>
      <c r="F2737" s="39"/>
      <c r="G2737" s="40"/>
      <c r="H2737" s="40"/>
      <c r="I2737" s="41">
        <v>14</v>
      </c>
      <c r="J2737" s="41">
        <v>26</v>
      </c>
      <c r="K2737" s="36">
        <v>6</v>
      </c>
      <c r="L2737" s="42">
        <f>(107.57*(1-O3/100))/0.75</f>
        <v>143.42666666666665</v>
      </c>
      <c r="M2737" s="12"/>
      <c r="N2737" s="40">
        <f t="shared" si="125"/>
        <v>0</v>
      </c>
      <c r="O2737" s="43">
        <f>0.256*M2737</f>
        <v>0</v>
      </c>
      <c r="P2737" s="47">
        <f>0.00031*M2737</f>
        <v>0</v>
      </c>
      <c r="Q2737" s="44"/>
      <c r="R2737" s="45" t="s">
        <v>8516</v>
      </c>
      <c r="S2737" s="45" t="s">
        <v>93</v>
      </c>
      <c r="T2737" s="37" t="str">
        <f>HYPERLINK("https://kanzpp.ru/api/getInfo/image/1e95a18b-1e7c-11f0-a279-00155d82e908")</f>
        <v>https://kanzpp.ru/api/getInfo/image/1e95a18b-1e7c-11f0-a279-00155d82e908</v>
      </c>
      <c r="U2737" s="37"/>
    </row>
    <row r="2738" spans="2:22" ht="21" customHeight="1" outlineLevel="5" x14ac:dyDescent="0.2">
      <c r="B2738" s="71">
        <v>2017</v>
      </c>
      <c r="C2738" s="37" t="s">
        <v>8517</v>
      </c>
      <c r="D2738" s="37" t="s">
        <v>8518</v>
      </c>
      <c r="E2738" s="38" t="s">
        <v>8519</v>
      </c>
      <c r="F2738" s="39"/>
      <c r="G2738" s="40"/>
      <c r="H2738" s="40"/>
      <c r="I2738" s="41">
        <v>14</v>
      </c>
      <c r="J2738" s="41">
        <v>135</v>
      </c>
      <c r="K2738" s="36">
        <v>6</v>
      </c>
      <c r="L2738" s="42">
        <f>(107.57*(1-O3/100))/0.75</f>
        <v>143.42666666666665</v>
      </c>
      <c r="M2738" s="12"/>
      <c r="N2738" s="40">
        <f t="shared" si="125"/>
        <v>0</v>
      </c>
      <c r="O2738" s="43">
        <f>0.256*M2738</f>
        <v>0</v>
      </c>
      <c r="P2738" s="47">
        <f>0.00031*M2738</f>
        <v>0</v>
      </c>
      <c r="Q2738" s="44"/>
      <c r="R2738" s="45" t="s">
        <v>8520</v>
      </c>
      <c r="S2738" s="45" t="s">
        <v>93</v>
      </c>
      <c r="T2738" s="37" t="str">
        <f>HYPERLINK("https://kanzpp.ru/api/getInfo/image/003daf65-1e7c-11f0-a279-00155d82e908")</f>
        <v>https://kanzpp.ru/api/getInfo/image/003daf65-1e7c-11f0-a279-00155d82e908</v>
      </c>
      <c r="U2738" s="37"/>
    </row>
    <row r="2739" spans="2:22" ht="22.95" customHeight="1" outlineLevel="4" x14ac:dyDescent="0.2">
      <c r="B2739" s="82" t="s">
        <v>8521</v>
      </c>
      <c r="C2739" s="82"/>
      <c r="D2739" s="82"/>
      <c r="L2739">
        <v>0</v>
      </c>
    </row>
    <row r="2740" spans="2:22" ht="21" customHeight="1" outlineLevel="5" x14ac:dyDescent="0.2">
      <c r="B2740" s="71">
        <v>2018</v>
      </c>
      <c r="C2740" s="37" t="s">
        <v>8522</v>
      </c>
      <c r="D2740" s="37" t="s">
        <v>8523</v>
      </c>
      <c r="E2740" s="38" t="s">
        <v>8524</v>
      </c>
      <c r="F2740" s="39"/>
      <c r="G2740" s="40"/>
      <c r="H2740" s="40"/>
      <c r="I2740" s="41">
        <v>20</v>
      </c>
      <c r="J2740" s="41">
        <v>20</v>
      </c>
      <c r="K2740" s="36">
        <v>6</v>
      </c>
      <c r="L2740" s="42">
        <f>(104.57*(1-O3/100))/0.75</f>
        <v>139.42666666666665</v>
      </c>
      <c r="M2740" s="12"/>
      <c r="N2740" s="40">
        <f>L2740*M2740</f>
        <v>0</v>
      </c>
      <c r="O2740" s="48">
        <f>0.19*M2740</f>
        <v>0</v>
      </c>
      <c r="P2740" s="47">
        <f>0.00031*M2740</f>
        <v>0</v>
      </c>
      <c r="Q2740" s="44"/>
      <c r="R2740" s="45" t="s">
        <v>8525</v>
      </c>
      <c r="S2740" s="45" t="s">
        <v>93</v>
      </c>
      <c r="T2740" s="37" t="str">
        <f>HYPERLINK("https://kanzpp.ru/api/getInfo/image/8a09c218-939c-11f0-a284-00155d82e908")</f>
        <v>https://kanzpp.ru/api/getInfo/image/8a09c218-939c-11f0-a284-00155d82e908</v>
      </c>
      <c r="U2740" s="37"/>
    </row>
    <row r="2741" spans="2:22" ht="21" customHeight="1" outlineLevel="5" x14ac:dyDescent="0.2">
      <c r="B2741" s="69">
        <v>2019</v>
      </c>
      <c r="C2741" s="6" t="s">
        <v>8526</v>
      </c>
      <c r="D2741" s="6" t="s">
        <v>8527</v>
      </c>
      <c r="E2741" s="7" t="s">
        <v>8528</v>
      </c>
      <c r="F2741" s="13"/>
      <c r="G2741" s="14"/>
      <c r="H2741" s="14"/>
      <c r="I2741" s="15">
        <v>20</v>
      </c>
      <c r="J2741" s="15">
        <v>9</v>
      </c>
      <c r="K2741" s="5">
        <v>6</v>
      </c>
      <c r="L2741" s="16">
        <v>65.333333333333329</v>
      </c>
      <c r="M2741" s="12"/>
      <c r="N2741" s="14">
        <f>L2741*M2741</f>
        <v>0</v>
      </c>
      <c r="O2741" s="23">
        <f>0.214*M2741</f>
        <v>0</v>
      </c>
      <c r="P2741" s="24">
        <f>0.00028*M2741</f>
        <v>0</v>
      </c>
      <c r="Q2741" s="25"/>
      <c r="R2741" s="26" t="s">
        <v>8529</v>
      </c>
      <c r="S2741" s="26" t="s">
        <v>93</v>
      </c>
      <c r="T2741" s="6" t="str">
        <f>HYPERLINK("https://kanzpp.ru/api/getInfo/image/47d4a45c-bc68-11ef-a267-00155d82e908")</f>
        <v>https://kanzpp.ru/api/getInfo/image/47d4a45c-bc68-11ef-a267-00155d82e908</v>
      </c>
      <c r="U2741" s="6"/>
      <c r="V2741" s="33" t="s">
        <v>35</v>
      </c>
    </row>
    <row r="2742" spans="2:22" ht="21" customHeight="1" outlineLevel="5" x14ac:dyDescent="0.2">
      <c r="B2742" s="69">
        <v>2020</v>
      </c>
      <c r="C2742" s="6" t="s">
        <v>8530</v>
      </c>
      <c r="D2742" s="6" t="s">
        <v>8531</v>
      </c>
      <c r="E2742" s="7" t="s">
        <v>8532</v>
      </c>
      <c r="F2742" s="13"/>
      <c r="G2742" s="14"/>
      <c r="H2742" s="14"/>
      <c r="I2742" s="15">
        <v>20</v>
      </c>
      <c r="J2742" s="15">
        <v>84</v>
      </c>
      <c r="K2742" s="5">
        <v>6</v>
      </c>
      <c r="L2742" s="16">
        <v>65.333333333333329</v>
      </c>
      <c r="M2742" s="12"/>
      <c r="N2742" s="14">
        <f>L2742*M2742</f>
        <v>0</v>
      </c>
      <c r="O2742" s="23">
        <f>0.214*M2742</f>
        <v>0</v>
      </c>
      <c r="P2742" s="24">
        <f>0.00028*M2742</f>
        <v>0</v>
      </c>
      <c r="Q2742" s="25"/>
      <c r="R2742" s="26" t="s">
        <v>8533</v>
      </c>
      <c r="S2742" s="26" t="s">
        <v>93</v>
      </c>
      <c r="T2742" s="6" t="str">
        <f>HYPERLINK("https://kanzpp.ru/api/getInfo/image/798a6696-bc68-11ef-a267-00155d82e908")</f>
        <v>https://kanzpp.ru/api/getInfo/image/798a6696-bc68-11ef-a267-00155d82e908</v>
      </c>
      <c r="U2742" s="6"/>
      <c r="V2742" s="33" t="s">
        <v>35</v>
      </c>
    </row>
    <row r="2743" spans="2:22" ht="21" customHeight="1" outlineLevel="5" x14ac:dyDescent="0.2">
      <c r="B2743" s="69">
        <v>2021</v>
      </c>
      <c r="C2743" s="6" t="s">
        <v>8534</v>
      </c>
      <c r="D2743" s="6" t="s">
        <v>8535</v>
      </c>
      <c r="E2743" s="7" t="s">
        <v>8536</v>
      </c>
      <c r="F2743" s="13"/>
      <c r="G2743" s="14"/>
      <c r="H2743" s="14"/>
      <c r="I2743" s="15">
        <v>20</v>
      </c>
      <c r="J2743" s="15">
        <v>2</v>
      </c>
      <c r="K2743" s="5">
        <v>2</v>
      </c>
      <c r="L2743" s="16">
        <v>65.333333333333329</v>
      </c>
      <c r="M2743" s="12"/>
      <c r="N2743" s="14">
        <f>L2743*M2743</f>
        <v>0</v>
      </c>
      <c r="O2743" s="23">
        <f>0.211*M2743</f>
        <v>0</v>
      </c>
      <c r="P2743" s="24">
        <f>0.00028*M2743</f>
        <v>0</v>
      </c>
      <c r="Q2743" s="25"/>
      <c r="R2743" s="26" t="s">
        <v>8537</v>
      </c>
      <c r="S2743" s="26" t="s">
        <v>93</v>
      </c>
      <c r="T2743" s="6" t="str">
        <f>HYPERLINK("https://kanzpp.ru/api/getInfo/image/e5219538-9041-11ef-a265-00155d82e908")</f>
        <v>https://kanzpp.ru/api/getInfo/image/e5219538-9041-11ef-a265-00155d82e908</v>
      </c>
      <c r="U2743" s="6"/>
      <c r="V2743" s="33" t="s">
        <v>35</v>
      </c>
    </row>
    <row r="2744" spans="2:22" ht="21" customHeight="1" outlineLevel="5" x14ac:dyDescent="0.2">
      <c r="B2744" s="71">
        <v>2022</v>
      </c>
      <c r="C2744" s="37" t="s">
        <v>8538</v>
      </c>
      <c r="D2744" s="37" t="s">
        <v>8539</v>
      </c>
      <c r="E2744" s="38" t="s">
        <v>8540</v>
      </c>
      <c r="F2744" s="39"/>
      <c r="G2744" s="40"/>
      <c r="H2744" s="40"/>
      <c r="I2744" s="41">
        <v>20</v>
      </c>
      <c r="J2744" s="40" t="s">
        <v>144</v>
      </c>
      <c r="K2744" s="36">
        <v>6</v>
      </c>
      <c r="L2744" s="42">
        <f>(104.57*(1-O3/100))/0.75</f>
        <v>139.42666666666665</v>
      </c>
      <c r="M2744" s="12"/>
      <c r="N2744" s="40">
        <f>L2744*M2744</f>
        <v>0</v>
      </c>
      <c r="O2744" s="43">
        <f>0.194*M2744</f>
        <v>0</v>
      </c>
      <c r="P2744" s="47">
        <f>0.00033*M2744</f>
        <v>0</v>
      </c>
      <c r="Q2744" s="44"/>
      <c r="R2744" s="45" t="s">
        <v>8541</v>
      </c>
      <c r="S2744" s="45" t="s">
        <v>93</v>
      </c>
      <c r="T2744" s="37" t="str">
        <f>HYPERLINK("https://kanzpp.ru/api/getInfo/image/36624773-939d-11f0-a284-00155d82e908")</f>
        <v>https://kanzpp.ru/api/getInfo/image/36624773-939d-11f0-a284-00155d82e908</v>
      </c>
      <c r="U2744" s="37"/>
    </row>
    <row r="2745" spans="2:22" ht="22.95" customHeight="1" outlineLevel="4" x14ac:dyDescent="0.2">
      <c r="B2745" s="82" t="s">
        <v>8542</v>
      </c>
      <c r="C2745" s="82"/>
      <c r="D2745" s="82"/>
      <c r="L2745">
        <v>0</v>
      </c>
    </row>
    <row r="2746" spans="2:22" ht="21" customHeight="1" outlineLevel="5" x14ac:dyDescent="0.2">
      <c r="B2746" s="69">
        <v>2023</v>
      </c>
      <c r="C2746" s="6" t="s">
        <v>8543</v>
      </c>
      <c r="D2746" s="6" t="s">
        <v>8544</v>
      </c>
      <c r="E2746" s="7" t="s">
        <v>8545</v>
      </c>
      <c r="F2746" s="13"/>
      <c r="G2746" s="14"/>
      <c r="H2746" s="15">
        <v>20</v>
      </c>
      <c r="I2746" s="15">
        <v>20</v>
      </c>
      <c r="J2746" s="15">
        <v>366</v>
      </c>
      <c r="K2746" s="5">
        <v>6</v>
      </c>
      <c r="L2746" s="16">
        <v>74.533333333333331</v>
      </c>
      <c r="M2746" s="12"/>
      <c r="N2746" s="14">
        <f>L2746*M2746</f>
        <v>0</v>
      </c>
      <c r="O2746" s="23">
        <f>0.187*M2746</f>
        <v>0</v>
      </c>
      <c r="P2746" s="24">
        <f>0.00024*M2746</f>
        <v>0</v>
      </c>
      <c r="Q2746" s="25"/>
      <c r="R2746" s="26" t="s">
        <v>8546</v>
      </c>
      <c r="S2746" s="26" t="s">
        <v>93</v>
      </c>
      <c r="T2746" s="6" t="str">
        <f>HYPERLINK("https://kanzpp.ru/api/getInfo/image/bc91f7f9-8f2f-11ec-a211-ac1f6b442185")</f>
        <v>https://kanzpp.ru/api/getInfo/image/bc91f7f9-8f2f-11ec-a211-ac1f6b442185</v>
      </c>
      <c r="U2746" s="6"/>
      <c r="V2746" s="33" t="s">
        <v>35</v>
      </c>
    </row>
    <row r="2747" spans="2:22" ht="21" customHeight="1" outlineLevel="5" x14ac:dyDescent="0.2">
      <c r="B2747" s="69">
        <v>2024</v>
      </c>
      <c r="C2747" s="6" t="s">
        <v>8547</v>
      </c>
      <c r="D2747" s="6" t="s">
        <v>8548</v>
      </c>
      <c r="E2747" s="7" t="s">
        <v>8549</v>
      </c>
      <c r="F2747" s="13"/>
      <c r="G2747" s="14"/>
      <c r="H2747" s="14"/>
      <c r="I2747" s="15">
        <v>20</v>
      </c>
      <c r="J2747" s="14" t="s">
        <v>144</v>
      </c>
      <c r="K2747" s="5">
        <v>6</v>
      </c>
      <c r="L2747" s="16">
        <v>74.533333333333331</v>
      </c>
      <c r="M2747" s="12"/>
      <c r="N2747" s="14">
        <f>L2747*M2747</f>
        <v>0</v>
      </c>
      <c r="O2747" s="23">
        <f>0.204*M2747</f>
        <v>0</v>
      </c>
      <c r="P2747" s="24">
        <f>0.00025*M2747</f>
        <v>0</v>
      </c>
      <c r="Q2747" s="25"/>
      <c r="R2747" s="26" t="s">
        <v>8550</v>
      </c>
      <c r="S2747" s="26" t="s">
        <v>93</v>
      </c>
      <c r="T2747" s="6" t="str">
        <f>HYPERLINK("https://kanzpp.ru/api/getInfo/image/ac83b3e9-23c7-11ef-a25f-00155d82e908")</f>
        <v>https://kanzpp.ru/api/getInfo/image/ac83b3e9-23c7-11ef-a25f-00155d82e908</v>
      </c>
      <c r="U2747" s="6"/>
      <c r="V2747" s="33" t="s">
        <v>35</v>
      </c>
    </row>
    <row r="2748" spans="2:22" ht="22.95" customHeight="1" outlineLevel="4" x14ac:dyDescent="0.2">
      <c r="B2748" s="82" t="s">
        <v>8551</v>
      </c>
      <c r="C2748" s="82"/>
      <c r="D2748" s="82"/>
      <c r="L2748">
        <v>0</v>
      </c>
    </row>
    <row r="2749" spans="2:22" ht="21" customHeight="1" outlineLevel="5" x14ac:dyDescent="0.2">
      <c r="B2749" s="69">
        <v>2025</v>
      </c>
      <c r="C2749" s="6" t="s">
        <v>8552</v>
      </c>
      <c r="D2749" s="6" t="s">
        <v>8553</v>
      </c>
      <c r="E2749" s="7" t="s">
        <v>8554</v>
      </c>
      <c r="F2749" s="13"/>
      <c r="G2749" s="14"/>
      <c r="H2749" s="14"/>
      <c r="I2749" s="15">
        <v>20</v>
      </c>
      <c r="J2749" s="15">
        <v>878</v>
      </c>
      <c r="K2749" s="5">
        <v>10</v>
      </c>
      <c r="L2749" s="16">
        <v>65.333333333333329</v>
      </c>
      <c r="M2749" s="12"/>
      <c r="N2749" s="14">
        <f t="shared" ref="N2749:N2763" si="126">L2749*M2749</f>
        <v>0</v>
      </c>
      <c r="O2749" s="23">
        <f>0.207*M2749</f>
        <v>0</v>
      </c>
      <c r="P2749" s="24">
        <f>0.00028*M2749</f>
        <v>0</v>
      </c>
      <c r="Q2749" s="25"/>
      <c r="R2749" s="26" t="s">
        <v>8555</v>
      </c>
      <c r="S2749" s="26" t="s">
        <v>93</v>
      </c>
      <c r="T2749" s="6" t="str">
        <f>HYPERLINK("https://kanzpp.ru/api/getInfo/image/84ad3645-1f21-11ef-a25f-00155d82e908")</f>
        <v>https://kanzpp.ru/api/getInfo/image/84ad3645-1f21-11ef-a25f-00155d82e908</v>
      </c>
      <c r="U2749" s="6"/>
      <c r="V2749" s="33" t="s">
        <v>35</v>
      </c>
    </row>
    <row r="2750" spans="2:22" ht="21" customHeight="1" outlineLevel="5" x14ac:dyDescent="0.2">
      <c r="B2750" s="69">
        <v>2026</v>
      </c>
      <c r="C2750" s="6" t="s">
        <v>8556</v>
      </c>
      <c r="D2750" s="6" t="s">
        <v>8557</v>
      </c>
      <c r="E2750" s="7" t="s">
        <v>8554</v>
      </c>
      <c r="F2750" s="13"/>
      <c r="G2750" s="14"/>
      <c r="H2750" s="15">
        <v>20</v>
      </c>
      <c r="I2750" s="14"/>
      <c r="J2750" s="15">
        <v>320</v>
      </c>
      <c r="K2750" s="5">
        <v>10</v>
      </c>
      <c r="L2750" s="16">
        <v>65.333333333333329</v>
      </c>
      <c r="M2750" s="12"/>
      <c r="N2750" s="14">
        <f t="shared" si="126"/>
        <v>0</v>
      </c>
      <c r="O2750" s="23">
        <f>0.213*M2750</f>
        <v>0</v>
      </c>
      <c r="P2750" s="24">
        <f>0.00028*M2750</f>
        <v>0</v>
      </c>
      <c r="Q2750" s="25"/>
      <c r="R2750" s="26"/>
      <c r="S2750" s="26" t="s">
        <v>93</v>
      </c>
      <c r="T2750" s="6" t="str">
        <f>HYPERLINK("https://kanzpp.ru/api/getInfo/image/eab1cb7b-2722-11ef-a25f-00155d82e908")</f>
        <v>https://kanzpp.ru/api/getInfo/image/eab1cb7b-2722-11ef-a25f-00155d82e908</v>
      </c>
      <c r="U2750" s="6"/>
      <c r="V2750" s="33" t="s">
        <v>35</v>
      </c>
    </row>
    <row r="2751" spans="2:22" ht="21" customHeight="1" outlineLevel="5" x14ac:dyDescent="0.2">
      <c r="B2751" s="69">
        <v>2027</v>
      </c>
      <c r="C2751" s="6" t="s">
        <v>8558</v>
      </c>
      <c r="D2751" s="6" t="s">
        <v>8559</v>
      </c>
      <c r="E2751" s="7" t="s">
        <v>8560</v>
      </c>
      <c r="F2751" s="13"/>
      <c r="G2751" s="14"/>
      <c r="H2751" s="14"/>
      <c r="I2751" s="15">
        <v>20</v>
      </c>
      <c r="J2751" s="15">
        <v>7</v>
      </c>
      <c r="K2751" s="5">
        <v>7</v>
      </c>
      <c r="L2751" s="16">
        <v>78.666666666666671</v>
      </c>
      <c r="M2751" s="12"/>
      <c r="N2751" s="14">
        <f t="shared" si="126"/>
        <v>0</v>
      </c>
      <c r="O2751" s="23">
        <f>0.204*M2751</f>
        <v>0</v>
      </c>
      <c r="P2751" s="24">
        <f>0.00034*M2751</f>
        <v>0</v>
      </c>
      <c r="Q2751" s="25"/>
      <c r="R2751" s="26" t="s">
        <v>8561</v>
      </c>
      <c r="S2751" s="26" t="s">
        <v>93</v>
      </c>
      <c r="T2751" s="6" t="str">
        <f>HYPERLINK("https://kanzpp.ru/api/getInfo/image/48c431ef-9042-11ef-a265-00155d82e908")</f>
        <v>https://kanzpp.ru/api/getInfo/image/48c431ef-9042-11ef-a265-00155d82e908</v>
      </c>
      <c r="U2751" s="6"/>
      <c r="V2751" s="33" t="s">
        <v>35</v>
      </c>
    </row>
    <row r="2752" spans="2:22" ht="21" customHeight="1" outlineLevel="5" x14ac:dyDescent="0.2">
      <c r="B2752" s="69">
        <v>2028</v>
      </c>
      <c r="C2752" s="6" t="s">
        <v>8562</v>
      </c>
      <c r="D2752" s="6" t="s">
        <v>8563</v>
      </c>
      <c r="E2752" s="7" t="s">
        <v>8564</v>
      </c>
      <c r="F2752" s="13"/>
      <c r="G2752" s="14"/>
      <c r="H2752" s="14"/>
      <c r="I2752" s="15">
        <v>20</v>
      </c>
      <c r="J2752" s="15">
        <v>721</v>
      </c>
      <c r="K2752" s="5">
        <v>10</v>
      </c>
      <c r="L2752" s="16">
        <v>78.666666666666671</v>
      </c>
      <c r="M2752" s="12"/>
      <c r="N2752" s="14">
        <f t="shared" si="126"/>
        <v>0</v>
      </c>
      <c r="O2752" s="23">
        <f>0.207*M2752</f>
        <v>0</v>
      </c>
      <c r="P2752" s="24">
        <f>0.00028*M2752</f>
        <v>0</v>
      </c>
      <c r="Q2752" s="25"/>
      <c r="R2752" s="26" t="s">
        <v>8565</v>
      </c>
      <c r="S2752" s="26" t="s">
        <v>93</v>
      </c>
      <c r="T2752" s="6" t="str">
        <f>HYPERLINK("https://kanzpp.ru/api/getInfo/image/bc3d49ec-1f21-11ef-a25f-00155d82e908")</f>
        <v>https://kanzpp.ru/api/getInfo/image/bc3d49ec-1f21-11ef-a25f-00155d82e908</v>
      </c>
      <c r="U2752" s="6"/>
      <c r="V2752" s="33" t="s">
        <v>35</v>
      </c>
    </row>
    <row r="2753" spans="2:22" ht="21" customHeight="1" outlineLevel="5" x14ac:dyDescent="0.2">
      <c r="B2753" s="71">
        <v>2029</v>
      </c>
      <c r="C2753" s="37" t="s">
        <v>8566</v>
      </c>
      <c r="D2753" s="37" t="s">
        <v>8567</v>
      </c>
      <c r="E2753" s="38" t="s">
        <v>8568</v>
      </c>
      <c r="F2753" s="39"/>
      <c r="G2753" s="40"/>
      <c r="H2753" s="40"/>
      <c r="I2753" s="41">
        <v>20</v>
      </c>
      <c r="J2753" s="41">
        <v>422</v>
      </c>
      <c r="K2753" s="36">
        <v>10</v>
      </c>
      <c r="L2753" s="42">
        <f>(85.9*(1-O3/100))/0.75</f>
        <v>114.53333333333335</v>
      </c>
      <c r="M2753" s="12"/>
      <c r="N2753" s="40">
        <f t="shared" si="126"/>
        <v>0</v>
      </c>
      <c r="O2753" s="43">
        <f>0.203*M2753</f>
        <v>0</v>
      </c>
      <c r="P2753" s="47">
        <f>0.00034*M2753</f>
        <v>0</v>
      </c>
      <c r="Q2753" s="44"/>
      <c r="R2753" s="45" t="s">
        <v>8569</v>
      </c>
      <c r="S2753" s="45" t="s">
        <v>93</v>
      </c>
      <c r="T2753" s="37" t="str">
        <f>HYPERLINK("https://kanzpp.ru/api/getInfo/image/d14092e0-939e-11f0-a284-00155d82e908")</f>
        <v>https://kanzpp.ru/api/getInfo/image/d14092e0-939e-11f0-a284-00155d82e908</v>
      </c>
      <c r="U2753" s="37"/>
    </row>
    <row r="2754" spans="2:22" ht="21" customHeight="1" outlineLevel="5" x14ac:dyDescent="0.2">
      <c r="B2754" s="69">
        <v>2030</v>
      </c>
      <c r="C2754" s="6" t="s">
        <v>8570</v>
      </c>
      <c r="D2754" s="6" t="s">
        <v>8571</v>
      </c>
      <c r="E2754" s="7" t="s">
        <v>8572</v>
      </c>
      <c r="F2754" s="13"/>
      <c r="G2754" s="14"/>
      <c r="H2754" s="14"/>
      <c r="I2754" s="15">
        <v>20</v>
      </c>
      <c r="J2754" s="15">
        <v>188</v>
      </c>
      <c r="K2754" s="5">
        <v>10</v>
      </c>
      <c r="L2754" s="16">
        <v>78.666666666666671</v>
      </c>
      <c r="M2754" s="12"/>
      <c r="N2754" s="14">
        <f t="shared" si="126"/>
        <v>0</v>
      </c>
      <c r="O2754" s="23">
        <f>0.207*M2754</f>
        <v>0</v>
      </c>
      <c r="P2754" s="24">
        <f>0.00028*M2754</f>
        <v>0</v>
      </c>
      <c r="Q2754" s="25"/>
      <c r="R2754" s="26" t="s">
        <v>8573</v>
      </c>
      <c r="S2754" s="26" t="s">
        <v>93</v>
      </c>
      <c r="T2754" s="6" t="str">
        <f>HYPERLINK("https://kanzpp.ru/api/getInfo/image/dee739a8-1f21-11ef-a25f-00155d82e908")</f>
        <v>https://kanzpp.ru/api/getInfo/image/dee739a8-1f21-11ef-a25f-00155d82e908</v>
      </c>
      <c r="U2754" s="6"/>
      <c r="V2754" s="33" t="s">
        <v>35</v>
      </c>
    </row>
    <row r="2755" spans="2:22" ht="21" customHeight="1" outlineLevel="5" x14ac:dyDescent="0.2">
      <c r="B2755" s="71">
        <v>2031</v>
      </c>
      <c r="C2755" s="37" t="s">
        <v>8574</v>
      </c>
      <c r="D2755" s="37" t="s">
        <v>8575</v>
      </c>
      <c r="E2755" s="38" t="s">
        <v>8576</v>
      </c>
      <c r="F2755" s="39"/>
      <c r="G2755" s="40"/>
      <c r="H2755" s="40"/>
      <c r="I2755" s="41">
        <v>20</v>
      </c>
      <c r="J2755" s="41">
        <v>847</v>
      </c>
      <c r="K2755" s="36">
        <v>10</v>
      </c>
      <c r="L2755" s="42">
        <f>(85.9*(1-O3/100))/0.75</f>
        <v>114.53333333333335</v>
      </c>
      <c r="M2755" s="12"/>
      <c r="N2755" s="40">
        <f t="shared" si="126"/>
        <v>0</v>
      </c>
      <c r="O2755" s="43">
        <f>0.189*M2755</f>
        <v>0</v>
      </c>
      <c r="P2755" s="47">
        <f>0.00028*M2755</f>
        <v>0</v>
      </c>
      <c r="Q2755" s="44"/>
      <c r="R2755" s="45" t="s">
        <v>8577</v>
      </c>
      <c r="S2755" s="45" t="s">
        <v>93</v>
      </c>
      <c r="T2755" s="37" t="str">
        <f>HYPERLINK("https://kanzpp.ru/api/getInfo/image/abed7783-939f-11f0-a284-00155d82e908")</f>
        <v>https://kanzpp.ru/api/getInfo/image/abed7783-939f-11f0-a284-00155d82e908</v>
      </c>
      <c r="U2755" s="37"/>
    </row>
    <row r="2756" spans="2:22" ht="21" customHeight="1" outlineLevel="5" x14ac:dyDescent="0.2">
      <c r="B2756" s="71">
        <v>2032</v>
      </c>
      <c r="C2756" s="37" t="s">
        <v>8578</v>
      </c>
      <c r="D2756" s="37" t="s">
        <v>8579</v>
      </c>
      <c r="E2756" s="38" t="s">
        <v>8580</v>
      </c>
      <c r="F2756" s="39"/>
      <c r="G2756" s="40"/>
      <c r="H2756" s="40"/>
      <c r="I2756" s="41">
        <v>20</v>
      </c>
      <c r="J2756" s="40" t="s">
        <v>144</v>
      </c>
      <c r="K2756" s="36">
        <v>10</v>
      </c>
      <c r="L2756" s="42">
        <f>(85.9*(1-O3/100))/0.75</f>
        <v>114.53333333333335</v>
      </c>
      <c r="M2756" s="12"/>
      <c r="N2756" s="40">
        <f t="shared" si="126"/>
        <v>0</v>
      </c>
      <c r="O2756" s="43">
        <f>0.203*M2756</f>
        <v>0</v>
      </c>
      <c r="P2756" s="47">
        <f>0.00034*M2756</f>
        <v>0</v>
      </c>
      <c r="Q2756" s="44"/>
      <c r="R2756" s="45" t="s">
        <v>8581</v>
      </c>
      <c r="S2756" s="45" t="s">
        <v>93</v>
      </c>
      <c r="T2756" s="37" t="str">
        <f>HYPERLINK("https://kanzpp.ru/api/getInfo/image/98a52cdb-939e-11f0-a284-00155d82e908")</f>
        <v>https://kanzpp.ru/api/getInfo/image/98a52cdb-939e-11f0-a284-00155d82e908</v>
      </c>
      <c r="U2756" s="37"/>
    </row>
    <row r="2757" spans="2:22" ht="21" customHeight="1" outlineLevel="5" x14ac:dyDescent="0.2">
      <c r="B2757" s="69">
        <v>2033</v>
      </c>
      <c r="C2757" s="6" t="s">
        <v>8582</v>
      </c>
      <c r="D2757" s="6" t="s">
        <v>8583</v>
      </c>
      <c r="E2757" s="7" t="s">
        <v>8584</v>
      </c>
      <c r="F2757" s="13"/>
      <c r="G2757" s="14"/>
      <c r="H2757" s="14"/>
      <c r="I2757" s="15">
        <v>20</v>
      </c>
      <c r="J2757" s="15">
        <v>507</v>
      </c>
      <c r="K2757" s="5">
        <v>10</v>
      </c>
      <c r="L2757" s="16">
        <v>38.666666666666664</v>
      </c>
      <c r="M2757" s="12"/>
      <c r="N2757" s="14">
        <f t="shared" si="126"/>
        <v>0</v>
      </c>
      <c r="O2757" s="23">
        <f>0.198*M2757</f>
        <v>0</v>
      </c>
      <c r="P2757" s="24">
        <f>0.00025*M2757</f>
        <v>0</v>
      </c>
      <c r="Q2757" s="25"/>
      <c r="R2757" s="26" t="s">
        <v>8585</v>
      </c>
      <c r="S2757" s="26" t="s">
        <v>93</v>
      </c>
      <c r="T2757" s="6" t="str">
        <f>HYPERLINK("https://kanzpp.ru/api/getInfo/image/a665c23c-b8d0-11ed-a230-00155d82e902")</f>
        <v>https://kanzpp.ru/api/getInfo/image/a665c23c-b8d0-11ed-a230-00155d82e902</v>
      </c>
      <c r="U2757" s="6"/>
      <c r="V2757" s="33" t="s">
        <v>35</v>
      </c>
    </row>
    <row r="2758" spans="2:22" ht="21" customHeight="1" outlineLevel="5" x14ac:dyDescent="0.2">
      <c r="B2758" s="69">
        <v>2034</v>
      </c>
      <c r="C2758" s="6" t="s">
        <v>8586</v>
      </c>
      <c r="D2758" s="6" t="s">
        <v>8583</v>
      </c>
      <c r="E2758" s="7" t="s">
        <v>8584</v>
      </c>
      <c r="F2758" s="13"/>
      <c r="G2758" s="14"/>
      <c r="H2758" s="15">
        <v>20</v>
      </c>
      <c r="I2758" s="14"/>
      <c r="J2758" s="15">
        <v>244</v>
      </c>
      <c r="K2758" s="5">
        <v>10</v>
      </c>
      <c r="L2758" s="16">
        <v>38.666666666666664</v>
      </c>
      <c r="M2758" s="12"/>
      <c r="N2758" s="14">
        <f t="shared" si="126"/>
        <v>0</v>
      </c>
      <c r="O2758" s="23">
        <f>0.198*M2758</f>
        <v>0</v>
      </c>
      <c r="P2758" s="24">
        <f>0.00048*M2758</f>
        <v>0</v>
      </c>
      <c r="Q2758" s="25"/>
      <c r="R2758" s="26"/>
      <c r="S2758" s="26" t="s">
        <v>93</v>
      </c>
      <c r="T2758" s="6" t="str">
        <f>HYPERLINK("https://kanzpp.ru/api/getInfo/image/925dff93-57b9-11ee-a245-00155d82e902")</f>
        <v>https://kanzpp.ru/api/getInfo/image/925dff93-57b9-11ee-a245-00155d82e902</v>
      </c>
      <c r="U2758" s="6"/>
      <c r="V2758" s="33" t="s">
        <v>35</v>
      </c>
    </row>
    <row r="2759" spans="2:22" ht="21" customHeight="1" outlineLevel="5" x14ac:dyDescent="0.2">
      <c r="B2759" s="71">
        <v>2035</v>
      </c>
      <c r="C2759" s="37" t="s">
        <v>8587</v>
      </c>
      <c r="D2759" s="37" t="s">
        <v>8588</v>
      </c>
      <c r="E2759" s="38" t="s">
        <v>8589</v>
      </c>
      <c r="F2759" s="39"/>
      <c r="G2759" s="40"/>
      <c r="H2759" s="40"/>
      <c r="I2759" s="41">
        <v>20</v>
      </c>
      <c r="J2759" s="41">
        <v>642</v>
      </c>
      <c r="K2759" s="36">
        <v>10</v>
      </c>
      <c r="L2759" s="42">
        <f>(85.9*(1-O3/100))/0.75</f>
        <v>114.53333333333335</v>
      </c>
      <c r="M2759" s="12"/>
      <c r="N2759" s="40">
        <f t="shared" si="126"/>
        <v>0</v>
      </c>
      <c r="O2759" s="43">
        <f>0.203*M2759</f>
        <v>0</v>
      </c>
      <c r="P2759" s="47">
        <f>0.00034*M2759</f>
        <v>0</v>
      </c>
      <c r="Q2759" s="44"/>
      <c r="R2759" s="45" t="s">
        <v>8590</v>
      </c>
      <c r="S2759" s="45" t="s">
        <v>93</v>
      </c>
      <c r="T2759" s="37" t="str">
        <f>HYPERLINK("https://kanzpp.ru/api/getInfo/image/28999e46-939f-11f0-a284-00155d82e908")</f>
        <v>https://kanzpp.ru/api/getInfo/image/28999e46-939f-11f0-a284-00155d82e908</v>
      </c>
      <c r="U2759" s="37"/>
    </row>
    <row r="2760" spans="2:22" ht="21" customHeight="1" outlineLevel="5" x14ac:dyDescent="0.2">
      <c r="B2760" s="71">
        <v>2036</v>
      </c>
      <c r="C2760" s="37" t="s">
        <v>8591</v>
      </c>
      <c r="D2760" s="37" t="s">
        <v>8592</v>
      </c>
      <c r="E2760" s="38" t="s">
        <v>8593</v>
      </c>
      <c r="F2760" s="39"/>
      <c r="G2760" s="40"/>
      <c r="H2760" s="40"/>
      <c r="I2760" s="41">
        <v>20</v>
      </c>
      <c r="J2760" s="41">
        <v>573</v>
      </c>
      <c r="K2760" s="36">
        <v>10</v>
      </c>
      <c r="L2760" s="42">
        <f>(85.9*(1-O3/100))/0.75</f>
        <v>114.53333333333335</v>
      </c>
      <c r="M2760" s="12"/>
      <c r="N2760" s="40">
        <f t="shared" si="126"/>
        <v>0</v>
      </c>
      <c r="O2760" s="43">
        <f>0.191*M2760</f>
        <v>0</v>
      </c>
      <c r="P2760" s="47">
        <f>0.00025*M2760</f>
        <v>0</v>
      </c>
      <c r="Q2760" s="44"/>
      <c r="R2760" s="45" t="s">
        <v>8594</v>
      </c>
      <c r="S2760" s="45" t="s">
        <v>93</v>
      </c>
      <c r="T2760" s="37" t="str">
        <f>HYPERLINK("https://kanzpp.ru/api/getInfo/image/5682a30b-939f-11f0-a284-00155d82e908")</f>
        <v>https://kanzpp.ru/api/getInfo/image/5682a30b-939f-11f0-a284-00155d82e908</v>
      </c>
      <c r="U2760" s="37"/>
    </row>
    <row r="2761" spans="2:22" ht="21" customHeight="1" outlineLevel="5" x14ac:dyDescent="0.2">
      <c r="B2761" s="71">
        <v>2037</v>
      </c>
      <c r="C2761" s="37" t="s">
        <v>8595</v>
      </c>
      <c r="D2761" s="37" t="s">
        <v>8596</v>
      </c>
      <c r="E2761" s="38" t="s">
        <v>8597</v>
      </c>
      <c r="F2761" s="39"/>
      <c r="G2761" s="40"/>
      <c r="H2761" s="40"/>
      <c r="I2761" s="41">
        <v>20</v>
      </c>
      <c r="J2761" s="41">
        <v>274</v>
      </c>
      <c r="K2761" s="36">
        <v>10</v>
      </c>
      <c r="L2761" s="42">
        <f>(85.9*(1-O3/100))/0.75</f>
        <v>114.53333333333335</v>
      </c>
      <c r="M2761" s="12"/>
      <c r="N2761" s="40">
        <f t="shared" si="126"/>
        <v>0</v>
      </c>
      <c r="O2761" s="43">
        <f>0.203*M2761</f>
        <v>0</v>
      </c>
      <c r="P2761" s="47">
        <f>0.00034*M2761</f>
        <v>0</v>
      </c>
      <c r="Q2761" s="44"/>
      <c r="R2761" s="45" t="s">
        <v>8598</v>
      </c>
      <c r="S2761" s="45" t="s">
        <v>93</v>
      </c>
      <c r="T2761" s="37" t="str">
        <f>HYPERLINK("https://kanzpp.ru/api/getInfo/image/e15ed347-939f-11f0-a284-00155d82e908")</f>
        <v>https://kanzpp.ru/api/getInfo/image/e15ed347-939f-11f0-a284-00155d82e908</v>
      </c>
      <c r="U2761" s="37"/>
    </row>
    <row r="2762" spans="2:22" ht="21" customHeight="1" outlineLevel="5" x14ac:dyDescent="0.2">
      <c r="B2762" s="71">
        <v>2038</v>
      </c>
      <c r="C2762" s="37" t="s">
        <v>8599</v>
      </c>
      <c r="D2762" s="37" t="s">
        <v>8600</v>
      </c>
      <c r="E2762" s="38" t="s">
        <v>8601</v>
      </c>
      <c r="F2762" s="39"/>
      <c r="G2762" s="40"/>
      <c r="H2762" s="40"/>
      <c r="I2762" s="41">
        <v>20</v>
      </c>
      <c r="J2762" s="40" t="s">
        <v>144</v>
      </c>
      <c r="K2762" s="36">
        <v>10</v>
      </c>
      <c r="L2762" s="42">
        <f>(85.9*(1-O3/100))/0.75</f>
        <v>114.53333333333335</v>
      </c>
      <c r="M2762" s="12"/>
      <c r="N2762" s="40">
        <f t="shared" si="126"/>
        <v>0</v>
      </c>
      <c r="O2762" s="43">
        <f>0.203*M2762</f>
        <v>0</v>
      </c>
      <c r="P2762" s="47">
        <f>0.00034*M2762</f>
        <v>0</v>
      </c>
      <c r="Q2762" s="44"/>
      <c r="R2762" s="45" t="s">
        <v>8602</v>
      </c>
      <c r="S2762" s="45" t="s">
        <v>93</v>
      </c>
      <c r="T2762" s="37" t="str">
        <f>HYPERLINK("https://kanzpp.ru/api/getInfo/image/00d0dc01-939f-11f0-a284-00155d82e908")</f>
        <v>https://kanzpp.ru/api/getInfo/image/00d0dc01-939f-11f0-a284-00155d82e908</v>
      </c>
      <c r="U2762" s="37"/>
    </row>
    <row r="2763" spans="2:22" ht="21" customHeight="1" outlineLevel="5" x14ac:dyDescent="0.2">
      <c r="B2763" s="71">
        <v>2039</v>
      </c>
      <c r="C2763" s="37" t="s">
        <v>8603</v>
      </c>
      <c r="D2763" s="37" t="s">
        <v>8604</v>
      </c>
      <c r="E2763" s="38" t="s">
        <v>8605</v>
      </c>
      <c r="F2763" s="39"/>
      <c r="G2763" s="40"/>
      <c r="H2763" s="40"/>
      <c r="I2763" s="41">
        <v>20</v>
      </c>
      <c r="J2763" s="40" t="s">
        <v>144</v>
      </c>
      <c r="K2763" s="36">
        <v>10</v>
      </c>
      <c r="L2763" s="42">
        <f>(85.9*(1-O3/100))/0.75</f>
        <v>114.53333333333335</v>
      </c>
      <c r="M2763" s="12"/>
      <c r="N2763" s="40">
        <f t="shared" si="126"/>
        <v>0</v>
      </c>
      <c r="O2763" s="43">
        <f>0.203*M2763</f>
        <v>0</v>
      </c>
      <c r="P2763" s="47">
        <f>0.00034*M2763</f>
        <v>0</v>
      </c>
      <c r="Q2763" s="44"/>
      <c r="R2763" s="45" t="s">
        <v>8606</v>
      </c>
      <c r="S2763" s="45" t="s">
        <v>93</v>
      </c>
      <c r="T2763" s="37" t="str">
        <f>HYPERLINK("https://kanzpp.ru/api/getInfo/image/7b6a4cd8-939f-11f0-a284-00155d82e908")</f>
        <v>https://kanzpp.ru/api/getInfo/image/7b6a4cd8-939f-11f0-a284-00155d82e908</v>
      </c>
      <c r="U2763" s="37"/>
    </row>
    <row r="2764" spans="2:22" ht="22.95" customHeight="1" outlineLevel="4" x14ac:dyDescent="0.2">
      <c r="B2764" s="82" t="s">
        <v>8607</v>
      </c>
      <c r="C2764" s="82"/>
      <c r="D2764" s="82"/>
      <c r="L2764">
        <v>0</v>
      </c>
    </row>
    <row r="2765" spans="2:22" ht="21" customHeight="1" outlineLevel="5" x14ac:dyDescent="0.2">
      <c r="B2765" s="69">
        <v>2040</v>
      </c>
      <c r="C2765" s="6" t="s">
        <v>8608</v>
      </c>
      <c r="D2765" s="6" t="s">
        <v>8609</v>
      </c>
      <c r="E2765" s="7" t="s">
        <v>8610</v>
      </c>
      <c r="F2765" s="13"/>
      <c r="G2765" s="14"/>
      <c r="H2765" s="14"/>
      <c r="I2765" s="15">
        <v>20</v>
      </c>
      <c r="J2765" s="14" t="s">
        <v>144</v>
      </c>
      <c r="K2765" s="5">
        <v>5</v>
      </c>
      <c r="L2765" s="16">
        <v>26.533333333333331</v>
      </c>
      <c r="M2765" s="12"/>
      <c r="N2765" s="14">
        <f t="shared" ref="N2765:N2771" si="127">L2765*M2765</f>
        <v>0</v>
      </c>
      <c r="O2765" s="23">
        <f>0.208*M2765</f>
        <v>0</v>
      </c>
      <c r="P2765" s="24">
        <f>0.00033*M2765</f>
        <v>0</v>
      </c>
      <c r="Q2765" s="25"/>
      <c r="R2765" s="26" t="s">
        <v>8611</v>
      </c>
      <c r="S2765" s="26" t="s">
        <v>93</v>
      </c>
      <c r="T2765" s="6" t="str">
        <f>HYPERLINK("https://kanzpp.ru/api/getInfo/image/b023754f-9a25-11ec-a211-ac1f6b442185")</f>
        <v>https://kanzpp.ru/api/getInfo/image/b023754f-9a25-11ec-a211-ac1f6b442185</v>
      </c>
      <c r="U2765" s="6"/>
      <c r="V2765" s="33" t="s">
        <v>35</v>
      </c>
    </row>
    <row r="2766" spans="2:22" ht="21" customHeight="1" outlineLevel="5" x14ac:dyDescent="0.2">
      <c r="B2766" s="69">
        <v>2041</v>
      </c>
      <c r="C2766" s="6" t="s">
        <v>8612</v>
      </c>
      <c r="D2766" s="6" t="s">
        <v>8613</v>
      </c>
      <c r="E2766" s="7" t="s">
        <v>8614</v>
      </c>
      <c r="F2766" s="13"/>
      <c r="G2766" s="14"/>
      <c r="H2766" s="14"/>
      <c r="I2766" s="15">
        <v>20</v>
      </c>
      <c r="J2766" s="15">
        <v>320</v>
      </c>
      <c r="K2766" s="5">
        <v>5</v>
      </c>
      <c r="L2766" s="16">
        <v>26.533333333333331</v>
      </c>
      <c r="M2766" s="12"/>
      <c r="N2766" s="14">
        <f t="shared" si="127"/>
        <v>0</v>
      </c>
      <c r="O2766" s="23">
        <f>0.211*M2766</f>
        <v>0</v>
      </c>
      <c r="P2766" s="24">
        <f>0.00029*M2766</f>
        <v>0</v>
      </c>
      <c r="Q2766" s="25"/>
      <c r="R2766" s="26" t="s">
        <v>8615</v>
      </c>
      <c r="S2766" s="26" t="s">
        <v>93</v>
      </c>
      <c r="T2766" s="6" t="str">
        <f>HYPERLINK("https://kanzpp.ru/api/getInfo/image/55d26c15-c948-11ed-a230-00155d82e902")</f>
        <v>https://kanzpp.ru/api/getInfo/image/55d26c15-c948-11ed-a230-00155d82e902</v>
      </c>
      <c r="U2766" s="6"/>
      <c r="V2766" s="33" t="s">
        <v>35</v>
      </c>
    </row>
    <row r="2767" spans="2:22" ht="21" customHeight="1" outlineLevel="5" x14ac:dyDescent="0.2">
      <c r="B2767" s="69">
        <v>2042</v>
      </c>
      <c r="C2767" s="6" t="s">
        <v>8616</v>
      </c>
      <c r="D2767" s="6" t="s">
        <v>8617</v>
      </c>
      <c r="E2767" s="7" t="s">
        <v>8618</v>
      </c>
      <c r="F2767" s="13"/>
      <c r="G2767" s="14"/>
      <c r="H2767" s="14"/>
      <c r="I2767" s="15">
        <v>20</v>
      </c>
      <c r="J2767" s="15">
        <v>284</v>
      </c>
      <c r="K2767" s="5">
        <v>5</v>
      </c>
      <c r="L2767" s="16">
        <v>26.533333333333331</v>
      </c>
      <c r="M2767" s="12"/>
      <c r="N2767" s="14">
        <f t="shared" si="127"/>
        <v>0</v>
      </c>
      <c r="O2767" s="28">
        <f>0.21*M2767</f>
        <v>0</v>
      </c>
      <c r="P2767" s="24">
        <f>0.00026*M2767</f>
        <v>0</v>
      </c>
      <c r="Q2767" s="25"/>
      <c r="R2767" s="26" t="s">
        <v>8619</v>
      </c>
      <c r="S2767" s="26" t="s">
        <v>93</v>
      </c>
      <c r="T2767" s="6" t="str">
        <f>HYPERLINK("https://kanzpp.ru/api/getInfo/image/2655624e-c948-11ed-a230-00155d82e902")</f>
        <v>https://kanzpp.ru/api/getInfo/image/2655624e-c948-11ed-a230-00155d82e902</v>
      </c>
      <c r="U2767" s="6"/>
      <c r="V2767" s="33" t="s">
        <v>35</v>
      </c>
    </row>
    <row r="2768" spans="2:22" ht="21" customHeight="1" outlineLevel="5" x14ac:dyDescent="0.2">
      <c r="B2768" s="69">
        <v>2043</v>
      </c>
      <c r="C2768" s="6" t="s">
        <v>8620</v>
      </c>
      <c r="D2768" s="6" t="s">
        <v>8621</v>
      </c>
      <c r="E2768" s="7" t="s">
        <v>8622</v>
      </c>
      <c r="F2768" s="13"/>
      <c r="G2768" s="14"/>
      <c r="H2768" s="14"/>
      <c r="I2768" s="15">
        <v>20</v>
      </c>
      <c r="J2768" s="17">
        <v>1037</v>
      </c>
      <c r="K2768" s="5">
        <v>5</v>
      </c>
      <c r="L2768" s="16">
        <v>26.533333333333331</v>
      </c>
      <c r="M2768" s="12"/>
      <c r="N2768" s="14">
        <f t="shared" si="127"/>
        <v>0</v>
      </c>
      <c r="O2768" s="23">
        <f>0.207*M2768</f>
        <v>0</v>
      </c>
      <c r="P2768" s="24">
        <f>0.01305*M2768</f>
        <v>0</v>
      </c>
      <c r="Q2768" s="25"/>
      <c r="R2768" s="26" t="s">
        <v>8623</v>
      </c>
      <c r="S2768" s="26" t="s">
        <v>93</v>
      </c>
      <c r="T2768" s="6" t="str">
        <f>HYPERLINK("https://kanzpp.ru/api/getInfo/image/77207b46-9a25-11ec-a211-ac1f6b442185")</f>
        <v>https://kanzpp.ru/api/getInfo/image/77207b46-9a25-11ec-a211-ac1f6b442185</v>
      </c>
      <c r="U2768" s="6"/>
      <c r="V2768" s="33" t="s">
        <v>35</v>
      </c>
    </row>
    <row r="2769" spans="2:22" ht="21" customHeight="1" outlineLevel="5" x14ac:dyDescent="0.2">
      <c r="B2769" s="69">
        <v>2044</v>
      </c>
      <c r="C2769" s="6" t="s">
        <v>8624</v>
      </c>
      <c r="D2769" s="6" t="s">
        <v>8621</v>
      </c>
      <c r="E2769" s="7" t="s">
        <v>8622</v>
      </c>
      <c r="F2769" s="13"/>
      <c r="G2769" s="14"/>
      <c r="H2769" s="15">
        <v>40</v>
      </c>
      <c r="I2769" s="14"/>
      <c r="J2769" s="15">
        <v>125</v>
      </c>
      <c r="K2769" s="5">
        <v>5</v>
      </c>
      <c r="L2769" s="16">
        <v>26.533333333333331</v>
      </c>
      <c r="M2769" s="12"/>
      <c r="N2769" s="14">
        <f t="shared" si="127"/>
        <v>0</v>
      </c>
      <c r="O2769" s="23">
        <f>0.218*M2769</f>
        <v>0</v>
      </c>
      <c r="P2769" s="24">
        <f>0.00044*M2769</f>
        <v>0</v>
      </c>
      <c r="Q2769" s="25"/>
      <c r="R2769" s="26"/>
      <c r="S2769" s="26" t="s">
        <v>93</v>
      </c>
      <c r="T2769" s="6" t="str">
        <f>HYPERLINK("https://kanzpp.ru/api/getInfo/image/ed1daf7d-4fb0-11ed-a21b-ac1f6b442185")</f>
        <v>https://kanzpp.ru/api/getInfo/image/ed1daf7d-4fb0-11ed-a21b-ac1f6b442185</v>
      </c>
      <c r="U2769" s="6" t="s">
        <v>8623</v>
      </c>
      <c r="V2769" s="33" t="s">
        <v>35</v>
      </c>
    </row>
    <row r="2770" spans="2:22" ht="21" customHeight="1" outlineLevel="5" x14ac:dyDescent="0.2">
      <c r="B2770" s="69">
        <v>2045</v>
      </c>
      <c r="C2770" s="6" t="s">
        <v>8625</v>
      </c>
      <c r="D2770" s="6" t="s">
        <v>8626</v>
      </c>
      <c r="E2770" s="7" t="s">
        <v>8627</v>
      </c>
      <c r="F2770" s="13"/>
      <c r="G2770" s="14"/>
      <c r="H2770" s="14"/>
      <c r="I2770" s="15">
        <v>20</v>
      </c>
      <c r="J2770" s="15">
        <v>652</v>
      </c>
      <c r="K2770" s="5">
        <v>5</v>
      </c>
      <c r="L2770" s="16">
        <v>26.533333333333331</v>
      </c>
      <c r="M2770" s="12"/>
      <c r="N2770" s="14">
        <f t="shared" si="127"/>
        <v>0</v>
      </c>
      <c r="O2770" s="23">
        <f>0.209*M2770</f>
        <v>0</v>
      </c>
      <c r="P2770" s="24">
        <f>0.01345*M2770</f>
        <v>0</v>
      </c>
      <c r="Q2770" s="25"/>
      <c r="R2770" s="26" t="s">
        <v>8628</v>
      </c>
      <c r="S2770" s="26" t="s">
        <v>93</v>
      </c>
      <c r="T2770" s="6" t="str">
        <f>HYPERLINK("https://kanzpp.ru/api/getInfo/image/0e6810c9-9a26-11ec-a211-ac1f6b442185")</f>
        <v>https://kanzpp.ru/api/getInfo/image/0e6810c9-9a26-11ec-a211-ac1f6b442185</v>
      </c>
      <c r="U2770" s="6"/>
      <c r="V2770" s="33" t="s">
        <v>35</v>
      </c>
    </row>
    <row r="2771" spans="2:22" ht="21" customHeight="1" outlineLevel="5" x14ac:dyDescent="0.2">
      <c r="B2771" s="69">
        <v>2046</v>
      </c>
      <c r="C2771" s="6" t="s">
        <v>8629</v>
      </c>
      <c r="D2771" s="6" t="s">
        <v>134</v>
      </c>
      <c r="E2771" s="7" t="s">
        <v>135</v>
      </c>
      <c r="F2771" s="13"/>
      <c r="G2771" s="14"/>
      <c r="H2771" s="14"/>
      <c r="I2771" s="15">
        <v>20</v>
      </c>
      <c r="J2771" s="15">
        <v>421</v>
      </c>
      <c r="K2771" s="5">
        <v>5</v>
      </c>
      <c r="L2771" s="16">
        <v>26.533333333333331</v>
      </c>
      <c r="M2771" s="12"/>
      <c r="N2771" s="14">
        <f t="shared" si="127"/>
        <v>0</v>
      </c>
      <c r="O2771" s="28">
        <f>0.21*M2771</f>
        <v>0</v>
      </c>
      <c r="P2771" s="24">
        <f>0.02419*M2771</f>
        <v>0</v>
      </c>
      <c r="Q2771" s="25"/>
      <c r="R2771" s="26" t="s">
        <v>136</v>
      </c>
      <c r="S2771" s="26" t="s">
        <v>93</v>
      </c>
      <c r="T2771" s="6" t="str">
        <f>HYPERLINK("https://kanzpp.ru/api/getInfo/image/e449c3db-9a25-11ec-a211-ac1f6b442185")</f>
        <v>https://kanzpp.ru/api/getInfo/image/e449c3db-9a25-11ec-a211-ac1f6b442185</v>
      </c>
      <c r="U2771" s="6"/>
      <c r="V2771" s="33" t="s">
        <v>35</v>
      </c>
    </row>
    <row r="2772" spans="2:22" ht="22.95" customHeight="1" outlineLevel="4" x14ac:dyDescent="0.2">
      <c r="B2772" s="82" t="s">
        <v>8630</v>
      </c>
      <c r="C2772" s="82"/>
      <c r="D2772" s="82"/>
      <c r="L2772">
        <v>0</v>
      </c>
    </row>
    <row r="2773" spans="2:22" ht="21" customHeight="1" outlineLevel="5" x14ac:dyDescent="0.2">
      <c r="B2773" s="72">
        <v>2047</v>
      </c>
      <c r="C2773" s="56" t="s">
        <v>8631</v>
      </c>
      <c r="D2773" s="56" t="s">
        <v>8632</v>
      </c>
      <c r="E2773" s="57" t="s">
        <v>8633</v>
      </c>
      <c r="F2773" s="58"/>
      <c r="G2773" s="59"/>
      <c r="H2773" s="60">
        <v>20</v>
      </c>
      <c r="I2773" s="59"/>
      <c r="J2773" s="60">
        <v>22</v>
      </c>
      <c r="K2773" s="55">
        <v>4</v>
      </c>
      <c r="L2773" s="61">
        <f>(172*(1-O3/100))/0.75</f>
        <v>229.33333333333334</v>
      </c>
      <c r="M2773" s="12"/>
      <c r="N2773" s="59">
        <f>L2773*M2773</f>
        <v>0</v>
      </c>
      <c r="O2773" s="62">
        <f>0.246*M2773</f>
        <v>0</v>
      </c>
      <c r="P2773" s="63">
        <f>0.00036*M2773</f>
        <v>0</v>
      </c>
      <c r="Q2773" s="64" t="s">
        <v>344</v>
      </c>
      <c r="R2773" s="65" t="s">
        <v>8634</v>
      </c>
      <c r="S2773" s="65" t="s">
        <v>93</v>
      </c>
      <c r="T2773" s="56" t="str">
        <f>HYPERLINK("https://kanzpp.ru/api/getInfo/image/99772339-2806-11f1-a291-00155d82e908")</f>
        <v>https://kanzpp.ru/api/getInfo/image/99772339-2806-11f1-a291-00155d82e908</v>
      </c>
      <c r="U2773" s="56"/>
      <c r="V2773" s="66"/>
    </row>
    <row r="2774" spans="2:22" ht="21" customHeight="1" outlineLevel="5" x14ac:dyDescent="0.2">
      <c r="B2774" s="72">
        <v>2048</v>
      </c>
      <c r="C2774" s="56" t="s">
        <v>8635</v>
      </c>
      <c r="D2774" s="56" t="s">
        <v>8636</v>
      </c>
      <c r="E2774" s="57" t="s">
        <v>8637</v>
      </c>
      <c r="F2774" s="58"/>
      <c r="G2774" s="59"/>
      <c r="H2774" s="60">
        <v>20</v>
      </c>
      <c r="I2774" s="59"/>
      <c r="J2774" s="59" t="s">
        <v>144</v>
      </c>
      <c r="K2774" s="55">
        <v>4</v>
      </c>
      <c r="L2774" s="61">
        <f>(172*(1-O3/100))/0.75</f>
        <v>229.33333333333334</v>
      </c>
      <c r="M2774" s="12"/>
      <c r="N2774" s="59">
        <f>L2774*M2774</f>
        <v>0</v>
      </c>
      <c r="O2774" s="62">
        <f>0.243*M2774</f>
        <v>0</v>
      </c>
      <c r="P2774" s="63">
        <f>0.00039*M2774</f>
        <v>0</v>
      </c>
      <c r="Q2774" s="64" t="s">
        <v>344</v>
      </c>
      <c r="R2774" s="65" t="s">
        <v>8638</v>
      </c>
      <c r="S2774" s="65" t="s">
        <v>93</v>
      </c>
      <c r="T2774" s="56" t="str">
        <f>HYPERLINK("https://kanzpp.ru/api/getInfo/image/d743f351-2807-11f1-a291-00155d82e908")</f>
        <v>https://kanzpp.ru/api/getInfo/image/d743f351-2807-11f1-a291-00155d82e908</v>
      </c>
      <c r="U2774" s="56"/>
      <c r="V2774" s="66"/>
    </row>
    <row r="2775" spans="2:22" ht="21" customHeight="1" outlineLevel="5" x14ac:dyDescent="0.2">
      <c r="B2775" s="72">
        <v>2049</v>
      </c>
      <c r="C2775" s="56" t="s">
        <v>8639</v>
      </c>
      <c r="D2775" s="56" t="s">
        <v>8640</v>
      </c>
      <c r="E2775" s="57" t="s">
        <v>8641</v>
      </c>
      <c r="F2775" s="58"/>
      <c r="G2775" s="59"/>
      <c r="H2775" s="60">
        <v>20</v>
      </c>
      <c r="I2775" s="59"/>
      <c r="J2775" s="67">
        <v>1000</v>
      </c>
      <c r="K2775" s="55">
        <v>4</v>
      </c>
      <c r="L2775" s="61">
        <f>(172*(1-O3/100))/0.75</f>
        <v>229.33333333333334</v>
      </c>
      <c r="M2775" s="12"/>
      <c r="N2775" s="59">
        <f>L2775*M2775</f>
        <v>0</v>
      </c>
      <c r="O2775" s="62">
        <f>0.238*M2775</f>
        <v>0</v>
      </c>
      <c r="P2775" s="63">
        <f>0.00027*M2775</f>
        <v>0</v>
      </c>
      <c r="Q2775" s="64" t="s">
        <v>344</v>
      </c>
      <c r="R2775" s="65" t="s">
        <v>8642</v>
      </c>
      <c r="S2775" s="65" t="s">
        <v>93</v>
      </c>
      <c r="T2775" s="56" t="str">
        <f>HYPERLINK("https://kanzpp.ru/api/getInfo/image/164f67a5-2806-11f1-a291-00155d82e908")</f>
        <v>https://kanzpp.ru/api/getInfo/image/164f67a5-2806-11f1-a291-00155d82e908</v>
      </c>
      <c r="U2775" s="56"/>
      <c r="V2775" s="66"/>
    </row>
    <row r="2776" spans="2:22" ht="21" customHeight="1" outlineLevel="5" x14ac:dyDescent="0.2">
      <c r="B2776" s="72">
        <v>2050</v>
      </c>
      <c r="C2776" s="56" t="s">
        <v>8643</v>
      </c>
      <c r="D2776" s="56" t="s">
        <v>8644</v>
      </c>
      <c r="E2776" s="57" t="s">
        <v>8645</v>
      </c>
      <c r="F2776" s="58"/>
      <c r="G2776" s="59"/>
      <c r="H2776" s="60">
        <v>20</v>
      </c>
      <c r="I2776" s="59"/>
      <c r="J2776" s="60">
        <v>5</v>
      </c>
      <c r="K2776" s="55">
        <v>4</v>
      </c>
      <c r="L2776" s="61">
        <f>(172*(1-O3/100))/0.75</f>
        <v>229.33333333333334</v>
      </c>
      <c r="M2776" s="12"/>
      <c r="N2776" s="59">
        <f>L2776*M2776</f>
        <v>0</v>
      </c>
      <c r="O2776" s="73">
        <f>0.24*M2776</f>
        <v>0</v>
      </c>
      <c r="P2776" s="68">
        <f>0.0003*M2776</f>
        <v>0</v>
      </c>
      <c r="Q2776" s="64" t="s">
        <v>344</v>
      </c>
      <c r="R2776" s="65" t="s">
        <v>8646</v>
      </c>
      <c r="S2776" s="65" t="s">
        <v>93</v>
      </c>
      <c r="T2776" s="56" t="str">
        <f>HYPERLINK("https://kanzpp.ru/api/getInfo/image/f54d8fa4-2805-11f1-a291-00155d82e908")</f>
        <v>https://kanzpp.ru/api/getInfo/image/f54d8fa4-2805-11f1-a291-00155d82e908</v>
      </c>
      <c r="U2776" s="56"/>
      <c r="V2776" s="66"/>
    </row>
    <row r="2777" spans="2:22" ht="22.95" customHeight="1" outlineLevel="4" x14ac:dyDescent="0.2">
      <c r="B2777" s="82" t="s">
        <v>8647</v>
      </c>
      <c r="C2777" s="82"/>
      <c r="D2777" s="82"/>
      <c r="L2777">
        <v>0</v>
      </c>
    </row>
    <row r="2778" spans="2:22" ht="21" customHeight="1" outlineLevel="5" x14ac:dyDescent="0.2">
      <c r="B2778" s="71">
        <v>2051</v>
      </c>
      <c r="C2778" s="37" t="s">
        <v>8648</v>
      </c>
      <c r="D2778" s="37" t="s">
        <v>8649</v>
      </c>
      <c r="E2778" s="38" t="s">
        <v>8650</v>
      </c>
      <c r="F2778" s="39"/>
      <c r="G2778" s="40"/>
      <c r="H2778" s="40"/>
      <c r="I2778" s="41">
        <v>14</v>
      </c>
      <c r="J2778" s="41">
        <v>17</v>
      </c>
      <c r="K2778" s="36">
        <v>4</v>
      </c>
      <c r="L2778" s="42">
        <f>(149.31*(1-O3/100))/0.75</f>
        <v>199.08</v>
      </c>
      <c r="M2778" s="12"/>
      <c r="N2778" s="40">
        <f>L2778*M2778</f>
        <v>0</v>
      </c>
      <c r="O2778" s="43">
        <f>0.198*M2778</f>
        <v>0</v>
      </c>
      <c r="P2778" s="47">
        <f>0.00027*M2778</f>
        <v>0</v>
      </c>
      <c r="Q2778" s="44"/>
      <c r="R2778" s="45" t="s">
        <v>8651</v>
      </c>
      <c r="S2778" s="45" t="s">
        <v>93</v>
      </c>
      <c r="T2778" s="37" t="str">
        <f>HYPERLINK("https://kanzpp.ru/api/getInfo/image/70ed5cce-4dba-11f0-a27e-00155d82e908")</f>
        <v>https://kanzpp.ru/api/getInfo/image/70ed5cce-4dba-11f0-a27e-00155d82e908</v>
      </c>
      <c r="U2778" s="37"/>
    </row>
    <row r="2779" spans="2:22" ht="21" customHeight="1" outlineLevel="5" x14ac:dyDescent="0.2">
      <c r="B2779" s="71">
        <v>2052</v>
      </c>
      <c r="C2779" s="37" t="s">
        <v>8652</v>
      </c>
      <c r="D2779" s="37" t="s">
        <v>8653</v>
      </c>
      <c r="E2779" s="38" t="s">
        <v>8654</v>
      </c>
      <c r="F2779" s="39"/>
      <c r="G2779" s="40"/>
      <c r="H2779" s="40"/>
      <c r="I2779" s="41">
        <v>14</v>
      </c>
      <c r="J2779" s="41">
        <v>118</v>
      </c>
      <c r="K2779" s="36">
        <v>4</v>
      </c>
      <c r="L2779" s="42">
        <f>(149.31*(1-O3/100))/0.75</f>
        <v>199.08</v>
      </c>
      <c r="M2779" s="12"/>
      <c r="N2779" s="40">
        <f>L2779*M2779</f>
        <v>0</v>
      </c>
      <c r="O2779" s="43">
        <f>0.341*M2779</f>
        <v>0</v>
      </c>
      <c r="P2779" s="47">
        <f>0.00053*M2779</f>
        <v>0</v>
      </c>
      <c r="Q2779" s="44"/>
      <c r="R2779" s="45" t="s">
        <v>8655</v>
      </c>
      <c r="S2779" s="45" t="s">
        <v>93</v>
      </c>
      <c r="T2779" s="37" t="str">
        <f>HYPERLINK("https://kanzpp.ru/api/getInfo/image/0c4b0ef6-4db8-11f0-a27e-00155d82e908")</f>
        <v>https://kanzpp.ru/api/getInfo/image/0c4b0ef6-4db8-11f0-a27e-00155d82e908</v>
      </c>
      <c r="U2779" s="37"/>
    </row>
    <row r="2780" spans="2:22" ht="21" customHeight="1" outlineLevel="5" x14ac:dyDescent="0.2">
      <c r="B2780" s="71">
        <v>2053</v>
      </c>
      <c r="C2780" s="37" t="s">
        <v>8656</v>
      </c>
      <c r="D2780" s="37" t="s">
        <v>8657</v>
      </c>
      <c r="E2780" s="38" t="s">
        <v>8658</v>
      </c>
      <c r="F2780" s="39"/>
      <c r="G2780" s="40"/>
      <c r="H2780" s="40"/>
      <c r="I2780" s="41">
        <v>14</v>
      </c>
      <c r="J2780" s="41">
        <v>761</v>
      </c>
      <c r="K2780" s="36">
        <v>4</v>
      </c>
      <c r="L2780" s="42">
        <f>(149.31*(1-O3/100))/0.75</f>
        <v>199.08</v>
      </c>
      <c r="M2780" s="12"/>
      <c r="N2780" s="40">
        <f>L2780*M2780</f>
        <v>0</v>
      </c>
      <c r="O2780" s="43">
        <f>0.334*M2780</f>
        <v>0</v>
      </c>
      <c r="P2780" s="47">
        <f>0.00047*M2780</f>
        <v>0</v>
      </c>
      <c r="Q2780" s="44"/>
      <c r="R2780" s="45" t="s">
        <v>8659</v>
      </c>
      <c r="S2780" s="45" t="s">
        <v>93</v>
      </c>
      <c r="T2780" s="37" t="str">
        <f>HYPERLINK("https://kanzpp.ru/api/getInfo/image/08602e4d-4dba-11f0-a27e-00155d82e908")</f>
        <v>https://kanzpp.ru/api/getInfo/image/08602e4d-4dba-11f0-a27e-00155d82e908</v>
      </c>
      <c r="U2780" s="37"/>
    </row>
    <row r="2781" spans="2:22" ht="21" customHeight="1" outlineLevel="5" x14ac:dyDescent="0.2">
      <c r="B2781" s="71">
        <v>2054</v>
      </c>
      <c r="C2781" s="37" t="s">
        <v>8660</v>
      </c>
      <c r="D2781" s="37" t="s">
        <v>8661</v>
      </c>
      <c r="E2781" s="38" t="s">
        <v>8662</v>
      </c>
      <c r="F2781" s="39"/>
      <c r="G2781" s="40"/>
      <c r="H2781" s="41">
        <v>30</v>
      </c>
      <c r="I2781" s="41">
        <v>1</v>
      </c>
      <c r="J2781" s="41">
        <v>1</v>
      </c>
      <c r="K2781" s="36">
        <v>1</v>
      </c>
      <c r="L2781" s="42">
        <f>(170.02*(1-O3/100))/0.75</f>
        <v>226.69333333333336</v>
      </c>
      <c r="M2781" s="12"/>
      <c r="N2781" s="40">
        <f>L2781*M2781</f>
        <v>0</v>
      </c>
      <c r="O2781" s="43">
        <f>0.288*M2781</f>
        <v>0</v>
      </c>
      <c r="P2781" s="47">
        <f>0.00048*M2781</f>
        <v>0</v>
      </c>
      <c r="Q2781" s="44"/>
      <c r="R2781" s="45" t="s">
        <v>8663</v>
      </c>
      <c r="S2781" s="45" t="s">
        <v>93</v>
      </c>
      <c r="T2781" s="37" t="str">
        <f>HYPERLINK("https://kanzpp.ru/api/getInfo/image/6cdbb373-025a-11f1-a28e-00155d82e908")</f>
        <v>https://kanzpp.ru/api/getInfo/image/6cdbb373-025a-11f1-a28e-00155d82e908</v>
      </c>
      <c r="U2781" s="37"/>
    </row>
    <row r="2782" spans="2:22" ht="22.95" customHeight="1" outlineLevel="4" x14ac:dyDescent="0.2">
      <c r="B2782" s="82" t="s">
        <v>8664</v>
      </c>
      <c r="C2782" s="82"/>
      <c r="D2782" s="82"/>
      <c r="L2782">
        <v>0</v>
      </c>
    </row>
    <row r="2783" spans="2:22" ht="21" customHeight="1" outlineLevel="5" x14ac:dyDescent="0.2">
      <c r="B2783" s="69">
        <v>2055</v>
      </c>
      <c r="C2783" s="6" t="s">
        <v>8665</v>
      </c>
      <c r="D2783" s="6" t="s">
        <v>8666</v>
      </c>
      <c r="E2783" s="7" t="s">
        <v>8667</v>
      </c>
      <c r="F2783" s="13"/>
      <c r="G2783" s="14"/>
      <c r="H2783" s="14"/>
      <c r="I2783" s="15">
        <v>12</v>
      </c>
      <c r="J2783" s="15">
        <v>114</v>
      </c>
      <c r="K2783" s="5">
        <v>4</v>
      </c>
      <c r="L2783" s="16">
        <v>132</v>
      </c>
      <c r="M2783" s="12"/>
      <c r="N2783" s="14">
        <f t="shared" ref="N2783:N2788" si="128">L2783*M2783</f>
        <v>0</v>
      </c>
      <c r="O2783" s="23">
        <f>0.327*M2783</f>
        <v>0</v>
      </c>
      <c r="P2783" s="31">
        <f>0.0004*M2783</f>
        <v>0</v>
      </c>
      <c r="Q2783" s="25"/>
      <c r="R2783" s="26" t="s">
        <v>8668</v>
      </c>
      <c r="S2783" s="26" t="s">
        <v>93</v>
      </c>
      <c r="T2783" s="6" t="str">
        <f>HYPERLINK("https://kanzpp.ru/api/getInfo/image/85d3f14a-1f20-11ef-a25f-00155d82e908")</f>
        <v>https://kanzpp.ru/api/getInfo/image/85d3f14a-1f20-11ef-a25f-00155d82e908</v>
      </c>
      <c r="U2783" s="6"/>
      <c r="V2783" s="33" t="s">
        <v>35</v>
      </c>
    </row>
    <row r="2784" spans="2:22" ht="21" customHeight="1" outlineLevel="5" x14ac:dyDescent="0.2">
      <c r="B2784" s="69">
        <v>2056</v>
      </c>
      <c r="C2784" s="6" t="s">
        <v>8669</v>
      </c>
      <c r="D2784" s="6" t="s">
        <v>8670</v>
      </c>
      <c r="E2784" s="7" t="s">
        <v>8671</v>
      </c>
      <c r="F2784" s="13"/>
      <c r="G2784" s="14"/>
      <c r="H2784" s="14"/>
      <c r="I2784" s="15">
        <v>12</v>
      </c>
      <c r="J2784" s="15">
        <v>48</v>
      </c>
      <c r="K2784" s="5">
        <v>4</v>
      </c>
      <c r="L2784" s="16">
        <v>132</v>
      </c>
      <c r="M2784" s="12"/>
      <c r="N2784" s="14">
        <f t="shared" si="128"/>
        <v>0</v>
      </c>
      <c r="O2784" s="23">
        <f>0.327*M2784</f>
        <v>0</v>
      </c>
      <c r="P2784" s="31">
        <f>0.0004*M2784</f>
        <v>0</v>
      </c>
      <c r="Q2784" s="25"/>
      <c r="R2784" s="26" t="s">
        <v>8672</v>
      </c>
      <c r="S2784" s="26" t="s">
        <v>93</v>
      </c>
      <c r="T2784" s="6" t="str">
        <f>HYPERLINK("https://kanzpp.ru/api/getInfo/image/0c49cae9-b795-11ef-a267-00155d82e908")</f>
        <v>https://kanzpp.ru/api/getInfo/image/0c49cae9-b795-11ef-a267-00155d82e908</v>
      </c>
      <c r="U2784" s="6"/>
      <c r="V2784" s="33" t="s">
        <v>35</v>
      </c>
    </row>
    <row r="2785" spans="2:22" ht="21" customHeight="1" outlineLevel="5" x14ac:dyDescent="0.2">
      <c r="B2785" s="71">
        <v>2057</v>
      </c>
      <c r="C2785" s="37" t="s">
        <v>8673</v>
      </c>
      <c r="D2785" s="37" t="s">
        <v>8674</v>
      </c>
      <c r="E2785" s="38" t="s">
        <v>8675</v>
      </c>
      <c r="F2785" s="39"/>
      <c r="G2785" s="40"/>
      <c r="H2785" s="40"/>
      <c r="I2785" s="41">
        <v>12</v>
      </c>
      <c r="J2785" s="41">
        <v>799</v>
      </c>
      <c r="K2785" s="36">
        <v>4</v>
      </c>
      <c r="L2785" s="42">
        <f>(150.23*(1-O3/100))/0.75</f>
        <v>200.30666666666664</v>
      </c>
      <c r="M2785" s="12"/>
      <c r="N2785" s="40">
        <f t="shared" si="128"/>
        <v>0</v>
      </c>
      <c r="O2785" s="43">
        <f>0.325*M2785</f>
        <v>0</v>
      </c>
      <c r="P2785" s="47">
        <f>0.00058*M2785</f>
        <v>0</v>
      </c>
      <c r="Q2785" s="44"/>
      <c r="R2785" s="45" t="s">
        <v>8676</v>
      </c>
      <c r="S2785" s="45" t="s">
        <v>93</v>
      </c>
      <c r="T2785" s="37" t="str">
        <f>HYPERLINK("https://kanzpp.ru/api/getInfo/image/1e52ef3b-93a1-11f0-a284-00155d82e908")</f>
        <v>https://kanzpp.ru/api/getInfo/image/1e52ef3b-93a1-11f0-a284-00155d82e908</v>
      </c>
      <c r="U2785" s="37"/>
    </row>
    <row r="2786" spans="2:22" ht="21" customHeight="1" outlineLevel="5" x14ac:dyDescent="0.2">
      <c r="B2786" s="69">
        <v>2058</v>
      </c>
      <c r="C2786" s="6" t="s">
        <v>8677</v>
      </c>
      <c r="D2786" s="6" t="s">
        <v>8678</v>
      </c>
      <c r="E2786" s="7" t="s">
        <v>8679</v>
      </c>
      <c r="F2786" s="13"/>
      <c r="G2786" s="14"/>
      <c r="H2786" s="14"/>
      <c r="I2786" s="15">
        <v>12</v>
      </c>
      <c r="J2786" s="15">
        <v>9</v>
      </c>
      <c r="K2786" s="5">
        <v>4</v>
      </c>
      <c r="L2786" s="16">
        <v>132</v>
      </c>
      <c r="M2786" s="12"/>
      <c r="N2786" s="14">
        <f t="shared" si="128"/>
        <v>0</v>
      </c>
      <c r="O2786" s="23">
        <f>0.324*M2786</f>
        <v>0</v>
      </c>
      <c r="P2786" s="24">
        <f>0.00024*M2786</f>
        <v>0</v>
      </c>
      <c r="Q2786" s="25"/>
      <c r="R2786" s="26" t="s">
        <v>8680</v>
      </c>
      <c r="S2786" s="26" t="s">
        <v>93</v>
      </c>
      <c r="T2786" s="6" t="str">
        <f>HYPERLINK("https://kanzpp.ru/api/getInfo/image/cb92a190-06c6-11ee-a23b-00155d82e902")</f>
        <v>https://kanzpp.ru/api/getInfo/image/cb92a190-06c6-11ee-a23b-00155d82e902</v>
      </c>
      <c r="U2786" s="6"/>
      <c r="V2786" s="33" t="s">
        <v>35</v>
      </c>
    </row>
    <row r="2787" spans="2:22" ht="21" customHeight="1" outlineLevel="5" x14ac:dyDescent="0.2">
      <c r="B2787" s="69">
        <v>2059</v>
      </c>
      <c r="C2787" s="6" t="s">
        <v>8681</v>
      </c>
      <c r="D2787" s="6" t="s">
        <v>8682</v>
      </c>
      <c r="E2787" s="7" t="s">
        <v>8683</v>
      </c>
      <c r="F2787" s="13"/>
      <c r="G2787" s="14"/>
      <c r="H2787" s="14"/>
      <c r="I2787" s="15">
        <v>12</v>
      </c>
      <c r="J2787" s="15">
        <v>136</v>
      </c>
      <c r="K2787" s="5">
        <v>4</v>
      </c>
      <c r="L2787" s="16">
        <v>132</v>
      </c>
      <c r="M2787" s="12"/>
      <c r="N2787" s="14">
        <f t="shared" si="128"/>
        <v>0</v>
      </c>
      <c r="O2787" s="23">
        <f>0.327*M2787</f>
        <v>0</v>
      </c>
      <c r="P2787" s="31">
        <f>0.0004*M2787</f>
        <v>0</v>
      </c>
      <c r="Q2787" s="25"/>
      <c r="R2787" s="26" t="s">
        <v>8684</v>
      </c>
      <c r="S2787" s="26" t="s">
        <v>93</v>
      </c>
      <c r="T2787" s="6" t="str">
        <f>HYPERLINK("https://kanzpp.ru/api/getInfo/image/ab14be2b-1f20-11ef-a25f-00155d82e908")</f>
        <v>https://kanzpp.ru/api/getInfo/image/ab14be2b-1f20-11ef-a25f-00155d82e908</v>
      </c>
      <c r="U2787" s="6"/>
      <c r="V2787" s="33" t="s">
        <v>35</v>
      </c>
    </row>
    <row r="2788" spans="2:22" ht="21" customHeight="1" outlineLevel="5" x14ac:dyDescent="0.2">
      <c r="B2788" s="71">
        <v>2060</v>
      </c>
      <c r="C2788" s="37" t="s">
        <v>8685</v>
      </c>
      <c r="D2788" s="37" t="s">
        <v>8686</v>
      </c>
      <c r="E2788" s="38" t="s">
        <v>8687</v>
      </c>
      <c r="F2788" s="39"/>
      <c r="G2788" s="40"/>
      <c r="H2788" s="40"/>
      <c r="I2788" s="41">
        <v>12</v>
      </c>
      <c r="J2788" s="50">
        <v>1348</v>
      </c>
      <c r="K2788" s="36">
        <v>4</v>
      </c>
      <c r="L2788" s="42">
        <f>(150.23*(1-O3/100))/0.75</f>
        <v>200.30666666666664</v>
      </c>
      <c r="M2788" s="12"/>
      <c r="N2788" s="40">
        <f t="shared" si="128"/>
        <v>0</v>
      </c>
      <c r="O2788" s="43">
        <f>0.328*M2788</f>
        <v>0</v>
      </c>
      <c r="P2788" s="47">
        <f>0.00058*M2788</f>
        <v>0</v>
      </c>
      <c r="Q2788" s="44"/>
      <c r="R2788" s="45" t="s">
        <v>8688</v>
      </c>
      <c r="S2788" s="45" t="s">
        <v>93</v>
      </c>
      <c r="T2788" s="37" t="str">
        <f>HYPERLINK("https://kanzpp.ru/api/getInfo/image/add6843e-93a0-11f0-a284-00155d82e908")</f>
        <v>https://kanzpp.ru/api/getInfo/image/add6843e-93a0-11f0-a284-00155d82e908</v>
      </c>
      <c r="U2788" s="37"/>
    </row>
    <row r="2789" spans="2:22" ht="22.95" customHeight="1" outlineLevel="4" x14ac:dyDescent="0.2">
      <c r="B2789" s="82" t="s">
        <v>8689</v>
      </c>
      <c r="C2789" s="82"/>
      <c r="D2789" s="82"/>
      <c r="L2789">
        <v>0</v>
      </c>
    </row>
    <row r="2790" spans="2:22" ht="21" customHeight="1" outlineLevel="5" x14ac:dyDescent="0.2">
      <c r="B2790" s="69">
        <v>2061</v>
      </c>
      <c r="C2790" s="6" t="s">
        <v>8690</v>
      </c>
      <c r="D2790" s="6" t="s">
        <v>8691</v>
      </c>
      <c r="E2790" s="7" t="s">
        <v>8692</v>
      </c>
      <c r="F2790" s="13"/>
      <c r="G2790" s="14"/>
      <c r="H2790" s="14"/>
      <c r="I2790" s="15">
        <v>12</v>
      </c>
      <c r="J2790" s="17">
        <v>1055</v>
      </c>
      <c r="K2790" s="5">
        <v>4</v>
      </c>
      <c r="L2790" s="16">
        <v>132</v>
      </c>
      <c r="M2790" s="12"/>
      <c r="N2790" s="14">
        <f>L2790*M2790</f>
        <v>0</v>
      </c>
      <c r="O2790" s="23">
        <f>0.323*M2790</f>
        <v>0</v>
      </c>
      <c r="P2790" s="24">
        <f>0.00044*M2790</f>
        <v>0</v>
      </c>
      <c r="Q2790" s="25"/>
      <c r="R2790" s="26" t="s">
        <v>8693</v>
      </c>
      <c r="S2790" s="26" t="s">
        <v>93</v>
      </c>
      <c r="T2790" s="6" t="str">
        <f>HYPERLINK("https://kanzpp.ru/api/getInfo/image/38455856-1f26-11ef-a25f-00155d82e908")</f>
        <v>https://kanzpp.ru/api/getInfo/image/38455856-1f26-11ef-a25f-00155d82e908</v>
      </c>
      <c r="U2790" s="6"/>
      <c r="V2790" s="33" t="s">
        <v>35</v>
      </c>
    </row>
    <row r="2791" spans="2:22" ht="21" customHeight="1" outlineLevel="5" x14ac:dyDescent="0.2">
      <c r="B2791" s="71">
        <v>2062</v>
      </c>
      <c r="C2791" s="37" t="s">
        <v>8694</v>
      </c>
      <c r="D2791" s="37" t="s">
        <v>8695</v>
      </c>
      <c r="E2791" s="38" t="s">
        <v>8696</v>
      </c>
      <c r="F2791" s="39"/>
      <c r="G2791" s="40"/>
      <c r="H2791" s="40"/>
      <c r="I2791" s="41">
        <v>12</v>
      </c>
      <c r="J2791" s="41">
        <v>574</v>
      </c>
      <c r="K2791" s="36">
        <v>4</v>
      </c>
      <c r="L2791" s="42">
        <f>(153.9*(1-O3/100))/0.75</f>
        <v>205.20000000000002</v>
      </c>
      <c r="M2791" s="12"/>
      <c r="N2791" s="40">
        <f>L2791*M2791</f>
        <v>0</v>
      </c>
      <c r="O2791" s="43">
        <f>0.309*M2791</f>
        <v>0</v>
      </c>
      <c r="P2791" s="47">
        <f>0.00049*M2791</f>
        <v>0</v>
      </c>
      <c r="Q2791" s="44"/>
      <c r="R2791" s="45" t="s">
        <v>8697</v>
      </c>
      <c r="S2791" s="45" t="s">
        <v>93</v>
      </c>
      <c r="T2791" s="37" t="str">
        <f>HYPERLINK("https://kanzpp.ru/api/getInfo/image/d8e16a55-93a1-11f0-a284-00155d82e908")</f>
        <v>https://kanzpp.ru/api/getInfo/image/d8e16a55-93a1-11f0-a284-00155d82e908</v>
      </c>
      <c r="U2791" s="37"/>
    </row>
    <row r="2792" spans="2:22" ht="21" customHeight="1" outlineLevel="5" x14ac:dyDescent="0.2">
      <c r="B2792" s="69">
        <v>2063</v>
      </c>
      <c r="C2792" s="6" t="s">
        <v>8698</v>
      </c>
      <c r="D2792" s="6" t="s">
        <v>8699</v>
      </c>
      <c r="E2792" s="7" t="s">
        <v>8700</v>
      </c>
      <c r="F2792" s="13"/>
      <c r="G2792" s="14"/>
      <c r="H2792" s="14"/>
      <c r="I2792" s="15">
        <v>12</v>
      </c>
      <c r="J2792" s="15">
        <v>378</v>
      </c>
      <c r="K2792" s="5">
        <v>4</v>
      </c>
      <c r="L2792" s="16">
        <v>132</v>
      </c>
      <c r="M2792" s="12"/>
      <c r="N2792" s="14">
        <f>L2792*M2792</f>
        <v>0</v>
      </c>
      <c r="O2792" s="23">
        <f>0.322*M2792</f>
        <v>0</v>
      </c>
      <c r="P2792" s="24">
        <f>0.00046*M2792</f>
        <v>0</v>
      </c>
      <c r="Q2792" s="25"/>
      <c r="R2792" s="26" t="s">
        <v>8701</v>
      </c>
      <c r="S2792" s="26" t="s">
        <v>93</v>
      </c>
      <c r="T2792" s="6" t="str">
        <f>HYPERLINK("https://kanzpp.ru/api/getInfo/image/c55ab08c-1f25-11ef-a25f-00155d82e908")</f>
        <v>https://kanzpp.ru/api/getInfo/image/c55ab08c-1f25-11ef-a25f-00155d82e908</v>
      </c>
      <c r="U2792" s="6"/>
      <c r="V2792" s="33" t="s">
        <v>35</v>
      </c>
    </row>
    <row r="2793" spans="2:22" ht="21" customHeight="1" outlineLevel="5" x14ac:dyDescent="0.2">
      <c r="B2793" s="71">
        <v>2064</v>
      </c>
      <c r="C2793" s="37" t="s">
        <v>8702</v>
      </c>
      <c r="D2793" s="37" t="s">
        <v>8703</v>
      </c>
      <c r="E2793" s="38" t="s">
        <v>8704</v>
      </c>
      <c r="F2793" s="39"/>
      <c r="G2793" s="40"/>
      <c r="H2793" s="40"/>
      <c r="I2793" s="41">
        <v>12</v>
      </c>
      <c r="J2793" s="41">
        <v>380</v>
      </c>
      <c r="K2793" s="36">
        <v>4</v>
      </c>
      <c r="L2793" s="42">
        <f>(153.9*(1-O3/100))/0.75</f>
        <v>205.20000000000002</v>
      </c>
      <c r="M2793" s="12"/>
      <c r="N2793" s="40">
        <f>L2793*M2793</f>
        <v>0</v>
      </c>
      <c r="O2793" s="43">
        <f>0.308*M2793</f>
        <v>0</v>
      </c>
      <c r="P2793" s="47">
        <f>0.00051*M2793</f>
        <v>0</v>
      </c>
      <c r="Q2793" s="44"/>
      <c r="R2793" s="45" t="s">
        <v>8705</v>
      </c>
      <c r="S2793" s="45" t="s">
        <v>93</v>
      </c>
      <c r="T2793" s="37" t="str">
        <f>HYPERLINK("https://kanzpp.ru/api/getInfo/image/a3be1e0a-93a1-11f0-a284-00155d82e908")</f>
        <v>https://kanzpp.ru/api/getInfo/image/a3be1e0a-93a1-11f0-a284-00155d82e908</v>
      </c>
      <c r="U2793" s="37"/>
    </row>
    <row r="2794" spans="2:22" ht="21" customHeight="1" outlineLevel="5" x14ac:dyDescent="0.2">
      <c r="B2794" s="71">
        <v>2065</v>
      </c>
      <c r="C2794" s="37" t="s">
        <v>8706</v>
      </c>
      <c r="D2794" s="37" t="s">
        <v>8707</v>
      </c>
      <c r="E2794" s="38" t="s">
        <v>8708</v>
      </c>
      <c r="F2794" s="39"/>
      <c r="G2794" s="40"/>
      <c r="H2794" s="40"/>
      <c r="I2794" s="41">
        <v>12</v>
      </c>
      <c r="J2794" s="41">
        <v>772</v>
      </c>
      <c r="K2794" s="36">
        <v>4</v>
      </c>
      <c r="L2794" s="42">
        <f>(153.9*(1-O3/100))/0.75</f>
        <v>205.20000000000002</v>
      </c>
      <c r="M2794" s="12"/>
      <c r="N2794" s="40">
        <f>L2794*M2794</f>
        <v>0</v>
      </c>
      <c r="O2794" s="43">
        <f>0.322*M2794</f>
        <v>0</v>
      </c>
      <c r="P2794" s="47">
        <f>0.00048*M2794</f>
        <v>0</v>
      </c>
      <c r="Q2794" s="44"/>
      <c r="R2794" s="45" t="s">
        <v>8709</v>
      </c>
      <c r="S2794" s="45" t="s">
        <v>93</v>
      </c>
      <c r="T2794" s="37" t="str">
        <f>HYPERLINK("https://kanzpp.ru/api/getInfo/image/0460e4a3-93a2-11f0-a284-00155d82e908")</f>
        <v>https://kanzpp.ru/api/getInfo/image/0460e4a3-93a2-11f0-a284-00155d82e908</v>
      </c>
      <c r="U2794" s="37"/>
    </row>
    <row r="2795" spans="2:22" ht="22.95" customHeight="1" outlineLevel="4" x14ac:dyDescent="0.2">
      <c r="B2795" s="82" t="s">
        <v>8710</v>
      </c>
      <c r="C2795" s="82"/>
      <c r="D2795" s="82"/>
      <c r="L2795">
        <v>0</v>
      </c>
    </row>
    <row r="2796" spans="2:22" ht="21" customHeight="1" outlineLevel="5" x14ac:dyDescent="0.2">
      <c r="B2796" s="71">
        <v>2066</v>
      </c>
      <c r="C2796" s="37" t="s">
        <v>8711</v>
      </c>
      <c r="D2796" s="37" t="s">
        <v>8712</v>
      </c>
      <c r="E2796" s="38" t="s">
        <v>8713</v>
      </c>
      <c r="F2796" s="39"/>
      <c r="G2796" s="40"/>
      <c r="H2796" s="40"/>
      <c r="I2796" s="41">
        <v>14</v>
      </c>
      <c r="J2796" s="41">
        <v>839</v>
      </c>
      <c r="K2796" s="36">
        <v>4</v>
      </c>
      <c r="L2796" s="42">
        <f>(161.23*(1-O3/100))/0.75</f>
        <v>214.97333333333333</v>
      </c>
      <c r="M2796" s="12"/>
      <c r="N2796" s="40">
        <f>L2796*M2796</f>
        <v>0</v>
      </c>
      <c r="O2796" s="43">
        <f>0.413*M2796</f>
        <v>0</v>
      </c>
      <c r="P2796" s="47">
        <f>0.00015*M2796</f>
        <v>0</v>
      </c>
      <c r="Q2796" s="44"/>
      <c r="R2796" s="45" t="s">
        <v>8714</v>
      </c>
      <c r="S2796" s="45" t="s">
        <v>93</v>
      </c>
      <c r="T2796" s="37" t="str">
        <f>HYPERLINK("https://kanzpp.ru/api/getInfo/image/5ece2fe0-06bc-11ee-a23b-00155d82e902")</f>
        <v>https://kanzpp.ru/api/getInfo/image/5ece2fe0-06bc-11ee-a23b-00155d82e902</v>
      </c>
      <c r="U2796" s="37"/>
    </row>
    <row r="2797" spans="2:22" ht="21" customHeight="1" outlineLevel="5" x14ac:dyDescent="0.2">
      <c r="B2797" s="71">
        <v>2067</v>
      </c>
      <c r="C2797" s="37" t="s">
        <v>8715</v>
      </c>
      <c r="D2797" s="37" t="s">
        <v>8716</v>
      </c>
      <c r="E2797" s="38" t="s">
        <v>8717</v>
      </c>
      <c r="F2797" s="39"/>
      <c r="G2797" s="40"/>
      <c r="H2797" s="40"/>
      <c r="I2797" s="41">
        <v>14</v>
      </c>
      <c r="J2797" s="41">
        <v>419</v>
      </c>
      <c r="K2797" s="36">
        <v>4</v>
      </c>
      <c r="L2797" s="42">
        <f>(161.23*(1-O3/100))/0.75</f>
        <v>214.97333333333333</v>
      </c>
      <c r="M2797" s="12"/>
      <c r="N2797" s="40">
        <f>L2797*M2797</f>
        <v>0</v>
      </c>
      <c r="O2797" s="43">
        <f>0.334*M2797</f>
        <v>0</v>
      </c>
      <c r="P2797" s="47">
        <f>0.00047*M2797</f>
        <v>0</v>
      </c>
      <c r="Q2797" s="44"/>
      <c r="R2797" s="45" t="s">
        <v>8718</v>
      </c>
      <c r="S2797" s="45" t="s">
        <v>93</v>
      </c>
      <c r="T2797" s="37" t="str">
        <f>HYPERLINK("https://kanzpp.ru/api/getInfo/image/3c624461-1f27-11ef-a25f-00155d82e908")</f>
        <v>https://kanzpp.ru/api/getInfo/image/3c624461-1f27-11ef-a25f-00155d82e908</v>
      </c>
      <c r="U2797" s="37"/>
    </row>
    <row r="2798" spans="2:22" ht="21" customHeight="1" outlineLevel="5" x14ac:dyDescent="0.2">
      <c r="B2798" s="71">
        <v>2068</v>
      </c>
      <c r="C2798" s="37" t="s">
        <v>8719</v>
      </c>
      <c r="D2798" s="37" t="s">
        <v>8720</v>
      </c>
      <c r="E2798" s="38" t="s">
        <v>8721</v>
      </c>
      <c r="F2798" s="39"/>
      <c r="G2798" s="40"/>
      <c r="H2798" s="40"/>
      <c r="I2798" s="41">
        <v>14</v>
      </c>
      <c r="J2798" s="41">
        <v>963</v>
      </c>
      <c r="K2798" s="36">
        <v>4</v>
      </c>
      <c r="L2798" s="42">
        <f>(161.23*(1-O3/100))/0.75</f>
        <v>214.97333333333333</v>
      </c>
      <c r="M2798" s="12"/>
      <c r="N2798" s="40">
        <f>L2798*M2798</f>
        <v>0</v>
      </c>
      <c r="O2798" s="43">
        <f>0.419*M2798</f>
        <v>0</v>
      </c>
      <c r="P2798" s="47">
        <f>0.00063*M2798</f>
        <v>0</v>
      </c>
      <c r="Q2798" s="44"/>
      <c r="R2798" s="45" t="s">
        <v>8722</v>
      </c>
      <c r="S2798" s="45" t="s">
        <v>93</v>
      </c>
      <c r="T2798" s="37" t="str">
        <f>HYPERLINK("https://kanzpp.ru/api/getInfo/image/0dc048bb-d759-11f0-a28c-00155d82e908")</f>
        <v>https://kanzpp.ru/api/getInfo/image/0dc048bb-d759-11f0-a28c-00155d82e908</v>
      </c>
      <c r="U2798" s="37"/>
    </row>
    <row r="2799" spans="2:22" ht="22.95" customHeight="1" outlineLevel="3" x14ac:dyDescent="0.2">
      <c r="B2799" s="81" t="s">
        <v>8723</v>
      </c>
      <c r="C2799" s="81"/>
      <c r="D2799" s="81"/>
      <c r="L2799">
        <v>0</v>
      </c>
    </row>
    <row r="2800" spans="2:22" ht="22.95" customHeight="1" outlineLevel="4" x14ac:dyDescent="0.2">
      <c r="B2800" s="82" t="s">
        <v>8724</v>
      </c>
      <c r="C2800" s="82"/>
      <c r="D2800" s="82"/>
      <c r="L2800">
        <v>0</v>
      </c>
    </row>
    <row r="2801" spans="2:22" ht="21" customHeight="1" outlineLevel="5" x14ac:dyDescent="0.2">
      <c r="B2801" s="69">
        <v>2069</v>
      </c>
      <c r="C2801" s="6" t="s">
        <v>8725</v>
      </c>
      <c r="D2801" s="6" t="s">
        <v>8726</v>
      </c>
      <c r="E2801" s="7" t="s">
        <v>8727</v>
      </c>
      <c r="F2801" s="13"/>
      <c r="G2801" s="14"/>
      <c r="H2801" s="14"/>
      <c r="I2801" s="15">
        <v>40</v>
      </c>
      <c r="J2801" s="15">
        <v>379</v>
      </c>
      <c r="K2801" s="5">
        <v>12</v>
      </c>
      <c r="L2801" s="16">
        <v>26.533333333333331</v>
      </c>
      <c r="M2801" s="12"/>
      <c r="N2801" s="14">
        <f t="shared" ref="N2801:N2822" si="129">L2801*M2801</f>
        <v>0</v>
      </c>
      <c r="O2801" s="23">
        <f>0.081*M2801</f>
        <v>0</v>
      </c>
      <c r="P2801" s="24">
        <f>0.00011*M2801</f>
        <v>0</v>
      </c>
      <c r="Q2801" s="25"/>
      <c r="R2801" s="26" t="s">
        <v>8728</v>
      </c>
      <c r="S2801" s="26" t="s">
        <v>93</v>
      </c>
      <c r="T2801" s="6" t="str">
        <f>HYPERLINK("https://kanzpp.ru/api/getInfo/image/3bbbe072-1f1a-11ef-a25f-00155d82e908")</f>
        <v>https://kanzpp.ru/api/getInfo/image/3bbbe072-1f1a-11ef-a25f-00155d82e908</v>
      </c>
      <c r="U2801" s="6"/>
      <c r="V2801" s="33" t="s">
        <v>35</v>
      </c>
    </row>
    <row r="2802" spans="2:22" ht="21" customHeight="1" outlineLevel="5" x14ac:dyDescent="0.2">
      <c r="B2802" s="71">
        <v>2070</v>
      </c>
      <c r="C2802" s="37" t="s">
        <v>8729</v>
      </c>
      <c r="D2802" s="37" t="s">
        <v>8730</v>
      </c>
      <c r="E2802" s="38" t="s">
        <v>8731</v>
      </c>
      <c r="F2802" s="39"/>
      <c r="G2802" s="40"/>
      <c r="H2802" s="40"/>
      <c r="I2802" s="41">
        <v>40</v>
      </c>
      <c r="J2802" s="41">
        <v>830</v>
      </c>
      <c r="K2802" s="36">
        <v>12</v>
      </c>
      <c r="L2802" s="42">
        <f>(51.91*(1-O3/100))/0.75</f>
        <v>69.213333333333324</v>
      </c>
      <c r="M2802" s="12"/>
      <c r="N2802" s="40">
        <f t="shared" si="129"/>
        <v>0</v>
      </c>
      <c r="O2802" s="43">
        <f>0.081*M2802</f>
        <v>0</v>
      </c>
      <c r="P2802" s="46">
        <f>0.0001*M2802</f>
        <v>0</v>
      </c>
      <c r="Q2802" s="44"/>
      <c r="R2802" s="45" t="s">
        <v>8732</v>
      </c>
      <c r="S2802" s="45" t="s">
        <v>93</v>
      </c>
      <c r="T2802" s="37" t="str">
        <f>HYPERLINK("https://kanzpp.ru/api/getInfo/image/30972560-6c65-11f0-a283-00155d82e908")</f>
        <v>https://kanzpp.ru/api/getInfo/image/30972560-6c65-11f0-a283-00155d82e908</v>
      </c>
      <c r="U2802" s="37"/>
    </row>
    <row r="2803" spans="2:22" ht="21" customHeight="1" outlineLevel="5" x14ac:dyDescent="0.2">
      <c r="B2803" s="71">
        <v>2071</v>
      </c>
      <c r="C2803" s="37" t="s">
        <v>8733</v>
      </c>
      <c r="D2803" s="37" t="s">
        <v>8734</v>
      </c>
      <c r="E2803" s="38" t="s">
        <v>8735</v>
      </c>
      <c r="F2803" s="39"/>
      <c r="G2803" s="40"/>
      <c r="H2803" s="40"/>
      <c r="I2803" s="41">
        <v>40</v>
      </c>
      <c r="J2803" s="41">
        <v>318</v>
      </c>
      <c r="K2803" s="36">
        <v>12</v>
      </c>
      <c r="L2803" s="42">
        <f>(51.91*(1-O3/100))/0.75</f>
        <v>69.213333333333324</v>
      </c>
      <c r="M2803" s="12"/>
      <c r="N2803" s="40">
        <f t="shared" si="129"/>
        <v>0</v>
      </c>
      <c r="O2803" s="43">
        <f>0.081*M2803</f>
        <v>0</v>
      </c>
      <c r="P2803" s="46">
        <f>0.0001*M2803</f>
        <v>0</v>
      </c>
      <c r="Q2803" s="44"/>
      <c r="R2803" s="45" t="s">
        <v>8736</v>
      </c>
      <c r="S2803" s="45" t="s">
        <v>93</v>
      </c>
      <c r="T2803" s="37" t="str">
        <f>HYPERLINK("https://kanzpp.ru/api/getInfo/image/5730cd37-6c65-11f0-a283-00155d82e908")</f>
        <v>https://kanzpp.ru/api/getInfo/image/5730cd37-6c65-11f0-a283-00155d82e908</v>
      </c>
      <c r="U2803" s="37"/>
    </row>
    <row r="2804" spans="2:22" ht="21" customHeight="1" outlineLevel="5" x14ac:dyDescent="0.2">
      <c r="B2804" s="71">
        <v>2072</v>
      </c>
      <c r="C2804" s="37" t="s">
        <v>8737</v>
      </c>
      <c r="D2804" s="37" t="s">
        <v>8738</v>
      </c>
      <c r="E2804" s="38" t="s">
        <v>8739</v>
      </c>
      <c r="F2804" s="39"/>
      <c r="G2804" s="40"/>
      <c r="H2804" s="40"/>
      <c r="I2804" s="41">
        <v>40</v>
      </c>
      <c r="J2804" s="41">
        <v>40</v>
      </c>
      <c r="K2804" s="36">
        <v>12</v>
      </c>
      <c r="L2804" s="42">
        <f>(51.91*(1-O3/100))/0.75</f>
        <v>69.213333333333324</v>
      </c>
      <c r="M2804" s="12"/>
      <c r="N2804" s="40">
        <f t="shared" si="129"/>
        <v>0</v>
      </c>
      <c r="O2804" s="43">
        <f>0.086*M2804</f>
        <v>0</v>
      </c>
      <c r="P2804" s="47">
        <f>0.00028*M2804</f>
        <v>0</v>
      </c>
      <c r="Q2804" s="44"/>
      <c r="R2804" s="45" t="s">
        <v>8740</v>
      </c>
      <c r="S2804" s="45" t="s">
        <v>93</v>
      </c>
      <c r="T2804" s="37" t="str">
        <f>HYPERLINK("https://kanzpp.ru/api/getInfo/image/3b859850-f2ad-11f0-a28d-00155d82e908")</f>
        <v>https://kanzpp.ru/api/getInfo/image/3b859850-f2ad-11f0-a28d-00155d82e908</v>
      </c>
      <c r="U2804" s="37"/>
    </row>
    <row r="2805" spans="2:22" ht="21" customHeight="1" outlineLevel="5" x14ac:dyDescent="0.2">
      <c r="B2805" s="71">
        <v>2073</v>
      </c>
      <c r="C2805" s="37" t="s">
        <v>8741</v>
      </c>
      <c r="D2805" s="37" t="s">
        <v>8742</v>
      </c>
      <c r="E2805" s="38" t="s">
        <v>8743</v>
      </c>
      <c r="F2805" s="39"/>
      <c r="G2805" s="40"/>
      <c r="H2805" s="40"/>
      <c r="I2805" s="41">
        <v>40</v>
      </c>
      <c r="J2805" s="41">
        <v>308</v>
      </c>
      <c r="K2805" s="36">
        <v>12</v>
      </c>
      <c r="L2805" s="42">
        <f>(51.91*(1-O3/100))/0.75</f>
        <v>69.213333333333324</v>
      </c>
      <c r="M2805" s="12"/>
      <c r="N2805" s="40">
        <f t="shared" si="129"/>
        <v>0</v>
      </c>
      <c r="O2805" s="43">
        <f>0.075*M2805</f>
        <v>0</v>
      </c>
      <c r="P2805" s="47">
        <f>0.00011*M2805</f>
        <v>0</v>
      </c>
      <c r="Q2805" s="44"/>
      <c r="R2805" s="45" t="s">
        <v>8744</v>
      </c>
      <c r="S2805" s="45" t="s">
        <v>93</v>
      </c>
      <c r="T2805" s="37" t="str">
        <f>HYPERLINK("https://kanzpp.ru/api/getInfo/image/d2ac71e8-9516-11f0-a284-00155d82e908")</f>
        <v>https://kanzpp.ru/api/getInfo/image/d2ac71e8-9516-11f0-a284-00155d82e908</v>
      </c>
      <c r="U2805" s="37"/>
    </row>
    <row r="2806" spans="2:22" ht="21" customHeight="1" outlineLevel="5" x14ac:dyDescent="0.2">
      <c r="B2806" s="71">
        <v>2074</v>
      </c>
      <c r="C2806" s="37" t="s">
        <v>8745</v>
      </c>
      <c r="D2806" s="37" t="s">
        <v>8746</v>
      </c>
      <c r="E2806" s="38" t="s">
        <v>8747</v>
      </c>
      <c r="F2806" s="39"/>
      <c r="G2806" s="40"/>
      <c r="H2806" s="40"/>
      <c r="I2806" s="41">
        <v>40</v>
      </c>
      <c r="J2806" s="40" t="s">
        <v>144</v>
      </c>
      <c r="K2806" s="36">
        <v>12</v>
      </c>
      <c r="L2806" s="42">
        <f>(51.91*(1-O3/100))/0.75</f>
        <v>69.213333333333324</v>
      </c>
      <c r="M2806" s="12"/>
      <c r="N2806" s="40">
        <f t="shared" si="129"/>
        <v>0</v>
      </c>
      <c r="O2806" s="43">
        <f>0.077*M2806</f>
        <v>0</v>
      </c>
      <c r="P2806" s="47">
        <f>0.00008*M2806</f>
        <v>0</v>
      </c>
      <c r="Q2806" s="44"/>
      <c r="R2806" s="45" t="s">
        <v>8748</v>
      </c>
      <c r="S2806" s="45" t="s">
        <v>93</v>
      </c>
      <c r="T2806" s="37" t="str">
        <f>HYPERLINK("https://kanzpp.ru/api/getInfo/image/8f7bcd4e-6c64-11f0-a283-00155d82e908")</f>
        <v>https://kanzpp.ru/api/getInfo/image/8f7bcd4e-6c64-11f0-a283-00155d82e908</v>
      </c>
      <c r="U2806" s="37"/>
    </row>
    <row r="2807" spans="2:22" ht="21" customHeight="1" outlineLevel="5" x14ac:dyDescent="0.2">
      <c r="B2807" s="71">
        <v>2075</v>
      </c>
      <c r="C2807" s="37" t="s">
        <v>8749</v>
      </c>
      <c r="D2807" s="37" t="s">
        <v>8750</v>
      </c>
      <c r="E2807" s="38" t="s">
        <v>8751</v>
      </c>
      <c r="F2807" s="39"/>
      <c r="G2807" s="40"/>
      <c r="H2807" s="40"/>
      <c r="I2807" s="41">
        <v>40</v>
      </c>
      <c r="J2807" s="40" t="s">
        <v>144</v>
      </c>
      <c r="K2807" s="36">
        <v>12</v>
      </c>
      <c r="L2807" s="42">
        <f>(51.91*(1-O3/100))/0.75</f>
        <v>69.213333333333324</v>
      </c>
      <c r="M2807" s="12"/>
      <c r="N2807" s="40">
        <f t="shared" si="129"/>
        <v>0</v>
      </c>
      <c r="O2807" s="43">
        <f>0.077*M2807</f>
        <v>0</v>
      </c>
      <c r="P2807" s="47">
        <f>0.00008*M2807</f>
        <v>0</v>
      </c>
      <c r="Q2807" s="44"/>
      <c r="R2807" s="45" t="s">
        <v>8752</v>
      </c>
      <c r="S2807" s="45" t="s">
        <v>93</v>
      </c>
      <c r="T2807" s="37" t="str">
        <f>HYPERLINK("https://kanzpp.ru/api/getInfo/image/e810c718-6c62-11f0-a283-00155d82e908")</f>
        <v>https://kanzpp.ru/api/getInfo/image/e810c718-6c62-11f0-a283-00155d82e908</v>
      </c>
      <c r="U2807" s="37"/>
    </row>
    <row r="2808" spans="2:22" ht="21" customHeight="1" outlineLevel="5" x14ac:dyDescent="0.2">
      <c r="B2808" s="71">
        <v>2076</v>
      </c>
      <c r="C2808" s="37" t="s">
        <v>8753</v>
      </c>
      <c r="D2808" s="37" t="s">
        <v>8754</v>
      </c>
      <c r="E2808" s="38" t="s">
        <v>8755</v>
      </c>
      <c r="F2808" s="39"/>
      <c r="G2808" s="40"/>
      <c r="H2808" s="40"/>
      <c r="I2808" s="41">
        <v>40</v>
      </c>
      <c r="J2808" s="41">
        <v>464</v>
      </c>
      <c r="K2808" s="36">
        <v>12</v>
      </c>
      <c r="L2808" s="42">
        <f>(51.91*(1-O3/100))/0.75</f>
        <v>69.213333333333324</v>
      </c>
      <c r="M2808" s="12"/>
      <c r="N2808" s="40">
        <f t="shared" si="129"/>
        <v>0</v>
      </c>
      <c r="O2808" s="43">
        <f>0.073*M2808</f>
        <v>0</v>
      </c>
      <c r="P2808" s="47">
        <f>0.00013*M2808</f>
        <v>0</v>
      </c>
      <c r="Q2808" s="44"/>
      <c r="R2808" s="45" t="s">
        <v>8756</v>
      </c>
      <c r="S2808" s="45" t="s">
        <v>93</v>
      </c>
      <c r="T2808" s="37" t="str">
        <f>HYPERLINK("https://kanzpp.ru/api/getInfo/image/b35019b5-1f19-11ef-a25f-00155d82e908")</f>
        <v>https://kanzpp.ru/api/getInfo/image/b35019b5-1f19-11ef-a25f-00155d82e908</v>
      </c>
      <c r="U2808" s="37"/>
    </row>
    <row r="2809" spans="2:22" ht="21" customHeight="1" outlineLevel="5" x14ac:dyDescent="0.2">
      <c r="B2809" s="71">
        <v>2077</v>
      </c>
      <c r="C2809" s="37" t="s">
        <v>8757</v>
      </c>
      <c r="D2809" s="37" t="s">
        <v>8758</v>
      </c>
      <c r="E2809" s="38" t="s">
        <v>8759</v>
      </c>
      <c r="F2809" s="39"/>
      <c r="G2809" s="40"/>
      <c r="H2809" s="40"/>
      <c r="I2809" s="41">
        <v>40</v>
      </c>
      <c r="J2809" s="40" t="s">
        <v>144</v>
      </c>
      <c r="K2809" s="36">
        <v>12</v>
      </c>
      <c r="L2809" s="42">
        <f>(51.91*(1-O3/100))/0.75</f>
        <v>69.213333333333324</v>
      </c>
      <c r="M2809" s="12"/>
      <c r="N2809" s="40">
        <f t="shared" si="129"/>
        <v>0</v>
      </c>
      <c r="O2809" s="43">
        <f>0.075*M2809</f>
        <v>0</v>
      </c>
      <c r="P2809" s="47">
        <f>0.00011*M2809</f>
        <v>0</v>
      </c>
      <c r="Q2809" s="44"/>
      <c r="R2809" s="45" t="s">
        <v>8760</v>
      </c>
      <c r="S2809" s="45" t="s">
        <v>93</v>
      </c>
      <c r="T2809" s="37" t="str">
        <f>HYPERLINK("https://kanzpp.ru/api/getInfo/image/88ad739e-9516-11f0-a284-00155d82e908")</f>
        <v>https://kanzpp.ru/api/getInfo/image/88ad739e-9516-11f0-a284-00155d82e908</v>
      </c>
      <c r="U2809" s="37"/>
    </row>
    <row r="2810" spans="2:22" ht="21" customHeight="1" outlineLevel="5" x14ac:dyDescent="0.2">
      <c r="B2810" s="71">
        <v>2078</v>
      </c>
      <c r="C2810" s="37" t="s">
        <v>8761</v>
      </c>
      <c r="D2810" s="37" t="s">
        <v>8762</v>
      </c>
      <c r="E2810" s="38" t="s">
        <v>8763</v>
      </c>
      <c r="F2810" s="39"/>
      <c r="G2810" s="40"/>
      <c r="H2810" s="40"/>
      <c r="I2810" s="41">
        <v>40</v>
      </c>
      <c r="J2810" s="41">
        <v>307</v>
      </c>
      <c r="K2810" s="36">
        <v>12</v>
      </c>
      <c r="L2810" s="42">
        <f>(51.91*(1-O3/100))/0.75</f>
        <v>69.213333333333324</v>
      </c>
      <c r="M2810" s="12"/>
      <c r="N2810" s="40">
        <f t="shared" si="129"/>
        <v>0</v>
      </c>
      <c r="O2810" s="43">
        <f>0.077*M2810</f>
        <v>0</v>
      </c>
      <c r="P2810" s="47">
        <f>0.00008*M2810</f>
        <v>0</v>
      </c>
      <c r="Q2810" s="44"/>
      <c r="R2810" s="45" t="s">
        <v>8764</v>
      </c>
      <c r="S2810" s="45" t="s">
        <v>93</v>
      </c>
      <c r="T2810" s="37" t="str">
        <f>HYPERLINK("https://kanzpp.ru/api/getInfo/image/a8148375-6c65-11f0-a283-00155d82e908")</f>
        <v>https://kanzpp.ru/api/getInfo/image/a8148375-6c65-11f0-a283-00155d82e908</v>
      </c>
      <c r="U2810" s="37"/>
    </row>
    <row r="2811" spans="2:22" ht="21" customHeight="1" outlineLevel="5" x14ac:dyDescent="0.2">
      <c r="B2811" s="71">
        <v>2079</v>
      </c>
      <c r="C2811" s="37" t="s">
        <v>8765</v>
      </c>
      <c r="D2811" s="37" t="s">
        <v>8766</v>
      </c>
      <c r="E2811" s="38" t="s">
        <v>8767</v>
      </c>
      <c r="F2811" s="39"/>
      <c r="G2811" s="40"/>
      <c r="H2811" s="40"/>
      <c r="I2811" s="41">
        <v>40</v>
      </c>
      <c r="J2811" s="41">
        <v>330</v>
      </c>
      <c r="K2811" s="36">
        <v>12</v>
      </c>
      <c r="L2811" s="42">
        <f>(51.91*(1-O3/100))/0.75</f>
        <v>69.213333333333324</v>
      </c>
      <c r="M2811" s="12"/>
      <c r="N2811" s="40">
        <f t="shared" si="129"/>
        <v>0</v>
      </c>
      <c r="O2811" s="43">
        <f>0.075*M2811</f>
        <v>0</v>
      </c>
      <c r="P2811" s="47">
        <f>0.00011*M2811</f>
        <v>0</v>
      </c>
      <c r="Q2811" s="44"/>
      <c r="R2811" s="45" t="s">
        <v>8768</v>
      </c>
      <c r="S2811" s="45" t="s">
        <v>93</v>
      </c>
      <c r="T2811" s="37" t="str">
        <f>HYPERLINK("https://kanzpp.ru/api/getInfo/image/a10ed8c3-9515-11f0-a284-00155d82e908")</f>
        <v>https://kanzpp.ru/api/getInfo/image/a10ed8c3-9515-11f0-a284-00155d82e908</v>
      </c>
      <c r="U2811" s="37"/>
    </row>
    <row r="2812" spans="2:22" ht="21" customHeight="1" outlineLevel="5" x14ac:dyDescent="0.2">
      <c r="B2812" s="71">
        <v>2080</v>
      </c>
      <c r="C2812" s="37" t="s">
        <v>8769</v>
      </c>
      <c r="D2812" s="37" t="s">
        <v>8770</v>
      </c>
      <c r="E2812" s="38" t="s">
        <v>8771</v>
      </c>
      <c r="F2812" s="39"/>
      <c r="G2812" s="40"/>
      <c r="H2812" s="40"/>
      <c r="I2812" s="41">
        <v>40</v>
      </c>
      <c r="J2812" s="40" t="s">
        <v>144</v>
      </c>
      <c r="K2812" s="36">
        <v>12</v>
      </c>
      <c r="L2812" s="42">
        <f>(51.91*(1-O3/100))/0.75</f>
        <v>69.213333333333324</v>
      </c>
      <c r="M2812" s="12"/>
      <c r="N2812" s="40">
        <f t="shared" si="129"/>
        <v>0</v>
      </c>
      <c r="O2812" s="43">
        <f>0.077*M2812</f>
        <v>0</v>
      </c>
      <c r="P2812" s="47">
        <f>0.00008*M2812</f>
        <v>0</v>
      </c>
      <c r="Q2812" s="44"/>
      <c r="R2812" s="45" t="s">
        <v>8772</v>
      </c>
      <c r="S2812" s="45" t="s">
        <v>93</v>
      </c>
      <c r="T2812" s="37" t="str">
        <f>HYPERLINK("https://kanzpp.ru/api/getInfo/image/e372ca33-6c64-11f0-a283-00155d82e908")</f>
        <v>https://kanzpp.ru/api/getInfo/image/e372ca33-6c64-11f0-a283-00155d82e908</v>
      </c>
      <c r="U2812" s="37"/>
    </row>
    <row r="2813" spans="2:22" ht="21" customHeight="1" outlineLevel="5" x14ac:dyDescent="0.2">
      <c r="B2813" s="71">
        <v>2081</v>
      </c>
      <c r="C2813" s="37" t="s">
        <v>8773</v>
      </c>
      <c r="D2813" s="37" t="s">
        <v>8774</v>
      </c>
      <c r="E2813" s="38" t="s">
        <v>8775</v>
      </c>
      <c r="F2813" s="39"/>
      <c r="G2813" s="40"/>
      <c r="H2813" s="40"/>
      <c r="I2813" s="41">
        <v>40</v>
      </c>
      <c r="J2813" s="40" t="s">
        <v>144</v>
      </c>
      <c r="K2813" s="36">
        <v>12</v>
      </c>
      <c r="L2813" s="42">
        <f>(51.91*(1-O3/100))/0.75</f>
        <v>69.213333333333324</v>
      </c>
      <c r="M2813" s="12"/>
      <c r="N2813" s="40">
        <f t="shared" si="129"/>
        <v>0</v>
      </c>
      <c r="O2813" s="43">
        <f>0.077*M2813</f>
        <v>0</v>
      </c>
      <c r="P2813" s="47">
        <f>0.00008*M2813</f>
        <v>0</v>
      </c>
      <c r="Q2813" s="44"/>
      <c r="R2813" s="45" t="s">
        <v>8776</v>
      </c>
      <c r="S2813" s="45" t="s">
        <v>93</v>
      </c>
      <c r="T2813" s="37" t="str">
        <f>HYPERLINK("https://kanzpp.ru/api/getInfo/image/eceb1d79-6c65-11f0-a283-00155d82e908")</f>
        <v>https://kanzpp.ru/api/getInfo/image/eceb1d79-6c65-11f0-a283-00155d82e908</v>
      </c>
      <c r="U2813" s="37"/>
    </row>
    <row r="2814" spans="2:22" ht="21" customHeight="1" outlineLevel="5" x14ac:dyDescent="0.2">
      <c r="B2814" s="71">
        <v>2082</v>
      </c>
      <c r="C2814" s="37" t="s">
        <v>8777</v>
      </c>
      <c r="D2814" s="37" t="s">
        <v>8778</v>
      </c>
      <c r="E2814" s="38" t="s">
        <v>8779</v>
      </c>
      <c r="F2814" s="39"/>
      <c r="G2814" s="40"/>
      <c r="H2814" s="40"/>
      <c r="I2814" s="41">
        <v>40</v>
      </c>
      <c r="J2814" s="41">
        <v>41</v>
      </c>
      <c r="K2814" s="36">
        <v>12</v>
      </c>
      <c r="L2814" s="42">
        <f>(51.91*(1-O3/100))/0.75</f>
        <v>69.213333333333324</v>
      </c>
      <c r="M2814" s="12"/>
      <c r="N2814" s="40">
        <f t="shared" si="129"/>
        <v>0</v>
      </c>
      <c r="O2814" s="43">
        <f>0.074*M2814</f>
        <v>0</v>
      </c>
      <c r="P2814" s="47">
        <f>0.00008*M2814</f>
        <v>0</v>
      </c>
      <c r="Q2814" s="44"/>
      <c r="R2814" s="45" t="s">
        <v>8780</v>
      </c>
      <c r="S2814" s="45" t="s">
        <v>93</v>
      </c>
      <c r="T2814" s="37" t="str">
        <f>HYPERLINK("https://kanzpp.ru/api/getInfo/image/81834491-d756-11f0-a28c-00155d82e908")</f>
        <v>https://kanzpp.ru/api/getInfo/image/81834491-d756-11f0-a28c-00155d82e908</v>
      </c>
      <c r="U2814" s="37"/>
    </row>
    <row r="2815" spans="2:22" ht="21" customHeight="1" outlineLevel="5" x14ac:dyDescent="0.2">
      <c r="B2815" s="69">
        <v>2083</v>
      </c>
      <c r="C2815" s="6" t="s">
        <v>8781</v>
      </c>
      <c r="D2815" s="6" t="s">
        <v>8782</v>
      </c>
      <c r="E2815" s="7" t="s">
        <v>8783</v>
      </c>
      <c r="F2815" s="13"/>
      <c r="G2815" s="14"/>
      <c r="H2815" s="14"/>
      <c r="I2815" s="15">
        <v>40</v>
      </c>
      <c r="J2815" s="15">
        <v>721</v>
      </c>
      <c r="K2815" s="5">
        <v>12</v>
      </c>
      <c r="L2815" s="16">
        <v>26.533333333333331</v>
      </c>
      <c r="M2815" s="12"/>
      <c r="N2815" s="14">
        <f t="shared" si="129"/>
        <v>0</v>
      </c>
      <c r="O2815" s="23">
        <f>0.082*M2815</f>
        <v>0</v>
      </c>
      <c r="P2815" s="31">
        <f>0.0001*M2815</f>
        <v>0</v>
      </c>
      <c r="Q2815" s="25"/>
      <c r="R2815" s="26" t="s">
        <v>8784</v>
      </c>
      <c r="S2815" s="26" t="s">
        <v>93</v>
      </c>
      <c r="T2815" s="6" t="str">
        <f>HYPERLINK("https://kanzpp.ru/api/getInfo/image/6acda05c-1f1a-11ef-a25f-00155d82e908")</f>
        <v>https://kanzpp.ru/api/getInfo/image/6acda05c-1f1a-11ef-a25f-00155d82e908</v>
      </c>
      <c r="U2815" s="6"/>
      <c r="V2815" s="33" t="s">
        <v>35</v>
      </c>
    </row>
    <row r="2816" spans="2:22" ht="21" customHeight="1" outlineLevel="5" x14ac:dyDescent="0.2">
      <c r="B2816" s="71">
        <v>2084</v>
      </c>
      <c r="C2816" s="37" t="s">
        <v>8785</v>
      </c>
      <c r="D2816" s="37" t="s">
        <v>8786</v>
      </c>
      <c r="E2816" s="38" t="s">
        <v>8787</v>
      </c>
      <c r="F2816" s="39"/>
      <c r="G2816" s="40"/>
      <c r="H2816" s="40"/>
      <c r="I2816" s="41">
        <v>40</v>
      </c>
      <c r="J2816" s="41">
        <v>119</v>
      </c>
      <c r="K2816" s="36">
        <v>12</v>
      </c>
      <c r="L2816" s="42">
        <f>(51.91*(1-O3/100))/0.75</f>
        <v>69.213333333333324</v>
      </c>
      <c r="M2816" s="12"/>
      <c r="N2816" s="40">
        <f t="shared" si="129"/>
        <v>0</v>
      </c>
      <c r="O2816" s="43">
        <f>0.073*M2816</f>
        <v>0</v>
      </c>
      <c r="P2816" s="47">
        <f>0.00013*M2816</f>
        <v>0</v>
      </c>
      <c r="Q2816" s="44"/>
      <c r="R2816" s="45" t="s">
        <v>8788</v>
      </c>
      <c r="S2816" s="45" t="s">
        <v>93</v>
      </c>
      <c r="T2816" s="37" t="str">
        <f>HYPERLINK("https://kanzpp.ru/api/getInfo/image/493ffe9e-9515-11f0-a284-00155d82e908")</f>
        <v>https://kanzpp.ru/api/getInfo/image/493ffe9e-9515-11f0-a284-00155d82e908</v>
      </c>
      <c r="U2816" s="37"/>
    </row>
    <row r="2817" spans="2:22" ht="21" customHeight="1" outlineLevel="5" x14ac:dyDescent="0.2">
      <c r="B2817" s="71">
        <v>2085</v>
      </c>
      <c r="C2817" s="37" t="s">
        <v>8789</v>
      </c>
      <c r="D2817" s="37" t="s">
        <v>8790</v>
      </c>
      <c r="E2817" s="38" t="s">
        <v>8791</v>
      </c>
      <c r="F2817" s="39"/>
      <c r="G2817" s="40"/>
      <c r="H2817" s="40"/>
      <c r="I2817" s="41">
        <v>40</v>
      </c>
      <c r="J2817" s="40" t="s">
        <v>144</v>
      </c>
      <c r="K2817" s="36">
        <v>12</v>
      </c>
      <c r="L2817" s="42">
        <f>(51.91*(1-O3/100))/0.75</f>
        <v>69.213333333333324</v>
      </c>
      <c r="M2817" s="12"/>
      <c r="N2817" s="40">
        <f t="shared" si="129"/>
        <v>0</v>
      </c>
      <c r="O2817" s="43">
        <f>0.074*M2817</f>
        <v>0</v>
      </c>
      <c r="P2817" s="47">
        <f>0.00013*M2817</f>
        <v>0</v>
      </c>
      <c r="Q2817" s="44"/>
      <c r="R2817" s="45" t="s">
        <v>8792</v>
      </c>
      <c r="S2817" s="45" t="s">
        <v>93</v>
      </c>
      <c r="T2817" s="37" t="str">
        <f>HYPERLINK("https://kanzpp.ru/api/getInfo/image/2384fbe4-9516-11f0-a284-00155d82e908")</f>
        <v>https://kanzpp.ru/api/getInfo/image/2384fbe4-9516-11f0-a284-00155d82e908</v>
      </c>
      <c r="U2817" s="37"/>
    </row>
    <row r="2818" spans="2:22" ht="21" customHeight="1" outlineLevel="5" x14ac:dyDescent="0.2">
      <c r="B2818" s="71">
        <v>2086</v>
      </c>
      <c r="C2818" s="37" t="s">
        <v>8793</v>
      </c>
      <c r="D2818" s="37" t="s">
        <v>8794</v>
      </c>
      <c r="E2818" s="38" t="s">
        <v>8795</v>
      </c>
      <c r="F2818" s="39"/>
      <c r="G2818" s="40"/>
      <c r="H2818" s="40"/>
      <c r="I2818" s="41">
        <v>40</v>
      </c>
      <c r="J2818" s="41">
        <v>278</v>
      </c>
      <c r="K2818" s="36">
        <v>12</v>
      </c>
      <c r="L2818" s="42">
        <f>(51.91*(1-O3/100))/0.75</f>
        <v>69.213333333333324</v>
      </c>
      <c r="M2818" s="12"/>
      <c r="N2818" s="40">
        <f t="shared" si="129"/>
        <v>0</v>
      </c>
      <c r="O2818" s="43">
        <f>0.077*M2818</f>
        <v>0</v>
      </c>
      <c r="P2818" s="47">
        <f>0.00008*M2818</f>
        <v>0</v>
      </c>
      <c r="Q2818" s="44"/>
      <c r="R2818" s="45" t="s">
        <v>8796</v>
      </c>
      <c r="S2818" s="45" t="s">
        <v>93</v>
      </c>
      <c r="T2818" s="37" t="str">
        <f>HYPERLINK("https://kanzpp.ru/api/getInfo/image/7adc063f-6c65-11f0-a283-00155d82e908")</f>
        <v>https://kanzpp.ru/api/getInfo/image/7adc063f-6c65-11f0-a283-00155d82e908</v>
      </c>
      <c r="U2818" s="37"/>
    </row>
    <row r="2819" spans="2:22" ht="21" customHeight="1" outlineLevel="5" x14ac:dyDescent="0.2">
      <c r="B2819" s="71">
        <v>2087</v>
      </c>
      <c r="C2819" s="37" t="s">
        <v>8797</v>
      </c>
      <c r="D2819" s="37" t="s">
        <v>8798</v>
      </c>
      <c r="E2819" s="38" t="s">
        <v>8799</v>
      </c>
      <c r="F2819" s="39"/>
      <c r="G2819" s="40"/>
      <c r="H2819" s="40"/>
      <c r="I2819" s="41">
        <v>40</v>
      </c>
      <c r="J2819" s="41">
        <v>146</v>
      </c>
      <c r="K2819" s="36">
        <v>12</v>
      </c>
      <c r="L2819" s="42">
        <f>(51.91*(1-O3/100))/0.75</f>
        <v>69.213333333333324</v>
      </c>
      <c r="M2819" s="12"/>
      <c r="N2819" s="40">
        <f t="shared" si="129"/>
        <v>0</v>
      </c>
      <c r="O2819" s="43">
        <f>0.074*M2819</f>
        <v>0</v>
      </c>
      <c r="P2819" s="47">
        <f>0.00013*M2819</f>
        <v>0</v>
      </c>
      <c r="Q2819" s="44"/>
      <c r="R2819" s="45" t="s">
        <v>8800</v>
      </c>
      <c r="S2819" s="45" t="s">
        <v>93</v>
      </c>
      <c r="T2819" s="37" t="str">
        <f>HYPERLINK("https://kanzpp.ru/api/getInfo/image/df477f3a-9515-11f0-a284-00155d82e908")</f>
        <v>https://kanzpp.ru/api/getInfo/image/df477f3a-9515-11f0-a284-00155d82e908</v>
      </c>
      <c r="U2819" s="37"/>
    </row>
    <row r="2820" spans="2:22" ht="21" customHeight="1" outlineLevel="5" x14ac:dyDescent="0.2">
      <c r="B2820" s="71">
        <v>2088</v>
      </c>
      <c r="C2820" s="37" t="s">
        <v>8801</v>
      </c>
      <c r="D2820" s="37" t="s">
        <v>8802</v>
      </c>
      <c r="E2820" s="38" t="s">
        <v>8803</v>
      </c>
      <c r="F2820" s="39"/>
      <c r="G2820" s="40"/>
      <c r="H2820" s="40"/>
      <c r="I2820" s="41">
        <v>40</v>
      </c>
      <c r="J2820" s="41">
        <v>40</v>
      </c>
      <c r="K2820" s="36">
        <v>12</v>
      </c>
      <c r="L2820" s="42">
        <f>(51.91*(1-O3/100))/0.75</f>
        <v>69.213333333333324</v>
      </c>
      <c r="M2820" s="12"/>
      <c r="N2820" s="40">
        <f t="shared" si="129"/>
        <v>0</v>
      </c>
      <c r="O2820" s="43">
        <f>0.074*M2820</f>
        <v>0</v>
      </c>
      <c r="P2820" s="47">
        <f>0.00008*M2820</f>
        <v>0</v>
      </c>
      <c r="Q2820" s="44"/>
      <c r="R2820" s="45" t="s">
        <v>8804</v>
      </c>
      <c r="S2820" s="45" t="s">
        <v>93</v>
      </c>
      <c r="T2820" s="37" t="str">
        <f>HYPERLINK("https://kanzpp.ru/api/getInfo/image/7e2a8f4d-f2ad-11f0-a28d-00155d82e908")</f>
        <v>https://kanzpp.ru/api/getInfo/image/7e2a8f4d-f2ad-11f0-a28d-00155d82e908</v>
      </c>
      <c r="U2820" s="37"/>
    </row>
    <row r="2821" spans="2:22" ht="21" customHeight="1" outlineLevel="5" x14ac:dyDescent="0.2">
      <c r="B2821" s="71">
        <v>2089</v>
      </c>
      <c r="C2821" s="37" t="s">
        <v>8805</v>
      </c>
      <c r="D2821" s="37" t="s">
        <v>8806</v>
      </c>
      <c r="E2821" s="38" t="s">
        <v>8807</v>
      </c>
      <c r="F2821" s="39"/>
      <c r="G2821" s="40"/>
      <c r="H2821" s="40"/>
      <c r="I2821" s="41">
        <v>40</v>
      </c>
      <c r="J2821" s="40" t="s">
        <v>144</v>
      </c>
      <c r="K2821" s="36">
        <v>12</v>
      </c>
      <c r="L2821" s="42">
        <f>(51.91*(1-O3/100))/0.75</f>
        <v>69.213333333333324</v>
      </c>
      <c r="M2821" s="12"/>
      <c r="N2821" s="40">
        <f t="shared" si="129"/>
        <v>0</v>
      </c>
      <c r="O2821" s="43">
        <f>0.072*M2821</f>
        <v>0</v>
      </c>
      <c r="P2821" s="47">
        <f>0.00016*M2821</f>
        <v>0</v>
      </c>
      <c r="Q2821" s="44"/>
      <c r="R2821" s="45" t="s">
        <v>8808</v>
      </c>
      <c r="S2821" s="45" t="s">
        <v>93</v>
      </c>
      <c r="T2821" s="37" t="str">
        <f>HYPERLINK("https://kanzpp.ru/api/getInfo/image/b33d9224-d756-11f0-a28c-00155d82e908")</f>
        <v>https://kanzpp.ru/api/getInfo/image/b33d9224-d756-11f0-a28c-00155d82e908</v>
      </c>
      <c r="U2821" s="37"/>
    </row>
    <row r="2822" spans="2:22" ht="21" customHeight="1" outlineLevel="5" x14ac:dyDescent="0.2">
      <c r="B2822" s="71">
        <v>2090</v>
      </c>
      <c r="C2822" s="37" t="s">
        <v>8809</v>
      </c>
      <c r="D2822" s="37" t="s">
        <v>8810</v>
      </c>
      <c r="E2822" s="38" t="s">
        <v>8811</v>
      </c>
      <c r="F2822" s="39"/>
      <c r="G2822" s="40"/>
      <c r="H2822" s="40"/>
      <c r="I2822" s="41">
        <v>40</v>
      </c>
      <c r="J2822" s="41">
        <v>66</v>
      </c>
      <c r="K2822" s="36">
        <v>12</v>
      </c>
      <c r="L2822" s="42">
        <f>(51.91*(1-O3/100))/0.75</f>
        <v>69.213333333333324</v>
      </c>
      <c r="M2822" s="12"/>
      <c r="N2822" s="40">
        <f t="shared" si="129"/>
        <v>0</v>
      </c>
      <c r="O2822" s="43">
        <f>0.081*M2822</f>
        <v>0</v>
      </c>
      <c r="P2822" s="46">
        <f>0.0001*M2822</f>
        <v>0</v>
      </c>
      <c r="Q2822" s="44"/>
      <c r="R2822" s="45" t="s">
        <v>8812</v>
      </c>
      <c r="S2822" s="45" t="s">
        <v>93</v>
      </c>
      <c r="T2822" s="37" t="str">
        <f>HYPERLINK("https://kanzpp.ru/api/getInfo/image/14fee0ba-6c61-11f0-a283-00155d82e908")</f>
        <v>https://kanzpp.ru/api/getInfo/image/14fee0ba-6c61-11f0-a283-00155d82e908</v>
      </c>
      <c r="U2822" s="37"/>
    </row>
    <row r="2823" spans="2:22" ht="22.95" customHeight="1" outlineLevel="4" x14ac:dyDescent="0.2">
      <c r="B2823" s="82" t="s">
        <v>8813</v>
      </c>
      <c r="C2823" s="82"/>
      <c r="D2823" s="82"/>
      <c r="L2823">
        <v>0</v>
      </c>
    </row>
    <row r="2824" spans="2:22" ht="21" customHeight="1" outlineLevel="5" x14ac:dyDescent="0.2">
      <c r="B2824" s="71">
        <v>2091</v>
      </c>
      <c r="C2824" s="37" t="s">
        <v>8814</v>
      </c>
      <c r="D2824" s="37" t="s">
        <v>8815</v>
      </c>
      <c r="E2824" s="38" t="s">
        <v>8816</v>
      </c>
      <c r="F2824" s="39"/>
      <c r="G2824" s="40"/>
      <c r="H2824" s="40"/>
      <c r="I2824" s="41">
        <v>40</v>
      </c>
      <c r="J2824" s="41">
        <v>79</v>
      </c>
      <c r="K2824" s="36">
        <v>12</v>
      </c>
      <c r="L2824" s="42">
        <f>(52.96*(1-O3/100))/0.75</f>
        <v>70.61333333333333</v>
      </c>
      <c r="M2824" s="12"/>
      <c r="N2824" s="40">
        <f>L2824*M2824</f>
        <v>0</v>
      </c>
      <c r="O2824" s="43">
        <f>0.076*M2824</f>
        <v>0</v>
      </c>
      <c r="P2824" s="46">
        <f>0.0001*M2824</f>
        <v>0</v>
      </c>
      <c r="Q2824" s="44"/>
      <c r="R2824" s="45" t="s">
        <v>8817</v>
      </c>
      <c r="S2824" s="45" t="s">
        <v>93</v>
      </c>
      <c r="T2824" s="37" t="str">
        <f>HYPERLINK("https://kanzpp.ru/api/getInfo/image/6e86a5af-13aa-11f0-a279-00155d82e908")</f>
        <v>https://kanzpp.ru/api/getInfo/image/6e86a5af-13aa-11f0-a279-00155d82e908</v>
      </c>
      <c r="U2824" s="37"/>
    </row>
    <row r="2825" spans="2:22" ht="21" customHeight="1" outlineLevel="5" x14ac:dyDescent="0.2">
      <c r="B2825" s="71">
        <v>2092</v>
      </c>
      <c r="C2825" s="37" t="s">
        <v>8818</v>
      </c>
      <c r="D2825" s="37" t="s">
        <v>8819</v>
      </c>
      <c r="E2825" s="38" t="s">
        <v>8820</v>
      </c>
      <c r="F2825" s="39"/>
      <c r="G2825" s="40"/>
      <c r="H2825" s="40"/>
      <c r="I2825" s="41">
        <v>40</v>
      </c>
      <c r="J2825" s="41">
        <v>12</v>
      </c>
      <c r="K2825" s="36">
        <v>12</v>
      </c>
      <c r="L2825" s="42">
        <f>(52.96*(1-O3/100))/0.75</f>
        <v>70.61333333333333</v>
      </c>
      <c r="M2825" s="12"/>
      <c r="N2825" s="40">
        <f>L2825*M2825</f>
        <v>0</v>
      </c>
      <c r="O2825" s="43">
        <f>0.079*M2825</f>
        <v>0</v>
      </c>
      <c r="P2825" s="46">
        <f>0.0001*M2825</f>
        <v>0</v>
      </c>
      <c r="Q2825" s="44"/>
      <c r="R2825" s="45" t="s">
        <v>8821</v>
      </c>
      <c r="S2825" s="45" t="s">
        <v>93</v>
      </c>
      <c r="T2825" s="37" t="str">
        <f>HYPERLINK("https://kanzpp.ru/api/getInfo/image/c6fa80ed-9517-11f0-a284-00155d82e908")</f>
        <v>https://kanzpp.ru/api/getInfo/image/c6fa80ed-9517-11f0-a284-00155d82e908</v>
      </c>
      <c r="U2825" s="37"/>
    </row>
    <row r="2826" spans="2:22" ht="21" customHeight="1" outlineLevel="5" x14ac:dyDescent="0.2">
      <c r="B2826" s="71">
        <v>2093</v>
      </c>
      <c r="C2826" s="37" t="s">
        <v>8822</v>
      </c>
      <c r="D2826" s="37" t="s">
        <v>8823</v>
      </c>
      <c r="E2826" s="38" t="s">
        <v>8824</v>
      </c>
      <c r="F2826" s="39"/>
      <c r="G2826" s="40"/>
      <c r="H2826" s="40"/>
      <c r="I2826" s="41">
        <v>40</v>
      </c>
      <c r="J2826" s="41">
        <v>418</v>
      </c>
      <c r="K2826" s="36">
        <v>12</v>
      </c>
      <c r="L2826" s="42">
        <f>(52.96*(1-O3/100))/0.75</f>
        <v>70.61333333333333</v>
      </c>
      <c r="M2826" s="12"/>
      <c r="N2826" s="40">
        <f>L2826*M2826</f>
        <v>0</v>
      </c>
      <c r="O2826" s="43">
        <f>0.076*M2826</f>
        <v>0</v>
      </c>
      <c r="P2826" s="46">
        <f>0.0001*M2826</f>
        <v>0</v>
      </c>
      <c r="Q2826" s="44"/>
      <c r="R2826" s="45" t="s">
        <v>8825</v>
      </c>
      <c r="S2826" s="45" t="s">
        <v>93</v>
      </c>
      <c r="T2826" s="37" t="str">
        <f>HYPERLINK("https://kanzpp.ru/api/getInfo/image/3e43d605-0a38-11f0-a279-00155d82e908")</f>
        <v>https://kanzpp.ru/api/getInfo/image/3e43d605-0a38-11f0-a279-00155d82e908</v>
      </c>
      <c r="U2826" s="37"/>
    </row>
    <row r="2827" spans="2:22" ht="21" customHeight="1" outlineLevel="5" x14ac:dyDescent="0.2">
      <c r="B2827" s="71">
        <v>2094</v>
      </c>
      <c r="C2827" s="37" t="s">
        <v>8826</v>
      </c>
      <c r="D2827" s="37" t="s">
        <v>8827</v>
      </c>
      <c r="E2827" s="38" t="s">
        <v>8828</v>
      </c>
      <c r="F2827" s="39"/>
      <c r="G2827" s="40"/>
      <c r="H2827" s="40"/>
      <c r="I2827" s="41">
        <v>40</v>
      </c>
      <c r="J2827" s="41">
        <v>23</v>
      </c>
      <c r="K2827" s="36">
        <v>12</v>
      </c>
      <c r="L2827" s="42">
        <f>(52.96*(1-O3/100))/0.75</f>
        <v>70.61333333333333</v>
      </c>
      <c r="M2827" s="12"/>
      <c r="N2827" s="40">
        <f>L2827*M2827</f>
        <v>0</v>
      </c>
      <c r="O2827" s="43">
        <f>0.075*M2827</f>
        <v>0</v>
      </c>
      <c r="P2827" s="47">
        <f>0.00012*M2827</f>
        <v>0</v>
      </c>
      <c r="Q2827" s="44"/>
      <c r="R2827" s="45" t="s">
        <v>8829</v>
      </c>
      <c r="S2827" s="45" t="s">
        <v>93</v>
      </c>
      <c r="T2827" s="37" t="str">
        <f>HYPERLINK("https://kanzpp.ru/api/getInfo/image/0af5cbba-0a38-11f0-a279-00155d82e908")</f>
        <v>https://kanzpp.ru/api/getInfo/image/0af5cbba-0a38-11f0-a279-00155d82e908</v>
      </c>
      <c r="U2827" s="37"/>
    </row>
    <row r="2828" spans="2:22" ht="22.95" customHeight="1" outlineLevel="4" x14ac:dyDescent="0.2">
      <c r="B2828" s="82" t="s">
        <v>8830</v>
      </c>
      <c r="C2828" s="82"/>
      <c r="D2828" s="82"/>
      <c r="L2828">
        <v>0</v>
      </c>
    </row>
    <row r="2829" spans="2:22" ht="21" customHeight="1" outlineLevel="5" x14ac:dyDescent="0.2">
      <c r="B2829" s="69">
        <v>2095</v>
      </c>
      <c r="C2829" s="6" t="s">
        <v>8831</v>
      </c>
      <c r="D2829" s="6" t="s">
        <v>8832</v>
      </c>
      <c r="E2829" s="7" t="s">
        <v>8833</v>
      </c>
      <c r="F2829" s="13"/>
      <c r="G2829" s="14"/>
      <c r="H2829" s="14"/>
      <c r="I2829" s="15">
        <v>40</v>
      </c>
      <c r="J2829" s="15">
        <v>459</v>
      </c>
      <c r="K2829" s="5">
        <v>10</v>
      </c>
      <c r="L2829" s="16">
        <v>26.533333333333331</v>
      </c>
      <c r="M2829" s="12"/>
      <c r="N2829" s="14">
        <f t="shared" ref="N2829:N2862" si="130">L2829*M2829</f>
        <v>0</v>
      </c>
      <c r="O2829" s="23">
        <f>0.009*M2829</f>
        <v>0</v>
      </c>
      <c r="P2829" s="24">
        <f>0.00008*M2829</f>
        <v>0</v>
      </c>
      <c r="Q2829" s="25"/>
      <c r="R2829" s="26" t="s">
        <v>8834</v>
      </c>
      <c r="S2829" s="26" t="s">
        <v>93</v>
      </c>
      <c r="T2829" s="6" t="str">
        <f>HYPERLINK("https://kanzpp.ru/api/getInfo/image/01f502fe-1f28-11ef-a25f-00155d82e908")</f>
        <v>https://kanzpp.ru/api/getInfo/image/01f502fe-1f28-11ef-a25f-00155d82e908</v>
      </c>
      <c r="U2829" s="6"/>
      <c r="V2829" s="33" t="s">
        <v>35</v>
      </c>
    </row>
    <row r="2830" spans="2:22" ht="21" customHeight="1" outlineLevel="5" x14ac:dyDescent="0.2">
      <c r="B2830" s="71">
        <v>2096</v>
      </c>
      <c r="C2830" s="37" t="s">
        <v>8835</v>
      </c>
      <c r="D2830" s="37" t="s">
        <v>8836</v>
      </c>
      <c r="E2830" s="38" t="s">
        <v>8837</v>
      </c>
      <c r="F2830" s="39"/>
      <c r="G2830" s="40"/>
      <c r="H2830" s="40"/>
      <c r="I2830" s="41">
        <v>40</v>
      </c>
      <c r="J2830" s="41">
        <v>435</v>
      </c>
      <c r="K2830" s="36">
        <v>10</v>
      </c>
      <c r="L2830" s="42">
        <f>(59.31*(1-O3/100))/0.75</f>
        <v>79.08</v>
      </c>
      <c r="M2830" s="12"/>
      <c r="N2830" s="40">
        <f t="shared" si="130"/>
        <v>0</v>
      </c>
      <c r="O2830" s="43">
        <f>0.077*M2830</f>
        <v>0</v>
      </c>
      <c r="P2830" s="47">
        <f>0.00008*M2830</f>
        <v>0</v>
      </c>
      <c r="Q2830" s="44"/>
      <c r="R2830" s="45" t="s">
        <v>8838</v>
      </c>
      <c r="S2830" s="45" t="s">
        <v>93</v>
      </c>
      <c r="T2830" s="37" t="str">
        <f>HYPERLINK("https://kanzpp.ru/api/getInfo/image/1232e1b4-6c68-11f0-a283-00155d82e908")</f>
        <v>https://kanzpp.ru/api/getInfo/image/1232e1b4-6c68-11f0-a283-00155d82e908</v>
      </c>
      <c r="U2830" s="37"/>
    </row>
    <row r="2831" spans="2:22" ht="21" customHeight="1" outlineLevel="5" x14ac:dyDescent="0.2">
      <c r="B2831" s="71">
        <v>2097</v>
      </c>
      <c r="C2831" s="37" t="s">
        <v>8839</v>
      </c>
      <c r="D2831" s="37" t="s">
        <v>8840</v>
      </c>
      <c r="E2831" s="38" t="s">
        <v>8841</v>
      </c>
      <c r="F2831" s="39"/>
      <c r="G2831" s="40"/>
      <c r="H2831" s="40"/>
      <c r="I2831" s="41">
        <v>40</v>
      </c>
      <c r="J2831" s="41">
        <v>445</v>
      </c>
      <c r="K2831" s="36">
        <v>10</v>
      </c>
      <c r="L2831" s="42">
        <f>(59.31*(1-O3/100))/0.75</f>
        <v>79.08</v>
      </c>
      <c r="M2831" s="12"/>
      <c r="N2831" s="40">
        <f t="shared" si="130"/>
        <v>0</v>
      </c>
      <c r="O2831" s="43">
        <f>0.077*M2831</f>
        <v>0</v>
      </c>
      <c r="P2831" s="47">
        <f>0.00008*M2831</f>
        <v>0</v>
      </c>
      <c r="Q2831" s="44"/>
      <c r="R2831" s="45" t="s">
        <v>8842</v>
      </c>
      <c r="S2831" s="45" t="s">
        <v>93</v>
      </c>
      <c r="T2831" s="37" t="str">
        <f>HYPERLINK("https://kanzpp.ru/api/getInfo/image/368566e9-6c68-11f0-a283-00155d82e908")</f>
        <v>https://kanzpp.ru/api/getInfo/image/368566e9-6c68-11f0-a283-00155d82e908</v>
      </c>
      <c r="U2831" s="37"/>
    </row>
    <row r="2832" spans="2:22" ht="21" customHeight="1" outlineLevel="5" x14ac:dyDescent="0.2">
      <c r="B2832" s="69">
        <v>2098</v>
      </c>
      <c r="C2832" s="6" t="s">
        <v>8843</v>
      </c>
      <c r="D2832" s="6" t="s">
        <v>8844</v>
      </c>
      <c r="E2832" s="7" t="s">
        <v>8845</v>
      </c>
      <c r="F2832" s="13"/>
      <c r="G2832" s="14"/>
      <c r="H2832" s="14"/>
      <c r="I2832" s="15">
        <v>40</v>
      </c>
      <c r="J2832" s="15">
        <v>574</v>
      </c>
      <c r="K2832" s="5">
        <v>10</v>
      </c>
      <c r="L2832" s="16">
        <v>39.866666666666667</v>
      </c>
      <c r="M2832" s="12"/>
      <c r="N2832" s="14">
        <f t="shared" si="130"/>
        <v>0</v>
      </c>
      <c r="O2832" s="23">
        <f>0.089*M2832</f>
        <v>0</v>
      </c>
      <c r="P2832" s="24">
        <f>0.00028*M2832</f>
        <v>0</v>
      </c>
      <c r="Q2832" s="25"/>
      <c r="R2832" s="26" t="s">
        <v>8846</v>
      </c>
      <c r="S2832" s="26" t="s">
        <v>93</v>
      </c>
      <c r="T2832" s="6" t="str">
        <f>HYPERLINK("https://kanzpp.ru/api/getInfo/image/df5ce1d5-d397-11ed-a230-00155d82e902")</f>
        <v>https://kanzpp.ru/api/getInfo/image/df5ce1d5-d397-11ed-a230-00155d82e902</v>
      </c>
      <c r="U2832" s="6"/>
      <c r="V2832" s="33" t="s">
        <v>35</v>
      </c>
    </row>
    <row r="2833" spans="2:22" ht="21" customHeight="1" outlineLevel="5" x14ac:dyDescent="0.2">
      <c r="B2833" s="71">
        <v>2099</v>
      </c>
      <c r="C2833" s="37" t="s">
        <v>8847</v>
      </c>
      <c r="D2833" s="37" t="s">
        <v>8848</v>
      </c>
      <c r="E2833" s="38" t="s">
        <v>8849</v>
      </c>
      <c r="F2833" s="39"/>
      <c r="G2833" s="40"/>
      <c r="H2833" s="40"/>
      <c r="I2833" s="41">
        <v>40</v>
      </c>
      <c r="J2833" s="41">
        <v>344</v>
      </c>
      <c r="K2833" s="36">
        <v>10</v>
      </c>
      <c r="L2833" s="42">
        <f>(59.31*(1-O3/100))/0.75</f>
        <v>79.08</v>
      </c>
      <c r="M2833" s="12"/>
      <c r="N2833" s="40">
        <f t="shared" si="130"/>
        <v>0</v>
      </c>
      <c r="O2833" s="43">
        <f>0.077*M2833</f>
        <v>0</v>
      </c>
      <c r="P2833" s="47">
        <f>0.00008*M2833</f>
        <v>0</v>
      </c>
      <c r="Q2833" s="44"/>
      <c r="R2833" s="45" t="s">
        <v>8850</v>
      </c>
      <c r="S2833" s="45" t="s">
        <v>93</v>
      </c>
      <c r="T2833" s="37" t="str">
        <f>HYPERLINK("https://kanzpp.ru/api/getInfo/image/b0931c07-6c67-11f0-a283-00155d82e908")</f>
        <v>https://kanzpp.ru/api/getInfo/image/b0931c07-6c67-11f0-a283-00155d82e908</v>
      </c>
      <c r="U2833" s="37"/>
    </row>
    <row r="2834" spans="2:22" ht="21" customHeight="1" outlineLevel="5" x14ac:dyDescent="0.2">
      <c r="B2834" s="69">
        <v>2100</v>
      </c>
      <c r="C2834" s="6" t="s">
        <v>8851</v>
      </c>
      <c r="D2834" s="6" t="s">
        <v>8852</v>
      </c>
      <c r="E2834" s="7" t="s">
        <v>8853</v>
      </c>
      <c r="F2834" s="13"/>
      <c r="G2834" s="14"/>
      <c r="H2834" s="14"/>
      <c r="I2834" s="15">
        <v>40</v>
      </c>
      <c r="J2834" s="15">
        <v>45</v>
      </c>
      <c r="K2834" s="5">
        <v>10</v>
      </c>
      <c r="L2834" s="16">
        <v>39.866666666666667</v>
      </c>
      <c r="M2834" s="12"/>
      <c r="N2834" s="14">
        <f t="shared" si="130"/>
        <v>0</v>
      </c>
      <c r="O2834" s="23">
        <f>0.081*M2834</f>
        <v>0</v>
      </c>
      <c r="P2834" s="24">
        <f>0.00013*M2834</f>
        <v>0</v>
      </c>
      <c r="Q2834" s="25"/>
      <c r="R2834" s="26" t="s">
        <v>8854</v>
      </c>
      <c r="S2834" s="26" t="s">
        <v>93</v>
      </c>
      <c r="T2834" s="6" t="str">
        <f>HYPERLINK("https://kanzpp.ru/api/getInfo/image/b2f7e62b-d395-11ed-a230-00155d82e902")</f>
        <v>https://kanzpp.ru/api/getInfo/image/b2f7e62b-d395-11ed-a230-00155d82e902</v>
      </c>
      <c r="U2834" s="6"/>
      <c r="V2834" s="33" t="s">
        <v>35</v>
      </c>
    </row>
    <row r="2835" spans="2:22" ht="21" customHeight="1" outlineLevel="5" x14ac:dyDescent="0.2">
      <c r="B2835" s="69">
        <v>2101</v>
      </c>
      <c r="C2835" s="6" t="s">
        <v>8855</v>
      </c>
      <c r="D2835" s="6" t="s">
        <v>8856</v>
      </c>
      <c r="E2835" s="7" t="s">
        <v>8857</v>
      </c>
      <c r="F2835" s="13"/>
      <c r="G2835" s="14"/>
      <c r="H2835" s="14"/>
      <c r="I2835" s="15">
        <v>40</v>
      </c>
      <c r="J2835" s="15">
        <v>13</v>
      </c>
      <c r="K2835" s="5">
        <v>10</v>
      </c>
      <c r="L2835" s="16">
        <v>39.866666666666667</v>
      </c>
      <c r="M2835" s="12"/>
      <c r="N2835" s="14">
        <f t="shared" si="130"/>
        <v>0</v>
      </c>
      <c r="O2835" s="23">
        <f>0.089*M2835</f>
        <v>0</v>
      </c>
      <c r="P2835" s="24">
        <f>0.00028*M2835</f>
        <v>0</v>
      </c>
      <c r="Q2835" s="25"/>
      <c r="R2835" s="26" t="s">
        <v>8858</v>
      </c>
      <c r="S2835" s="26" t="s">
        <v>93</v>
      </c>
      <c r="T2835" s="6" t="str">
        <f>HYPERLINK("https://kanzpp.ru/api/getInfo/image/8c4fac12-d398-11ed-a230-00155d82e902")</f>
        <v>https://kanzpp.ru/api/getInfo/image/8c4fac12-d398-11ed-a230-00155d82e902</v>
      </c>
      <c r="U2835" s="6"/>
      <c r="V2835" s="33" t="s">
        <v>35</v>
      </c>
    </row>
    <row r="2836" spans="2:22" ht="21" customHeight="1" outlineLevel="5" x14ac:dyDescent="0.2">
      <c r="B2836" s="69">
        <v>2102</v>
      </c>
      <c r="C2836" s="6" t="s">
        <v>8859</v>
      </c>
      <c r="D2836" s="6" t="s">
        <v>8860</v>
      </c>
      <c r="E2836" s="7" t="s">
        <v>8861</v>
      </c>
      <c r="F2836" s="13"/>
      <c r="G2836" s="14"/>
      <c r="H2836" s="14"/>
      <c r="I2836" s="15">
        <v>40</v>
      </c>
      <c r="J2836" s="15">
        <v>738</v>
      </c>
      <c r="K2836" s="5">
        <v>10</v>
      </c>
      <c r="L2836" s="16">
        <v>39.866666666666667</v>
      </c>
      <c r="M2836" s="12"/>
      <c r="N2836" s="14">
        <f t="shared" si="130"/>
        <v>0</v>
      </c>
      <c r="O2836" s="23">
        <f>0.088*M2836</f>
        <v>0</v>
      </c>
      <c r="P2836" s="24">
        <f>0.00011*M2836</f>
        <v>0</v>
      </c>
      <c r="Q2836" s="25"/>
      <c r="R2836" s="26" t="s">
        <v>8862</v>
      </c>
      <c r="S2836" s="26" t="s">
        <v>93</v>
      </c>
      <c r="T2836" s="6" t="str">
        <f>HYPERLINK("https://kanzpp.ru/api/getInfo/image/4c4f89ec-d395-11ed-a230-00155d82e902")</f>
        <v>https://kanzpp.ru/api/getInfo/image/4c4f89ec-d395-11ed-a230-00155d82e902</v>
      </c>
      <c r="U2836" s="6"/>
      <c r="V2836" s="33" t="s">
        <v>35</v>
      </c>
    </row>
    <row r="2837" spans="2:22" ht="21" customHeight="1" outlineLevel="5" x14ac:dyDescent="0.2">
      <c r="B2837" s="71">
        <v>2103</v>
      </c>
      <c r="C2837" s="37" t="s">
        <v>8863</v>
      </c>
      <c r="D2837" s="37" t="s">
        <v>8864</v>
      </c>
      <c r="E2837" s="38" t="s">
        <v>8865</v>
      </c>
      <c r="F2837" s="39"/>
      <c r="G2837" s="40"/>
      <c r="H2837" s="40"/>
      <c r="I2837" s="41">
        <v>40</v>
      </c>
      <c r="J2837" s="40" t="s">
        <v>144</v>
      </c>
      <c r="K2837" s="36">
        <v>10</v>
      </c>
      <c r="L2837" s="42">
        <f>(59.31*(1-O3/100))/0.75</f>
        <v>79.08</v>
      </c>
      <c r="M2837" s="12"/>
      <c r="N2837" s="40">
        <f t="shared" si="130"/>
        <v>0</v>
      </c>
      <c r="O2837" s="43">
        <f>0.077*M2837</f>
        <v>0</v>
      </c>
      <c r="P2837" s="47">
        <f>0.00008*M2837</f>
        <v>0</v>
      </c>
      <c r="Q2837" s="44"/>
      <c r="R2837" s="45" t="s">
        <v>8866</v>
      </c>
      <c r="S2837" s="45" t="s">
        <v>93</v>
      </c>
      <c r="T2837" s="37" t="str">
        <f>HYPERLINK("https://kanzpp.ru/api/getInfo/image/5a862641-6c67-11f0-a283-00155d82e908")</f>
        <v>https://kanzpp.ru/api/getInfo/image/5a862641-6c67-11f0-a283-00155d82e908</v>
      </c>
      <c r="U2837" s="37"/>
    </row>
    <row r="2838" spans="2:22" ht="21" customHeight="1" outlineLevel="5" x14ac:dyDescent="0.2">
      <c r="B2838" s="71">
        <v>2104</v>
      </c>
      <c r="C2838" s="37" t="s">
        <v>8867</v>
      </c>
      <c r="D2838" s="37" t="s">
        <v>8868</v>
      </c>
      <c r="E2838" s="38" t="s">
        <v>8869</v>
      </c>
      <c r="F2838" s="39"/>
      <c r="G2838" s="40"/>
      <c r="H2838" s="40"/>
      <c r="I2838" s="41">
        <v>40</v>
      </c>
      <c r="J2838" s="41">
        <v>956</v>
      </c>
      <c r="K2838" s="36">
        <v>10</v>
      </c>
      <c r="L2838" s="42">
        <f>(59.31*(1-O3/100))/0.75</f>
        <v>79.08</v>
      </c>
      <c r="M2838" s="12"/>
      <c r="N2838" s="40">
        <f t="shared" si="130"/>
        <v>0</v>
      </c>
      <c r="O2838" s="43">
        <f>0.077*M2838</f>
        <v>0</v>
      </c>
      <c r="P2838" s="47">
        <f>0.00008*M2838</f>
        <v>0</v>
      </c>
      <c r="Q2838" s="44"/>
      <c r="R2838" s="45" t="s">
        <v>8870</v>
      </c>
      <c r="S2838" s="45" t="s">
        <v>93</v>
      </c>
      <c r="T2838" s="37" t="str">
        <f>HYPERLINK("https://kanzpp.ru/api/getInfo/image/09cab0c1-6c67-11f0-a283-00155d82e908")</f>
        <v>https://kanzpp.ru/api/getInfo/image/09cab0c1-6c67-11f0-a283-00155d82e908</v>
      </c>
      <c r="U2838" s="37"/>
    </row>
    <row r="2839" spans="2:22" ht="21" customHeight="1" outlineLevel="5" x14ac:dyDescent="0.2">
      <c r="B2839" s="69">
        <v>2105</v>
      </c>
      <c r="C2839" s="6" t="s">
        <v>8871</v>
      </c>
      <c r="D2839" s="6" t="s">
        <v>8872</v>
      </c>
      <c r="E2839" s="7" t="s">
        <v>8873</v>
      </c>
      <c r="F2839" s="13"/>
      <c r="G2839" s="14"/>
      <c r="H2839" s="14"/>
      <c r="I2839" s="15">
        <v>40</v>
      </c>
      <c r="J2839" s="14" t="s">
        <v>144</v>
      </c>
      <c r="K2839" s="5">
        <v>10</v>
      </c>
      <c r="L2839" s="16">
        <v>19.866666666666667</v>
      </c>
      <c r="M2839" s="12"/>
      <c r="N2839" s="14">
        <f t="shared" si="130"/>
        <v>0</v>
      </c>
      <c r="O2839" s="23">
        <f>0.098*M2839</f>
        <v>0</v>
      </c>
      <c r="P2839" s="24">
        <f>0.00011*M2839</f>
        <v>0</v>
      </c>
      <c r="Q2839" s="25"/>
      <c r="R2839" s="26" t="s">
        <v>8874</v>
      </c>
      <c r="S2839" s="26" t="s">
        <v>93</v>
      </c>
      <c r="T2839" s="6" t="str">
        <f>HYPERLINK("https://kanzpp.ru/api/getInfo/image/30b5a4c2-ab44-11ec-a211-ac1f6b442185")</f>
        <v>https://kanzpp.ru/api/getInfo/image/30b5a4c2-ab44-11ec-a211-ac1f6b442185</v>
      </c>
      <c r="U2839" s="6"/>
      <c r="V2839" s="33" t="s">
        <v>35</v>
      </c>
    </row>
    <row r="2840" spans="2:22" ht="21" customHeight="1" outlineLevel="5" x14ac:dyDescent="0.2">
      <c r="B2840" s="71">
        <v>2106</v>
      </c>
      <c r="C2840" s="37" t="s">
        <v>8875</v>
      </c>
      <c r="D2840" s="37" t="s">
        <v>8876</v>
      </c>
      <c r="E2840" s="38" t="s">
        <v>8877</v>
      </c>
      <c r="F2840" s="39"/>
      <c r="G2840" s="40"/>
      <c r="H2840" s="40"/>
      <c r="I2840" s="41">
        <v>40</v>
      </c>
      <c r="J2840" s="41">
        <v>353</v>
      </c>
      <c r="K2840" s="36">
        <v>10</v>
      </c>
      <c r="L2840" s="42">
        <f>(59.31*(1-O3/100))/0.75</f>
        <v>79.08</v>
      </c>
      <c r="M2840" s="12"/>
      <c r="N2840" s="40">
        <f t="shared" si="130"/>
        <v>0</v>
      </c>
      <c r="O2840" s="43">
        <f>0.086*M2840</f>
        <v>0</v>
      </c>
      <c r="P2840" s="47">
        <f>0.00028*M2840</f>
        <v>0</v>
      </c>
      <c r="Q2840" s="44"/>
      <c r="R2840" s="45" t="s">
        <v>8878</v>
      </c>
      <c r="S2840" s="45" t="s">
        <v>93</v>
      </c>
      <c r="T2840" s="37" t="str">
        <f>HYPERLINK("https://kanzpp.ru/api/getInfo/image/ce729a52-f2ae-11f0-a28d-00155d82e908")</f>
        <v>https://kanzpp.ru/api/getInfo/image/ce729a52-f2ae-11f0-a28d-00155d82e908</v>
      </c>
      <c r="U2840" s="37"/>
    </row>
    <row r="2841" spans="2:22" ht="21" customHeight="1" outlineLevel="5" x14ac:dyDescent="0.2">
      <c r="B2841" s="71">
        <v>2107</v>
      </c>
      <c r="C2841" s="37" t="s">
        <v>8879</v>
      </c>
      <c r="D2841" s="37" t="s">
        <v>8880</v>
      </c>
      <c r="E2841" s="38" t="s">
        <v>8881</v>
      </c>
      <c r="F2841" s="39"/>
      <c r="G2841" s="40"/>
      <c r="H2841" s="40"/>
      <c r="I2841" s="41">
        <v>40</v>
      </c>
      <c r="J2841" s="41">
        <v>583</v>
      </c>
      <c r="K2841" s="36">
        <v>10</v>
      </c>
      <c r="L2841" s="42">
        <f>(59.31*(1-O3/100))/0.75</f>
        <v>79.08</v>
      </c>
      <c r="M2841" s="12"/>
      <c r="N2841" s="40">
        <f t="shared" si="130"/>
        <v>0</v>
      </c>
      <c r="O2841" s="43">
        <f>0.073*M2841</f>
        <v>0</v>
      </c>
      <c r="P2841" s="47">
        <f>0.00016*M2841</f>
        <v>0</v>
      </c>
      <c r="Q2841" s="44"/>
      <c r="R2841" s="45" t="s">
        <v>8882</v>
      </c>
      <c r="S2841" s="45" t="s">
        <v>93</v>
      </c>
      <c r="T2841" s="37" t="str">
        <f>HYPERLINK("https://kanzpp.ru/api/getInfo/image/fea20a47-f2ae-11f0-a28d-00155d82e908")</f>
        <v>https://kanzpp.ru/api/getInfo/image/fea20a47-f2ae-11f0-a28d-00155d82e908</v>
      </c>
      <c r="U2841" s="37"/>
    </row>
    <row r="2842" spans="2:22" ht="21" customHeight="1" outlineLevel="5" x14ac:dyDescent="0.2">
      <c r="B2842" s="71">
        <v>2108</v>
      </c>
      <c r="C2842" s="37" t="s">
        <v>8883</v>
      </c>
      <c r="D2842" s="37" t="s">
        <v>8884</v>
      </c>
      <c r="E2842" s="38" t="s">
        <v>8885</v>
      </c>
      <c r="F2842" s="39"/>
      <c r="G2842" s="40"/>
      <c r="H2842" s="40"/>
      <c r="I2842" s="41">
        <v>40</v>
      </c>
      <c r="J2842" s="40" t="s">
        <v>144</v>
      </c>
      <c r="K2842" s="36">
        <v>10</v>
      </c>
      <c r="L2842" s="42">
        <f>(59.31*(1-O3/100))/0.75</f>
        <v>79.08</v>
      </c>
      <c r="M2842" s="12"/>
      <c r="N2842" s="40">
        <f t="shared" si="130"/>
        <v>0</v>
      </c>
      <c r="O2842" s="43">
        <f>0.087*M2842</f>
        <v>0</v>
      </c>
      <c r="P2842" s="47">
        <f>0.00013*M2842</f>
        <v>0</v>
      </c>
      <c r="Q2842" s="44"/>
      <c r="R2842" s="45" t="s">
        <v>8886</v>
      </c>
      <c r="S2842" s="45" t="s">
        <v>93</v>
      </c>
      <c r="T2842" s="37" t="str">
        <f>HYPERLINK("https://kanzpp.ru/api/getInfo/image/df9777b8-aa8c-11f0-a286-00155d82e908")</f>
        <v>https://kanzpp.ru/api/getInfo/image/df9777b8-aa8c-11f0-a286-00155d82e908</v>
      </c>
      <c r="U2842" s="37"/>
    </row>
    <row r="2843" spans="2:22" ht="21" customHeight="1" outlineLevel="5" x14ac:dyDescent="0.2">
      <c r="B2843" s="71">
        <v>2109</v>
      </c>
      <c r="C2843" s="37" t="s">
        <v>8887</v>
      </c>
      <c r="D2843" s="37" t="s">
        <v>8888</v>
      </c>
      <c r="E2843" s="38" t="s">
        <v>8889</v>
      </c>
      <c r="F2843" s="39"/>
      <c r="G2843" s="40"/>
      <c r="H2843" s="40"/>
      <c r="I2843" s="41">
        <v>40</v>
      </c>
      <c r="J2843" s="40" t="s">
        <v>144</v>
      </c>
      <c r="K2843" s="36">
        <v>10</v>
      </c>
      <c r="L2843" s="42">
        <f>(59.31*(1-O3/100))/0.75</f>
        <v>79.08</v>
      </c>
      <c r="M2843" s="12"/>
      <c r="N2843" s="40">
        <f t="shared" si="130"/>
        <v>0</v>
      </c>
      <c r="O2843" s="43">
        <f>0.087*M2843</f>
        <v>0</v>
      </c>
      <c r="P2843" s="47">
        <f>0.00013*M2843</f>
        <v>0</v>
      </c>
      <c r="Q2843" s="44"/>
      <c r="R2843" s="45" t="s">
        <v>8890</v>
      </c>
      <c r="S2843" s="45" t="s">
        <v>93</v>
      </c>
      <c r="T2843" s="37" t="str">
        <f>HYPERLINK("https://kanzpp.ru/api/getInfo/image/0d4c18bb-aa8d-11f0-a286-00155d82e908")</f>
        <v>https://kanzpp.ru/api/getInfo/image/0d4c18bb-aa8d-11f0-a286-00155d82e908</v>
      </c>
      <c r="U2843" s="37"/>
    </row>
    <row r="2844" spans="2:22" ht="21" customHeight="1" outlineLevel="5" x14ac:dyDescent="0.2">
      <c r="B2844" s="71">
        <v>2110</v>
      </c>
      <c r="C2844" s="37" t="s">
        <v>8891</v>
      </c>
      <c r="D2844" s="37" t="s">
        <v>8892</v>
      </c>
      <c r="E2844" s="38" t="s">
        <v>8893</v>
      </c>
      <c r="F2844" s="39"/>
      <c r="G2844" s="40"/>
      <c r="H2844" s="40"/>
      <c r="I2844" s="41">
        <v>40</v>
      </c>
      <c r="J2844" s="41">
        <v>554</v>
      </c>
      <c r="K2844" s="36">
        <v>10</v>
      </c>
      <c r="L2844" s="42">
        <f>(59.31*(1-O3/100))/0.75</f>
        <v>79.08</v>
      </c>
      <c r="M2844" s="12"/>
      <c r="N2844" s="40">
        <f t="shared" si="130"/>
        <v>0</v>
      </c>
      <c r="O2844" s="43">
        <f>0.087*M2844</f>
        <v>0</v>
      </c>
      <c r="P2844" s="47">
        <f>0.00013*M2844</f>
        <v>0</v>
      </c>
      <c r="Q2844" s="44"/>
      <c r="R2844" s="45" t="s">
        <v>8894</v>
      </c>
      <c r="S2844" s="45" t="s">
        <v>93</v>
      </c>
      <c r="T2844" s="37" t="str">
        <f>HYPERLINK("https://kanzpp.ru/api/getInfo/image/83289319-aa8d-11f0-a286-00155d82e908")</f>
        <v>https://kanzpp.ru/api/getInfo/image/83289319-aa8d-11f0-a286-00155d82e908</v>
      </c>
      <c r="U2844" s="37"/>
    </row>
    <row r="2845" spans="2:22" ht="21" customHeight="1" outlineLevel="5" x14ac:dyDescent="0.2">
      <c r="B2845" s="71">
        <v>2111</v>
      </c>
      <c r="C2845" s="37" t="s">
        <v>8895</v>
      </c>
      <c r="D2845" s="37" t="s">
        <v>8896</v>
      </c>
      <c r="E2845" s="38" t="s">
        <v>8897</v>
      </c>
      <c r="F2845" s="39"/>
      <c r="G2845" s="40"/>
      <c r="H2845" s="40"/>
      <c r="I2845" s="41">
        <v>40</v>
      </c>
      <c r="J2845" s="40" t="s">
        <v>144</v>
      </c>
      <c r="K2845" s="36">
        <v>10</v>
      </c>
      <c r="L2845" s="42">
        <f>(59.31*(1-O3/100))/0.75</f>
        <v>79.08</v>
      </c>
      <c r="M2845" s="12"/>
      <c r="N2845" s="40">
        <f t="shared" si="130"/>
        <v>0</v>
      </c>
      <c r="O2845" s="43">
        <f>0.077*M2845</f>
        <v>0</v>
      </c>
      <c r="P2845" s="47">
        <f>0.00008*M2845</f>
        <v>0</v>
      </c>
      <c r="Q2845" s="44"/>
      <c r="R2845" s="45" t="s">
        <v>8898</v>
      </c>
      <c r="S2845" s="45" t="s">
        <v>93</v>
      </c>
      <c r="T2845" s="37" t="str">
        <f>HYPERLINK("https://kanzpp.ru/api/getInfo/image/d4fd6ea7-6c67-11f0-a283-00155d82e908")</f>
        <v>https://kanzpp.ru/api/getInfo/image/d4fd6ea7-6c67-11f0-a283-00155d82e908</v>
      </c>
      <c r="U2845" s="37"/>
    </row>
    <row r="2846" spans="2:22" ht="21" customHeight="1" outlineLevel="5" x14ac:dyDescent="0.2">
      <c r="B2846" s="71">
        <v>2112</v>
      </c>
      <c r="C2846" s="37" t="s">
        <v>8899</v>
      </c>
      <c r="D2846" s="37" t="s">
        <v>8900</v>
      </c>
      <c r="E2846" s="38" t="s">
        <v>8901</v>
      </c>
      <c r="F2846" s="39"/>
      <c r="G2846" s="40"/>
      <c r="H2846" s="40"/>
      <c r="I2846" s="41">
        <v>40</v>
      </c>
      <c r="J2846" s="41">
        <v>219</v>
      </c>
      <c r="K2846" s="36">
        <v>10</v>
      </c>
      <c r="L2846" s="42">
        <f>(59.31*(1-O3/100))/0.75</f>
        <v>79.08</v>
      </c>
      <c r="M2846" s="12"/>
      <c r="N2846" s="40">
        <f t="shared" si="130"/>
        <v>0</v>
      </c>
      <c r="O2846" s="43">
        <f>0.088*M2846</f>
        <v>0</v>
      </c>
      <c r="P2846" s="46">
        <f>0.0002*M2846</f>
        <v>0</v>
      </c>
      <c r="Q2846" s="44"/>
      <c r="R2846" s="45" t="s">
        <v>8902</v>
      </c>
      <c r="S2846" s="45" t="s">
        <v>93</v>
      </c>
      <c r="T2846" s="37" t="str">
        <f>HYPERLINK("https://kanzpp.ru/api/getInfo/image/6066e232-f2ae-11f0-a28d-00155d82e908")</f>
        <v>https://kanzpp.ru/api/getInfo/image/6066e232-f2ae-11f0-a28d-00155d82e908</v>
      </c>
      <c r="U2846" s="37"/>
    </row>
    <row r="2847" spans="2:22" ht="21" customHeight="1" outlineLevel="5" x14ac:dyDescent="0.2">
      <c r="B2847" s="71">
        <v>2113</v>
      </c>
      <c r="C2847" s="37" t="s">
        <v>8903</v>
      </c>
      <c r="D2847" s="37" t="s">
        <v>8904</v>
      </c>
      <c r="E2847" s="38" t="s">
        <v>8905</v>
      </c>
      <c r="F2847" s="39"/>
      <c r="G2847" s="40"/>
      <c r="H2847" s="40"/>
      <c r="I2847" s="41">
        <v>40</v>
      </c>
      <c r="J2847" s="40" t="s">
        <v>144</v>
      </c>
      <c r="K2847" s="36">
        <v>10</v>
      </c>
      <c r="L2847" s="42">
        <f>(59.31*(1-O3/100))/0.75</f>
        <v>79.08</v>
      </c>
      <c r="M2847" s="12"/>
      <c r="N2847" s="40">
        <f t="shared" si="130"/>
        <v>0</v>
      </c>
      <c r="O2847" s="43">
        <f>0.087*M2847</f>
        <v>0</v>
      </c>
      <c r="P2847" s="47">
        <f>0.00013*M2847</f>
        <v>0</v>
      </c>
      <c r="Q2847" s="44"/>
      <c r="R2847" s="45" t="s">
        <v>8906</v>
      </c>
      <c r="S2847" s="45" t="s">
        <v>93</v>
      </c>
      <c r="T2847" s="37" t="str">
        <f>HYPERLINK("https://kanzpp.ru/api/getInfo/image/87229954-aa8c-11f0-a286-00155d82e908")</f>
        <v>https://kanzpp.ru/api/getInfo/image/87229954-aa8c-11f0-a286-00155d82e908</v>
      </c>
      <c r="U2847" s="37"/>
    </row>
    <row r="2848" spans="2:22" ht="21" customHeight="1" outlineLevel="5" x14ac:dyDescent="0.2">
      <c r="B2848" s="69">
        <v>2114</v>
      </c>
      <c r="C2848" s="6" t="s">
        <v>8907</v>
      </c>
      <c r="D2848" s="6" t="s">
        <v>8908</v>
      </c>
      <c r="E2848" s="7" t="s">
        <v>8909</v>
      </c>
      <c r="F2848" s="13"/>
      <c r="G2848" s="14"/>
      <c r="H2848" s="14"/>
      <c r="I2848" s="15">
        <v>40</v>
      </c>
      <c r="J2848" s="14" t="s">
        <v>144</v>
      </c>
      <c r="K2848" s="5">
        <v>10</v>
      </c>
      <c r="L2848" s="16">
        <v>39.866666666666667</v>
      </c>
      <c r="M2848" s="12"/>
      <c r="N2848" s="14">
        <f t="shared" si="130"/>
        <v>0</v>
      </c>
      <c r="O2848" s="28">
        <f>0.09*M2848</f>
        <v>0</v>
      </c>
      <c r="P2848" s="24">
        <f>0.00012*M2848</f>
        <v>0</v>
      </c>
      <c r="Q2848" s="25"/>
      <c r="R2848" s="26" t="s">
        <v>8910</v>
      </c>
      <c r="S2848" s="26" t="s">
        <v>93</v>
      </c>
      <c r="T2848" s="6" t="str">
        <f>HYPERLINK("https://kanzpp.ru/api/getInfo/image/1ece40c0-d395-11ed-a230-00155d82e902")</f>
        <v>https://kanzpp.ru/api/getInfo/image/1ece40c0-d395-11ed-a230-00155d82e902</v>
      </c>
      <c r="U2848" s="6"/>
      <c r="V2848" s="33" t="s">
        <v>35</v>
      </c>
    </row>
    <row r="2849" spans="2:22" ht="21" customHeight="1" outlineLevel="5" x14ac:dyDescent="0.2">
      <c r="B2849" s="71">
        <v>2115</v>
      </c>
      <c r="C2849" s="37" t="s">
        <v>8911</v>
      </c>
      <c r="D2849" s="37" t="s">
        <v>8912</v>
      </c>
      <c r="E2849" s="38" t="s">
        <v>8913</v>
      </c>
      <c r="F2849" s="39"/>
      <c r="G2849" s="40"/>
      <c r="H2849" s="40"/>
      <c r="I2849" s="41">
        <v>40</v>
      </c>
      <c r="J2849" s="41">
        <v>723</v>
      </c>
      <c r="K2849" s="36">
        <v>10</v>
      </c>
      <c r="L2849" s="42">
        <f>(59.31*(1-O3/100))/0.75</f>
        <v>79.08</v>
      </c>
      <c r="M2849" s="12"/>
      <c r="N2849" s="40">
        <f t="shared" si="130"/>
        <v>0</v>
      </c>
      <c r="O2849" s="43">
        <f>0.077*M2849</f>
        <v>0</v>
      </c>
      <c r="P2849" s="47">
        <f>0.00008*M2849</f>
        <v>0</v>
      </c>
      <c r="Q2849" s="44"/>
      <c r="R2849" s="45" t="s">
        <v>8914</v>
      </c>
      <c r="S2849" s="45" t="s">
        <v>93</v>
      </c>
      <c r="T2849" s="37" t="str">
        <f>HYPERLINK("https://kanzpp.ru/api/getInfo/image/33161b35-6c67-11f0-a283-00155d82e908")</f>
        <v>https://kanzpp.ru/api/getInfo/image/33161b35-6c67-11f0-a283-00155d82e908</v>
      </c>
      <c r="U2849" s="37"/>
    </row>
    <row r="2850" spans="2:22" ht="21" customHeight="1" outlineLevel="5" x14ac:dyDescent="0.2">
      <c r="B2850" s="69">
        <v>2116</v>
      </c>
      <c r="C2850" s="6" t="s">
        <v>8915</v>
      </c>
      <c r="D2850" s="6" t="s">
        <v>8916</v>
      </c>
      <c r="E2850" s="7" t="s">
        <v>8917</v>
      </c>
      <c r="F2850" s="13"/>
      <c r="G2850" s="14"/>
      <c r="H2850" s="14"/>
      <c r="I2850" s="15">
        <v>40</v>
      </c>
      <c r="J2850" s="15">
        <v>981</v>
      </c>
      <c r="K2850" s="5">
        <v>10</v>
      </c>
      <c r="L2850" s="16">
        <v>39.866666666666667</v>
      </c>
      <c r="M2850" s="12"/>
      <c r="N2850" s="14">
        <f t="shared" si="130"/>
        <v>0</v>
      </c>
      <c r="O2850" s="23">
        <f>0.098*M2850</f>
        <v>0</v>
      </c>
      <c r="P2850" s="24">
        <f>0.00011*M2850</f>
        <v>0</v>
      </c>
      <c r="Q2850" s="25"/>
      <c r="R2850" s="26" t="s">
        <v>8918</v>
      </c>
      <c r="S2850" s="26" t="s">
        <v>93</v>
      </c>
      <c r="T2850" s="6" t="str">
        <f>HYPERLINK("https://kanzpp.ru/api/getInfo/image/6819b60d-ab44-11ec-a211-ac1f6b442185")</f>
        <v>https://kanzpp.ru/api/getInfo/image/6819b60d-ab44-11ec-a211-ac1f6b442185</v>
      </c>
      <c r="U2850" s="6"/>
      <c r="V2850" s="33" t="s">
        <v>35</v>
      </c>
    </row>
    <row r="2851" spans="2:22" ht="21" customHeight="1" outlineLevel="5" x14ac:dyDescent="0.2">
      <c r="B2851" s="69">
        <v>2117</v>
      </c>
      <c r="C2851" s="6" t="s">
        <v>8919</v>
      </c>
      <c r="D2851" s="6" t="s">
        <v>8920</v>
      </c>
      <c r="E2851" s="7" t="s">
        <v>8921</v>
      </c>
      <c r="F2851" s="13"/>
      <c r="G2851" s="14"/>
      <c r="H2851" s="14"/>
      <c r="I2851" s="15">
        <v>40</v>
      </c>
      <c r="J2851" s="14" t="s">
        <v>144</v>
      </c>
      <c r="K2851" s="5">
        <v>10</v>
      </c>
      <c r="L2851" s="16">
        <v>19.866666666666667</v>
      </c>
      <c r="M2851" s="12"/>
      <c r="N2851" s="14">
        <f t="shared" si="130"/>
        <v>0</v>
      </c>
      <c r="O2851" s="23">
        <f>0.098*M2851</f>
        <v>0</v>
      </c>
      <c r="P2851" s="24">
        <f>0.00011*M2851</f>
        <v>0</v>
      </c>
      <c r="Q2851" s="25"/>
      <c r="R2851" s="26" t="s">
        <v>8922</v>
      </c>
      <c r="S2851" s="26" t="s">
        <v>93</v>
      </c>
      <c r="T2851" s="6" t="str">
        <f>HYPERLINK("https://kanzpp.ru/api/getInfo/image/986f78e1-ab42-11ec-a211-ac1f6b442185")</f>
        <v>https://kanzpp.ru/api/getInfo/image/986f78e1-ab42-11ec-a211-ac1f6b442185</v>
      </c>
      <c r="U2851" s="6"/>
      <c r="V2851" s="33" t="s">
        <v>35</v>
      </c>
    </row>
    <row r="2852" spans="2:22" ht="21" customHeight="1" outlineLevel="5" x14ac:dyDescent="0.2">
      <c r="B2852" s="71">
        <v>2118</v>
      </c>
      <c r="C2852" s="37" t="s">
        <v>8923</v>
      </c>
      <c r="D2852" s="37" t="s">
        <v>8924</v>
      </c>
      <c r="E2852" s="38" t="s">
        <v>8925</v>
      </c>
      <c r="F2852" s="39"/>
      <c r="G2852" s="40"/>
      <c r="H2852" s="40"/>
      <c r="I2852" s="41">
        <v>40</v>
      </c>
      <c r="J2852" s="40" t="s">
        <v>144</v>
      </c>
      <c r="K2852" s="36">
        <v>10</v>
      </c>
      <c r="L2852" s="42">
        <f>(59.31*(1-O3/100))/0.75</f>
        <v>79.08</v>
      </c>
      <c r="M2852" s="12"/>
      <c r="N2852" s="40">
        <f t="shared" si="130"/>
        <v>0</v>
      </c>
      <c r="O2852" s="43">
        <f>0.086*M2852</f>
        <v>0</v>
      </c>
      <c r="P2852" s="47">
        <f>0.00017*M2852</f>
        <v>0</v>
      </c>
      <c r="Q2852" s="44"/>
      <c r="R2852" s="45" t="s">
        <v>8926</v>
      </c>
      <c r="S2852" s="45" t="s">
        <v>93</v>
      </c>
      <c r="T2852" s="37" t="str">
        <f>HYPERLINK("https://kanzpp.ru/api/getInfo/image/c0fdfac1-d755-11f0-a28c-00155d82e908")</f>
        <v>https://kanzpp.ru/api/getInfo/image/c0fdfac1-d755-11f0-a28c-00155d82e908</v>
      </c>
      <c r="U2852" s="37"/>
    </row>
    <row r="2853" spans="2:22" ht="21" customHeight="1" outlineLevel="5" x14ac:dyDescent="0.2">
      <c r="B2853" s="69">
        <v>2119</v>
      </c>
      <c r="C2853" s="6" t="s">
        <v>8927</v>
      </c>
      <c r="D2853" s="6" t="s">
        <v>8928</v>
      </c>
      <c r="E2853" s="7" t="s">
        <v>8929</v>
      </c>
      <c r="F2853" s="13"/>
      <c r="G2853" s="14"/>
      <c r="H2853" s="14"/>
      <c r="I2853" s="15">
        <v>40</v>
      </c>
      <c r="J2853" s="15">
        <v>833</v>
      </c>
      <c r="K2853" s="5">
        <v>10</v>
      </c>
      <c r="L2853" s="16">
        <v>39.866666666666667</v>
      </c>
      <c r="M2853" s="12"/>
      <c r="N2853" s="14">
        <f t="shared" si="130"/>
        <v>0</v>
      </c>
      <c r="O2853" s="23">
        <f>0.086*M2853</f>
        <v>0</v>
      </c>
      <c r="P2853" s="24">
        <f>0.00013*M2853</f>
        <v>0</v>
      </c>
      <c r="Q2853" s="25"/>
      <c r="R2853" s="26" t="s">
        <v>8930</v>
      </c>
      <c r="S2853" s="26" t="s">
        <v>93</v>
      </c>
      <c r="T2853" s="6" t="str">
        <f>HYPERLINK("https://kanzpp.ru/api/getInfo/image/7edaae39-d395-11ed-a230-00155d82e902")</f>
        <v>https://kanzpp.ru/api/getInfo/image/7edaae39-d395-11ed-a230-00155d82e902</v>
      </c>
      <c r="U2853" s="6"/>
      <c r="V2853" s="33" t="s">
        <v>35</v>
      </c>
    </row>
    <row r="2854" spans="2:22" ht="21" customHeight="1" outlineLevel="5" x14ac:dyDescent="0.2">
      <c r="B2854" s="71">
        <v>2120</v>
      </c>
      <c r="C2854" s="37" t="s">
        <v>8931</v>
      </c>
      <c r="D2854" s="37" t="s">
        <v>8932</v>
      </c>
      <c r="E2854" s="38" t="s">
        <v>8933</v>
      </c>
      <c r="F2854" s="39"/>
      <c r="G2854" s="40"/>
      <c r="H2854" s="40"/>
      <c r="I2854" s="41">
        <v>40</v>
      </c>
      <c r="J2854" s="41">
        <v>494</v>
      </c>
      <c r="K2854" s="36">
        <v>10</v>
      </c>
      <c r="L2854" s="42">
        <f>(59.31*(1-O3/100))/0.75</f>
        <v>79.08</v>
      </c>
      <c r="M2854" s="12"/>
      <c r="N2854" s="40">
        <f t="shared" si="130"/>
        <v>0</v>
      </c>
      <c r="O2854" s="43">
        <f>0.087*M2854</f>
        <v>0</v>
      </c>
      <c r="P2854" s="47">
        <f>0.00013*M2854</f>
        <v>0</v>
      </c>
      <c r="Q2854" s="44"/>
      <c r="R2854" s="45" t="s">
        <v>8934</v>
      </c>
      <c r="S2854" s="45" t="s">
        <v>93</v>
      </c>
      <c r="T2854" s="37" t="str">
        <f>HYPERLINK("https://kanzpp.ru/api/getInfo/image/b29df4a2-aa8b-11f0-a286-00155d82e908")</f>
        <v>https://kanzpp.ru/api/getInfo/image/b29df4a2-aa8b-11f0-a286-00155d82e908</v>
      </c>
      <c r="U2854" s="37"/>
    </row>
    <row r="2855" spans="2:22" ht="21" customHeight="1" outlineLevel="5" x14ac:dyDescent="0.2">
      <c r="B2855" s="69">
        <v>2121</v>
      </c>
      <c r="C2855" s="6" t="s">
        <v>8935</v>
      </c>
      <c r="D2855" s="6" t="s">
        <v>8936</v>
      </c>
      <c r="E2855" s="7" t="s">
        <v>8937</v>
      </c>
      <c r="F2855" s="13"/>
      <c r="G2855" s="14"/>
      <c r="H2855" s="14"/>
      <c r="I2855" s="15">
        <v>40</v>
      </c>
      <c r="J2855" s="15">
        <v>872</v>
      </c>
      <c r="K2855" s="5">
        <v>10</v>
      </c>
      <c r="L2855" s="16">
        <v>26.533333333333331</v>
      </c>
      <c r="M2855" s="12"/>
      <c r="N2855" s="14">
        <f t="shared" si="130"/>
        <v>0</v>
      </c>
      <c r="O2855" s="23">
        <f>0.091*M2855</f>
        <v>0</v>
      </c>
      <c r="P2855" s="24">
        <f>0.00018*M2855</f>
        <v>0</v>
      </c>
      <c r="Q2855" s="25"/>
      <c r="R2855" s="26" t="s">
        <v>8938</v>
      </c>
      <c r="S2855" s="26" t="s">
        <v>93</v>
      </c>
      <c r="T2855" s="6" t="str">
        <f>HYPERLINK("https://kanzpp.ru/api/getInfo/image/2e2f9443-1f28-11ef-a25f-00155d82e908")</f>
        <v>https://kanzpp.ru/api/getInfo/image/2e2f9443-1f28-11ef-a25f-00155d82e908</v>
      </c>
      <c r="U2855" s="6"/>
      <c r="V2855" s="33" t="s">
        <v>35</v>
      </c>
    </row>
    <row r="2856" spans="2:22" ht="21" customHeight="1" outlineLevel="5" x14ac:dyDescent="0.2">
      <c r="B2856" s="69">
        <v>2122</v>
      </c>
      <c r="C2856" s="6" t="s">
        <v>8939</v>
      </c>
      <c r="D2856" s="6" t="s">
        <v>8940</v>
      </c>
      <c r="E2856" s="7" t="s">
        <v>8941</v>
      </c>
      <c r="F2856" s="13"/>
      <c r="G2856" s="14"/>
      <c r="H2856" s="14"/>
      <c r="I2856" s="15">
        <v>40</v>
      </c>
      <c r="J2856" s="15">
        <v>524</v>
      </c>
      <c r="K2856" s="5">
        <v>10</v>
      </c>
      <c r="L2856" s="16">
        <v>26.533333333333331</v>
      </c>
      <c r="M2856" s="12"/>
      <c r="N2856" s="14">
        <f t="shared" si="130"/>
        <v>0</v>
      </c>
      <c r="O2856" s="23">
        <f>0.092*M2856</f>
        <v>0</v>
      </c>
      <c r="P2856" s="24">
        <f>0.00008*M2856</f>
        <v>0</v>
      </c>
      <c r="Q2856" s="25"/>
      <c r="R2856" s="26" t="s">
        <v>8942</v>
      </c>
      <c r="S2856" s="26" t="s">
        <v>93</v>
      </c>
      <c r="T2856" s="6" t="str">
        <f>HYPERLINK("https://kanzpp.ru/api/getInfo/image/eabcbeda-3462-11ef-a261-00155d82e908")</f>
        <v>https://kanzpp.ru/api/getInfo/image/eabcbeda-3462-11ef-a261-00155d82e908</v>
      </c>
      <c r="U2856" s="6"/>
      <c r="V2856" s="33" t="s">
        <v>35</v>
      </c>
    </row>
    <row r="2857" spans="2:22" ht="21" customHeight="1" outlineLevel="5" x14ac:dyDescent="0.2">
      <c r="B2857" s="71">
        <v>2123</v>
      </c>
      <c r="C2857" s="37" t="s">
        <v>8943</v>
      </c>
      <c r="D2857" s="37" t="s">
        <v>8944</v>
      </c>
      <c r="E2857" s="38" t="s">
        <v>8945</v>
      </c>
      <c r="F2857" s="39"/>
      <c r="G2857" s="40"/>
      <c r="H2857" s="40"/>
      <c r="I2857" s="41">
        <v>40</v>
      </c>
      <c r="J2857" s="41">
        <v>760</v>
      </c>
      <c r="K2857" s="36">
        <v>10</v>
      </c>
      <c r="L2857" s="42">
        <f>(59.31*(1-O3/100))/0.75</f>
        <v>79.08</v>
      </c>
      <c r="M2857" s="12"/>
      <c r="N2857" s="40">
        <f t="shared" si="130"/>
        <v>0</v>
      </c>
      <c r="O2857" s="43">
        <f>0.087*M2857</f>
        <v>0</v>
      </c>
      <c r="P2857" s="47">
        <f>0.00013*M2857</f>
        <v>0</v>
      </c>
      <c r="Q2857" s="44"/>
      <c r="R2857" s="45" t="s">
        <v>8946</v>
      </c>
      <c r="S2857" s="45" t="s">
        <v>93</v>
      </c>
      <c r="T2857" s="37" t="str">
        <f>HYPERLINK("https://kanzpp.ru/api/getInfo/image/548bd153-aa8d-11f0-a286-00155d82e908")</f>
        <v>https://kanzpp.ru/api/getInfo/image/548bd153-aa8d-11f0-a286-00155d82e908</v>
      </c>
      <c r="U2857" s="37"/>
    </row>
    <row r="2858" spans="2:22" ht="21" customHeight="1" outlineLevel="5" x14ac:dyDescent="0.2">
      <c r="B2858" s="71">
        <v>2124</v>
      </c>
      <c r="C2858" s="37" t="s">
        <v>8947</v>
      </c>
      <c r="D2858" s="37" t="s">
        <v>8948</v>
      </c>
      <c r="E2858" s="38" t="s">
        <v>8949</v>
      </c>
      <c r="F2858" s="39"/>
      <c r="G2858" s="40"/>
      <c r="H2858" s="40"/>
      <c r="I2858" s="41">
        <v>40</v>
      </c>
      <c r="J2858" s="40" t="s">
        <v>144</v>
      </c>
      <c r="K2858" s="36">
        <v>10</v>
      </c>
      <c r="L2858" s="42">
        <f>(59.31*(1-O3/100))/0.75</f>
        <v>79.08</v>
      </c>
      <c r="M2858" s="12"/>
      <c r="N2858" s="40">
        <f t="shared" si="130"/>
        <v>0</v>
      </c>
      <c r="O2858" s="43">
        <f>0.077*M2858</f>
        <v>0</v>
      </c>
      <c r="P2858" s="47">
        <f>0.00008*M2858</f>
        <v>0</v>
      </c>
      <c r="Q2858" s="44"/>
      <c r="R2858" s="45" t="s">
        <v>8950</v>
      </c>
      <c r="S2858" s="45" t="s">
        <v>93</v>
      </c>
      <c r="T2858" s="37" t="str">
        <f>HYPERLINK("https://kanzpp.ru/api/getInfo/image/808206f3-6c67-11f0-a283-00155d82e908")</f>
        <v>https://kanzpp.ru/api/getInfo/image/808206f3-6c67-11f0-a283-00155d82e908</v>
      </c>
      <c r="U2858" s="37"/>
    </row>
    <row r="2859" spans="2:22" ht="21" customHeight="1" outlineLevel="5" x14ac:dyDescent="0.2">
      <c r="B2859" s="71">
        <v>2125</v>
      </c>
      <c r="C2859" s="37" t="s">
        <v>8951</v>
      </c>
      <c r="D2859" s="37" t="s">
        <v>8952</v>
      </c>
      <c r="E2859" s="38" t="s">
        <v>8953</v>
      </c>
      <c r="F2859" s="39"/>
      <c r="G2859" s="40"/>
      <c r="H2859" s="40"/>
      <c r="I2859" s="41">
        <v>40</v>
      </c>
      <c r="J2859" s="41">
        <v>685</v>
      </c>
      <c r="K2859" s="36">
        <v>10</v>
      </c>
      <c r="L2859" s="42">
        <f>(59.31*(1-O3/100))/0.75</f>
        <v>79.08</v>
      </c>
      <c r="M2859" s="12"/>
      <c r="N2859" s="40">
        <f t="shared" si="130"/>
        <v>0</v>
      </c>
      <c r="O2859" s="43">
        <f>0.077*M2859</f>
        <v>0</v>
      </c>
      <c r="P2859" s="47">
        <f>0.00008*M2859</f>
        <v>0</v>
      </c>
      <c r="Q2859" s="44"/>
      <c r="R2859" s="45" t="s">
        <v>8954</v>
      </c>
      <c r="S2859" s="45" t="s">
        <v>93</v>
      </c>
      <c r="T2859" s="37" t="str">
        <f>HYPERLINK("https://kanzpp.ru/api/getInfo/image/5a0ab08e-6c68-11f0-a283-00155d82e908")</f>
        <v>https://kanzpp.ru/api/getInfo/image/5a0ab08e-6c68-11f0-a283-00155d82e908</v>
      </c>
      <c r="U2859" s="37"/>
    </row>
    <row r="2860" spans="2:22" ht="21" customHeight="1" outlineLevel="5" x14ac:dyDescent="0.2">
      <c r="B2860" s="71">
        <v>2126</v>
      </c>
      <c r="C2860" s="37" t="s">
        <v>8955</v>
      </c>
      <c r="D2860" s="37" t="s">
        <v>8956</v>
      </c>
      <c r="E2860" s="38" t="s">
        <v>8957</v>
      </c>
      <c r="F2860" s="39"/>
      <c r="G2860" s="40"/>
      <c r="H2860" s="40"/>
      <c r="I2860" s="41">
        <v>40</v>
      </c>
      <c r="J2860" s="41">
        <v>954</v>
      </c>
      <c r="K2860" s="36">
        <v>10</v>
      </c>
      <c r="L2860" s="42">
        <f>(59.31*(1-O3/100))/0.75</f>
        <v>79.08</v>
      </c>
      <c r="M2860" s="12"/>
      <c r="N2860" s="40">
        <f t="shared" si="130"/>
        <v>0</v>
      </c>
      <c r="O2860" s="43">
        <f>0.091*M2860</f>
        <v>0</v>
      </c>
      <c r="P2860" s="47">
        <f>0.00014*M2860</f>
        <v>0</v>
      </c>
      <c r="Q2860" s="44"/>
      <c r="R2860" s="45" t="s">
        <v>8958</v>
      </c>
      <c r="S2860" s="45" t="s">
        <v>93</v>
      </c>
      <c r="T2860" s="37" t="str">
        <f>HYPERLINK("https://kanzpp.ru/api/getInfo/image/6011eca7-aa8c-11f0-a286-00155d82e908")</f>
        <v>https://kanzpp.ru/api/getInfo/image/6011eca7-aa8c-11f0-a286-00155d82e908</v>
      </c>
      <c r="U2860" s="37"/>
    </row>
    <row r="2861" spans="2:22" ht="21" customHeight="1" outlineLevel="5" x14ac:dyDescent="0.2">
      <c r="B2861" s="71">
        <v>2127</v>
      </c>
      <c r="C2861" s="37" t="s">
        <v>8959</v>
      </c>
      <c r="D2861" s="37" t="s">
        <v>8960</v>
      </c>
      <c r="E2861" s="38" t="s">
        <v>8961</v>
      </c>
      <c r="F2861" s="39"/>
      <c r="G2861" s="40"/>
      <c r="H2861" s="40"/>
      <c r="I2861" s="41">
        <v>40</v>
      </c>
      <c r="J2861" s="41">
        <v>430</v>
      </c>
      <c r="K2861" s="36">
        <v>10</v>
      </c>
      <c r="L2861" s="42">
        <f>(59.31*(1-O3/100))/0.75</f>
        <v>79.08</v>
      </c>
      <c r="M2861" s="12"/>
      <c r="N2861" s="40">
        <f t="shared" si="130"/>
        <v>0</v>
      </c>
      <c r="O2861" s="43">
        <f>0.077*M2861</f>
        <v>0</v>
      </c>
      <c r="P2861" s="47">
        <f>0.00008*M2861</f>
        <v>0</v>
      </c>
      <c r="Q2861" s="44"/>
      <c r="R2861" s="45" t="s">
        <v>8962</v>
      </c>
      <c r="S2861" s="45" t="s">
        <v>93</v>
      </c>
      <c r="T2861" s="37" t="str">
        <f>HYPERLINK("https://kanzpp.ru/api/getInfo/image/dfef5f6c-6c66-11f0-a283-00155d82e908")</f>
        <v>https://kanzpp.ru/api/getInfo/image/dfef5f6c-6c66-11f0-a283-00155d82e908</v>
      </c>
      <c r="U2861" s="37"/>
    </row>
    <row r="2862" spans="2:22" ht="21" customHeight="1" outlineLevel="5" x14ac:dyDescent="0.2">
      <c r="B2862" s="69">
        <v>2128</v>
      </c>
      <c r="C2862" s="6" t="s">
        <v>8963</v>
      </c>
      <c r="D2862" s="6" t="s">
        <v>8964</v>
      </c>
      <c r="E2862" s="7" t="s">
        <v>8965</v>
      </c>
      <c r="F2862" s="13"/>
      <c r="G2862" s="14"/>
      <c r="H2862" s="14"/>
      <c r="I2862" s="15">
        <v>40</v>
      </c>
      <c r="J2862" s="14" t="s">
        <v>144</v>
      </c>
      <c r="K2862" s="5">
        <v>10</v>
      </c>
      <c r="L2862" s="16">
        <v>39.866666666666667</v>
      </c>
      <c r="M2862" s="12"/>
      <c r="N2862" s="14">
        <f t="shared" si="130"/>
        <v>0</v>
      </c>
      <c r="O2862" s="23">
        <f>0.098*M2862</f>
        <v>0</v>
      </c>
      <c r="P2862" s="24">
        <f>0.00011*M2862</f>
        <v>0</v>
      </c>
      <c r="Q2862" s="25"/>
      <c r="R2862" s="26" t="s">
        <v>8966</v>
      </c>
      <c r="S2862" s="26" t="s">
        <v>93</v>
      </c>
      <c r="T2862" s="6" t="str">
        <f>HYPERLINK("https://kanzpp.ru/api/getInfo/image/2c6ad959-ab43-11ec-a211-ac1f6b442185")</f>
        <v>https://kanzpp.ru/api/getInfo/image/2c6ad959-ab43-11ec-a211-ac1f6b442185</v>
      </c>
      <c r="U2862" s="6"/>
      <c r="V2862" s="33" t="s">
        <v>35</v>
      </c>
    </row>
    <row r="2863" spans="2:22" ht="22.95" customHeight="1" outlineLevel="4" x14ac:dyDescent="0.2">
      <c r="B2863" s="82" t="s">
        <v>8967</v>
      </c>
      <c r="C2863" s="82"/>
      <c r="D2863" s="82"/>
      <c r="L2863">
        <v>0</v>
      </c>
    </row>
    <row r="2864" spans="2:22" ht="21" customHeight="1" outlineLevel="5" x14ac:dyDescent="0.2">
      <c r="B2864" s="69">
        <v>2129</v>
      </c>
      <c r="C2864" s="6" t="s">
        <v>8968</v>
      </c>
      <c r="D2864" s="6" t="s">
        <v>8969</v>
      </c>
      <c r="E2864" s="7" t="s">
        <v>8970</v>
      </c>
      <c r="F2864" s="13"/>
      <c r="G2864" s="14"/>
      <c r="H2864" s="14"/>
      <c r="I2864" s="15">
        <v>40</v>
      </c>
      <c r="J2864" s="15">
        <v>77</v>
      </c>
      <c r="K2864" s="5">
        <v>10</v>
      </c>
      <c r="L2864" s="16">
        <v>26.533333333333331</v>
      </c>
      <c r="M2864" s="12"/>
      <c r="N2864" s="14">
        <f>L2864*M2864</f>
        <v>0</v>
      </c>
      <c r="O2864" s="23">
        <f>0.086*M2864</f>
        <v>0</v>
      </c>
      <c r="P2864" s="24">
        <f>0.00015*M2864</f>
        <v>0</v>
      </c>
      <c r="Q2864" s="25"/>
      <c r="R2864" s="26" t="s">
        <v>8971</v>
      </c>
      <c r="S2864" s="26" t="s">
        <v>93</v>
      </c>
      <c r="T2864" s="6" t="str">
        <f>HYPERLINK("https://kanzpp.ru/api/getInfo/image/70df821a-06ba-11ee-a23b-00155d82e902")</f>
        <v>https://kanzpp.ru/api/getInfo/image/70df821a-06ba-11ee-a23b-00155d82e902</v>
      </c>
      <c r="U2864" s="6"/>
      <c r="V2864" s="33" t="s">
        <v>35</v>
      </c>
    </row>
    <row r="2865" spans="2:22" ht="21" customHeight="1" outlineLevel="5" x14ac:dyDescent="0.2">
      <c r="B2865" s="69">
        <v>2130</v>
      </c>
      <c r="C2865" s="6" t="s">
        <v>8972</v>
      </c>
      <c r="D2865" s="6" t="s">
        <v>8973</v>
      </c>
      <c r="E2865" s="7" t="s">
        <v>8974</v>
      </c>
      <c r="F2865" s="13"/>
      <c r="G2865" s="14"/>
      <c r="H2865" s="14"/>
      <c r="I2865" s="15">
        <v>40</v>
      </c>
      <c r="J2865" s="15">
        <v>364</v>
      </c>
      <c r="K2865" s="5">
        <v>10</v>
      </c>
      <c r="L2865" s="16">
        <v>26.533333333333331</v>
      </c>
      <c r="M2865" s="12"/>
      <c r="N2865" s="14">
        <f>L2865*M2865</f>
        <v>0</v>
      </c>
      <c r="O2865" s="23">
        <f>0.084*M2865</f>
        <v>0</v>
      </c>
      <c r="P2865" s="24">
        <f>0.00011*M2865</f>
        <v>0</v>
      </c>
      <c r="Q2865" s="25"/>
      <c r="R2865" s="26" t="s">
        <v>8975</v>
      </c>
      <c r="S2865" s="26" t="s">
        <v>93</v>
      </c>
      <c r="T2865" s="6" t="str">
        <f>HYPERLINK("https://kanzpp.ru/api/getInfo/image/71e60f70-9f87-11ec-a211-ac1f6b442185")</f>
        <v>https://kanzpp.ru/api/getInfo/image/71e60f70-9f87-11ec-a211-ac1f6b442185</v>
      </c>
      <c r="U2865" s="6"/>
      <c r="V2865" s="33" t="s">
        <v>35</v>
      </c>
    </row>
    <row r="2866" spans="2:22" ht="22.95" customHeight="1" outlineLevel="4" x14ac:dyDescent="0.2">
      <c r="B2866" s="82" t="s">
        <v>8976</v>
      </c>
      <c r="C2866" s="82"/>
      <c r="D2866" s="82"/>
      <c r="L2866">
        <v>0</v>
      </c>
    </row>
    <row r="2867" spans="2:22" ht="21" customHeight="1" outlineLevel="5" x14ac:dyDescent="0.2">
      <c r="B2867" s="71">
        <v>2131</v>
      </c>
      <c r="C2867" s="37" t="s">
        <v>8977</v>
      </c>
      <c r="D2867" s="37" t="s">
        <v>8978</v>
      </c>
      <c r="E2867" s="38" t="s">
        <v>8979</v>
      </c>
      <c r="F2867" s="39"/>
      <c r="G2867" s="40"/>
      <c r="H2867" s="40"/>
      <c r="I2867" s="41">
        <v>20</v>
      </c>
      <c r="J2867" s="41">
        <v>790</v>
      </c>
      <c r="K2867" s="36">
        <v>10</v>
      </c>
      <c r="L2867" s="42">
        <f>(66.13*(1-O3/100))/0.75</f>
        <v>88.173333333333332</v>
      </c>
      <c r="M2867" s="12"/>
      <c r="N2867" s="40">
        <f t="shared" ref="N2867:N2872" si="131">L2867*M2867</f>
        <v>0</v>
      </c>
      <c r="O2867" s="43">
        <f>0.117*M2867</f>
        <v>0</v>
      </c>
      <c r="P2867" s="47">
        <f>0.00015*M2867</f>
        <v>0</v>
      </c>
      <c r="Q2867" s="44"/>
      <c r="R2867" s="45" t="s">
        <v>8980</v>
      </c>
      <c r="S2867" s="45" t="s">
        <v>93</v>
      </c>
      <c r="T2867" s="37" t="str">
        <f>HYPERLINK("https://kanzpp.ru/api/getInfo/image/fa8f237c-baf3-11f0-a288-00155d82e908")</f>
        <v>https://kanzpp.ru/api/getInfo/image/fa8f237c-baf3-11f0-a288-00155d82e908</v>
      </c>
      <c r="U2867" s="37"/>
    </row>
    <row r="2868" spans="2:22" ht="21" customHeight="1" outlineLevel="5" x14ac:dyDescent="0.2">
      <c r="B2868" s="69">
        <v>2132</v>
      </c>
      <c r="C2868" s="6" t="s">
        <v>8981</v>
      </c>
      <c r="D2868" s="6" t="s">
        <v>8982</v>
      </c>
      <c r="E2868" s="7" t="s">
        <v>8983</v>
      </c>
      <c r="F2868" s="13"/>
      <c r="G2868" s="14"/>
      <c r="H2868" s="14"/>
      <c r="I2868" s="15">
        <v>20</v>
      </c>
      <c r="J2868" s="14" t="s">
        <v>144</v>
      </c>
      <c r="K2868" s="5">
        <v>10</v>
      </c>
      <c r="L2868" s="16">
        <v>39.866666666666667</v>
      </c>
      <c r="M2868" s="12"/>
      <c r="N2868" s="14">
        <f t="shared" si="131"/>
        <v>0</v>
      </c>
      <c r="O2868" s="23">
        <f>0.103*M2868</f>
        <v>0</v>
      </c>
      <c r="P2868" s="24">
        <f>0.00014*M2868</f>
        <v>0</v>
      </c>
      <c r="Q2868" s="25"/>
      <c r="R2868" s="26" t="s">
        <v>8984</v>
      </c>
      <c r="S2868" s="26" t="s">
        <v>93</v>
      </c>
      <c r="T2868" s="6" t="str">
        <f>HYPERLINK("https://kanzpp.ru/api/getInfo/image/5f9e9cd4-9a1f-11ec-a211-ac1f6b442185")</f>
        <v>https://kanzpp.ru/api/getInfo/image/5f9e9cd4-9a1f-11ec-a211-ac1f6b442185</v>
      </c>
      <c r="U2868" s="6"/>
      <c r="V2868" s="33" t="s">
        <v>35</v>
      </c>
    </row>
    <row r="2869" spans="2:22" ht="21" customHeight="1" outlineLevel="5" x14ac:dyDescent="0.2">
      <c r="B2869" s="71">
        <v>2133</v>
      </c>
      <c r="C2869" s="37" t="s">
        <v>8985</v>
      </c>
      <c r="D2869" s="37" t="s">
        <v>8986</v>
      </c>
      <c r="E2869" s="38" t="s">
        <v>8987</v>
      </c>
      <c r="F2869" s="39"/>
      <c r="G2869" s="40"/>
      <c r="H2869" s="40"/>
      <c r="I2869" s="41">
        <v>20</v>
      </c>
      <c r="J2869" s="41">
        <v>868</v>
      </c>
      <c r="K2869" s="36">
        <v>10</v>
      </c>
      <c r="L2869" s="42">
        <f>(66.13*(1-O3/100))/0.75</f>
        <v>88.173333333333332</v>
      </c>
      <c r="M2869" s="12"/>
      <c r="N2869" s="40">
        <f t="shared" si="131"/>
        <v>0</v>
      </c>
      <c r="O2869" s="43">
        <f>0.117*M2869</f>
        <v>0</v>
      </c>
      <c r="P2869" s="47">
        <f>0.00015*M2869</f>
        <v>0</v>
      </c>
      <c r="Q2869" s="44"/>
      <c r="R2869" s="45" t="s">
        <v>8988</v>
      </c>
      <c r="S2869" s="45" t="s">
        <v>93</v>
      </c>
      <c r="T2869" s="37" t="str">
        <f>HYPERLINK("https://kanzpp.ru/api/getInfo/image/3ab11722-baf4-11f0-a288-00155d82e908")</f>
        <v>https://kanzpp.ru/api/getInfo/image/3ab11722-baf4-11f0-a288-00155d82e908</v>
      </c>
      <c r="U2869" s="37"/>
    </row>
    <row r="2870" spans="2:22" ht="21" customHeight="1" outlineLevel="5" x14ac:dyDescent="0.2">
      <c r="B2870" s="71">
        <v>2134</v>
      </c>
      <c r="C2870" s="37" t="s">
        <v>8989</v>
      </c>
      <c r="D2870" s="37" t="s">
        <v>8990</v>
      </c>
      <c r="E2870" s="38" t="s">
        <v>8991</v>
      </c>
      <c r="F2870" s="39"/>
      <c r="G2870" s="40"/>
      <c r="H2870" s="40"/>
      <c r="I2870" s="41">
        <v>20</v>
      </c>
      <c r="J2870" s="41">
        <v>613</v>
      </c>
      <c r="K2870" s="36">
        <v>10</v>
      </c>
      <c r="L2870" s="42">
        <f>(66.13*(1-O3/100))/0.75</f>
        <v>88.173333333333332</v>
      </c>
      <c r="M2870" s="12"/>
      <c r="N2870" s="40">
        <f t="shared" si="131"/>
        <v>0</v>
      </c>
      <c r="O2870" s="43">
        <f>0.117*M2870</f>
        <v>0</v>
      </c>
      <c r="P2870" s="47">
        <f>0.00015*M2870</f>
        <v>0</v>
      </c>
      <c r="Q2870" s="44"/>
      <c r="R2870" s="45" t="s">
        <v>8992</v>
      </c>
      <c r="S2870" s="45" t="s">
        <v>93</v>
      </c>
      <c r="T2870" s="37" t="str">
        <f>HYPERLINK("https://kanzpp.ru/api/getInfo/image/206e2d6e-baf4-11f0-a288-00155d82e908")</f>
        <v>https://kanzpp.ru/api/getInfo/image/206e2d6e-baf4-11f0-a288-00155d82e908</v>
      </c>
      <c r="U2870" s="37"/>
    </row>
    <row r="2871" spans="2:22" ht="21" customHeight="1" outlineLevel="5" x14ac:dyDescent="0.2">
      <c r="B2871" s="71">
        <v>2135</v>
      </c>
      <c r="C2871" s="37" t="s">
        <v>8993</v>
      </c>
      <c r="D2871" s="37" t="s">
        <v>8994</v>
      </c>
      <c r="E2871" s="38" t="s">
        <v>8995</v>
      </c>
      <c r="F2871" s="39"/>
      <c r="G2871" s="40"/>
      <c r="H2871" s="40"/>
      <c r="I2871" s="41">
        <v>20</v>
      </c>
      <c r="J2871" s="41">
        <v>705</v>
      </c>
      <c r="K2871" s="36">
        <v>10</v>
      </c>
      <c r="L2871" s="42">
        <f>(66.13*(1-O3/100))/0.75</f>
        <v>88.173333333333332</v>
      </c>
      <c r="M2871" s="12"/>
      <c r="N2871" s="40">
        <f t="shared" si="131"/>
        <v>0</v>
      </c>
      <c r="O2871" s="43">
        <f>0.117*M2871</f>
        <v>0</v>
      </c>
      <c r="P2871" s="47">
        <f>0.00015*M2871</f>
        <v>0</v>
      </c>
      <c r="Q2871" s="44"/>
      <c r="R2871" s="45" t="s">
        <v>8996</v>
      </c>
      <c r="S2871" s="45" t="s">
        <v>93</v>
      </c>
      <c r="T2871" s="37" t="str">
        <f>HYPERLINK("https://kanzpp.ru/api/getInfo/image/ca3fa3b4-baf3-11f0-a288-00155d82e908")</f>
        <v>https://kanzpp.ru/api/getInfo/image/ca3fa3b4-baf3-11f0-a288-00155d82e908</v>
      </c>
      <c r="U2871" s="37"/>
    </row>
    <row r="2872" spans="2:22" ht="21" customHeight="1" outlineLevel="5" x14ac:dyDescent="0.2">
      <c r="B2872" s="71">
        <v>2136</v>
      </c>
      <c r="C2872" s="37" t="s">
        <v>8997</v>
      </c>
      <c r="D2872" s="37" t="s">
        <v>8998</v>
      </c>
      <c r="E2872" s="38" t="s">
        <v>8999</v>
      </c>
      <c r="F2872" s="39"/>
      <c r="G2872" s="40"/>
      <c r="H2872" s="40"/>
      <c r="I2872" s="41">
        <v>20</v>
      </c>
      <c r="J2872" s="40" t="s">
        <v>144</v>
      </c>
      <c r="K2872" s="36">
        <v>10</v>
      </c>
      <c r="L2872" s="42">
        <f>(66.13*(1-O3/100))/0.75</f>
        <v>88.173333333333332</v>
      </c>
      <c r="M2872" s="12"/>
      <c r="N2872" s="40">
        <f t="shared" si="131"/>
        <v>0</v>
      </c>
      <c r="O2872" s="43">
        <f>0.117*M2872</f>
        <v>0</v>
      </c>
      <c r="P2872" s="47">
        <f>0.00015*M2872</f>
        <v>0</v>
      </c>
      <c r="Q2872" s="44"/>
      <c r="R2872" s="45" t="s">
        <v>9000</v>
      </c>
      <c r="S2872" s="45" t="s">
        <v>93</v>
      </c>
      <c r="T2872" s="37" t="str">
        <f>HYPERLINK("https://kanzpp.ru/api/getInfo/image/549d5525-baf4-11f0-a288-00155d82e908")</f>
        <v>https://kanzpp.ru/api/getInfo/image/549d5525-baf4-11f0-a288-00155d82e908</v>
      </c>
      <c r="U2872" s="37"/>
    </row>
    <row r="2873" spans="2:22" ht="22.95" customHeight="1" outlineLevel="4" x14ac:dyDescent="0.2">
      <c r="B2873" s="82" t="s">
        <v>9001</v>
      </c>
      <c r="C2873" s="82"/>
      <c r="D2873" s="82"/>
      <c r="L2873">
        <v>0</v>
      </c>
    </row>
    <row r="2874" spans="2:22" ht="21" customHeight="1" outlineLevel="5" x14ac:dyDescent="0.2">
      <c r="B2874" s="72">
        <v>2137</v>
      </c>
      <c r="C2874" s="56" t="s">
        <v>9002</v>
      </c>
      <c r="D2874" s="56" t="s">
        <v>9003</v>
      </c>
      <c r="E2874" s="57" t="s">
        <v>9004</v>
      </c>
      <c r="F2874" s="58"/>
      <c r="G2874" s="59"/>
      <c r="H2874" s="60">
        <v>30</v>
      </c>
      <c r="I2874" s="60">
        <v>1</v>
      </c>
      <c r="J2874" s="60">
        <v>5</v>
      </c>
      <c r="K2874" s="55">
        <v>1</v>
      </c>
      <c r="L2874" s="61">
        <f>(133.14*(1-O3/100))/0.75</f>
        <v>177.51999999999998</v>
      </c>
      <c r="M2874" s="12"/>
      <c r="N2874" s="59">
        <f>L2874*M2874</f>
        <v>0</v>
      </c>
      <c r="O2874" s="62">
        <f>0.108*M2874</f>
        <v>0</v>
      </c>
      <c r="P2874" s="63">
        <f>0.00016*M2874</f>
        <v>0</v>
      </c>
      <c r="Q2874" s="64" t="s">
        <v>344</v>
      </c>
      <c r="R2874" s="65" t="s">
        <v>9005</v>
      </c>
      <c r="S2874" s="65" t="s">
        <v>93</v>
      </c>
      <c r="T2874" s="56"/>
      <c r="U2874" s="56"/>
      <c r="V2874" s="66"/>
    </row>
    <row r="2875" spans="2:22" ht="21" customHeight="1" outlineLevel="5" x14ac:dyDescent="0.2">
      <c r="B2875" s="72">
        <v>2138</v>
      </c>
      <c r="C2875" s="56" t="s">
        <v>9006</v>
      </c>
      <c r="D2875" s="56" t="s">
        <v>9007</v>
      </c>
      <c r="E2875" s="57" t="s">
        <v>9008</v>
      </c>
      <c r="F2875" s="58"/>
      <c r="G2875" s="59"/>
      <c r="H2875" s="60">
        <v>30</v>
      </c>
      <c r="I2875" s="60">
        <v>1</v>
      </c>
      <c r="J2875" s="59" t="s">
        <v>144</v>
      </c>
      <c r="K2875" s="55">
        <v>1</v>
      </c>
      <c r="L2875" s="61">
        <f>(133.14*(1-O3/100))/0.75</f>
        <v>177.51999999999998</v>
      </c>
      <c r="M2875" s="12"/>
      <c r="N2875" s="59">
        <f>L2875*M2875</f>
        <v>0</v>
      </c>
      <c r="O2875" s="62">
        <f>0.107*M2875</f>
        <v>0</v>
      </c>
      <c r="P2875" s="63">
        <f>0.00019*M2875</f>
        <v>0</v>
      </c>
      <c r="Q2875" s="64" t="s">
        <v>344</v>
      </c>
      <c r="R2875" s="65" t="s">
        <v>9009</v>
      </c>
      <c r="S2875" s="65" t="s">
        <v>93</v>
      </c>
      <c r="T2875" s="56"/>
      <c r="U2875" s="56"/>
      <c r="V2875" s="66"/>
    </row>
    <row r="2876" spans="2:22" ht="21" customHeight="1" outlineLevel="5" x14ac:dyDescent="0.2">
      <c r="B2876" s="72">
        <v>2139</v>
      </c>
      <c r="C2876" s="56" t="s">
        <v>9010</v>
      </c>
      <c r="D2876" s="56" t="s">
        <v>9011</v>
      </c>
      <c r="E2876" s="57" t="s">
        <v>9012</v>
      </c>
      <c r="F2876" s="58"/>
      <c r="G2876" s="59"/>
      <c r="H2876" s="60">
        <v>30</v>
      </c>
      <c r="I2876" s="60">
        <v>1</v>
      </c>
      <c r="J2876" s="59" t="s">
        <v>144</v>
      </c>
      <c r="K2876" s="55">
        <v>1</v>
      </c>
      <c r="L2876" s="61">
        <f>(133.14*(1-O3/100))/0.75</f>
        <v>177.51999999999998</v>
      </c>
      <c r="M2876" s="12"/>
      <c r="N2876" s="59">
        <f>L2876*M2876</f>
        <v>0</v>
      </c>
      <c r="O2876" s="62">
        <f>0.109*M2876</f>
        <v>0</v>
      </c>
      <c r="P2876" s="63">
        <f>0.00017*M2876</f>
        <v>0</v>
      </c>
      <c r="Q2876" s="64" t="s">
        <v>344</v>
      </c>
      <c r="R2876" s="65" t="s">
        <v>9013</v>
      </c>
      <c r="S2876" s="65" t="s">
        <v>93</v>
      </c>
      <c r="T2876" s="56"/>
      <c r="U2876" s="56"/>
      <c r="V2876" s="66"/>
    </row>
    <row r="2877" spans="2:22" ht="21" customHeight="1" outlineLevel="5" x14ac:dyDescent="0.2">
      <c r="B2877" s="72">
        <v>2140</v>
      </c>
      <c r="C2877" s="56" t="s">
        <v>9014</v>
      </c>
      <c r="D2877" s="56" t="s">
        <v>9015</v>
      </c>
      <c r="E2877" s="57" t="s">
        <v>9016</v>
      </c>
      <c r="F2877" s="58"/>
      <c r="G2877" s="59"/>
      <c r="H2877" s="60">
        <v>30</v>
      </c>
      <c r="I2877" s="60">
        <v>1</v>
      </c>
      <c r="J2877" s="60">
        <v>3</v>
      </c>
      <c r="K2877" s="55">
        <v>1</v>
      </c>
      <c r="L2877" s="61">
        <f>(133.14*(1-O3/100))/0.75</f>
        <v>177.51999999999998</v>
      </c>
      <c r="M2877" s="12"/>
      <c r="N2877" s="59">
        <f>L2877*M2877</f>
        <v>0</v>
      </c>
      <c r="O2877" s="62">
        <f>0.108*M2877</f>
        <v>0</v>
      </c>
      <c r="P2877" s="63">
        <f>0.00016*M2877</f>
        <v>0</v>
      </c>
      <c r="Q2877" s="64" t="s">
        <v>344</v>
      </c>
      <c r="R2877" s="65" t="s">
        <v>9017</v>
      </c>
      <c r="S2877" s="65" t="s">
        <v>93</v>
      </c>
      <c r="T2877" s="56"/>
      <c r="U2877" s="56"/>
      <c r="V2877" s="66"/>
    </row>
    <row r="2878" spans="2:22" ht="22.95" customHeight="1" outlineLevel="4" x14ac:dyDescent="0.2">
      <c r="B2878" s="82" t="s">
        <v>9018</v>
      </c>
      <c r="C2878" s="82"/>
      <c r="D2878" s="82"/>
      <c r="L2878">
        <v>0</v>
      </c>
    </row>
    <row r="2879" spans="2:22" ht="21" customHeight="1" outlineLevel="5" x14ac:dyDescent="0.2">
      <c r="B2879" s="69">
        <v>2141</v>
      </c>
      <c r="C2879" s="6" t="s">
        <v>9019</v>
      </c>
      <c r="D2879" s="6" t="s">
        <v>9020</v>
      </c>
      <c r="E2879" s="7" t="s">
        <v>9021</v>
      </c>
      <c r="F2879" s="13"/>
      <c r="G2879" s="14"/>
      <c r="H2879" s="14"/>
      <c r="I2879" s="15">
        <v>20</v>
      </c>
      <c r="J2879" s="15">
        <v>709</v>
      </c>
      <c r="K2879" s="5">
        <v>7</v>
      </c>
      <c r="L2879" s="16">
        <v>66.533333333333331</v>
      </c>
      <c r="M2879" s="12"/>
      <c r="N2879" s="14">
        <f>L2879*M2879</f>
        <v>0</v>
      </c>
      <c r="O2879" s="23">
        <f>0.203*M2879</f>
        <v>0</v>
      </c>
      <c r="P2879" s="31">
        <f>0.0003*M2879</f>
        <v>0</v>
      </c>
      <c r="Q2879" s="25"/>
      <c r="R2879" s="26" t="s">
        <v>9022</v>
      </c>
      <c r="S2879" s="26" t="s">
        <v>93</v>
      </c>
      <c r="T2879" s="6" t="str">
        <f>HYPERLINK("https://kanzpp.ru/api/getInfo/image/c6fd7b5e-f806-11ee-a25d-00155d82e908")</f>
        <v>https://kanzpp.ru/api/getInfo/image/c6fd7b5e-f806-11ee-a25d-00155d82e908</v>
      </c>
      <c r="U2879" s="6"/>
      <c r="V2879" s="33" t="s">
        <v>35</v>
      </c>
    </row>
    <row r="2880" spans="2:22" ht="21" customHeight="1" outlineLevel="5" x14ac:dyDescent="0.2">
      <c r="B2880" s="69">
        <v>2142</v>
      </c>
      <c r="C2880" s="6" t="s">
        <v>9023</v>
      </c>
      <c r="D2880" s="6" t="s">
        <v>9024</v>
      </c>
      <c r="E2880" s="7" t="s">
        <v>9025</v>
      </c>
      <c r="F2880" s="13"/>
      <c r="G2880" s="14"/>
      <c r="H2880" s="14"/>
      <c r="I2880" s="15">
        <v>20</v>
      </c>
      <c r="J2880" s="15">
        <v>566</v>
      </c>
      <c r="K2880" s="5">
        <v>7</v>
      </c>
      <c r="L2880" s="16">
        <v>66.533333333333331</v>
      </c>
      <c r="M2880" s="12"/>
      <c r="N2880" s="14">
        <f>L2880*M2880</f>
        <v>0</v>
      </c>
      <c r="O2880" s="23">
        <f>0.203*M2880</f>
        <v>0</v>
      </c>
      <c r="P2880" s="31">
        <f>0.0003*M2880</f>
        <v>0</v>
      </c>
      <c r="Q2880" s="25"/>
      <c r="R2880" s="26" t="s">
        <v>9026</v>
      </c>
      <c r="S2880" s="26" t="s">
        <v>93</v>
      </c>
      <c r="T2880" s="6" t="str">
        <f>HYPERLINK("https://kanzpp.ru/api/getInfo/image/106736d7-f808-11ee-a25d-00155d82e908")</f>
        <v>https://kanzpp.ru/api/getInfo/image/106736d7-f808-11ee-a25d-00155d82e908</v>
      </c>
      <c r="U2880" s="6"/>
      <c r="V2880" s="33" t="s">
        <v>35</v>
      </c>
    </row>
    <row r="2881" spans="2:22" ht="21" customHeight="1" outlineLevel="5" x14ac:dyDescent="0.2">
      <c r="B2881" s="69">
        <v>2143</v>
      </c>
      <c r="C2881" s="6" t="s">
        <v>9027</v>
      </c>
      <c r="D2881" s="6" t="s">
        <v>9028</v>
      </c>
      <c r="E2881" s="7" t="s">
        <v>9029</v>
      </c>
      <c r="F2881" s="13"/>
      <c r="G2881" s="14"/>
      <c r="H2881" s="14"/>
      <c r="I2881" s="15">
        <v>20</v>
      </c>
      <c r="J2881" s="15">
        <v>636</v>
      </c>
      <c r="K2881" s="5">
        <v>7</v>
      </c>
      <c r="L2881" s="16">
        <v>66.533333333333331</v>
      </c>
      <c r="M2881" s="12"/>
      <c r="N2881" s="14">
        <f>L2881*M2881</f>
        <v>0</v>
      </c>
      <c r="O2881" s="23">
        <f>0.209*M2881</f>
        <v>0</v>
      </c>
      <c r="P2881" s="24">
        <f>0.00026*M2881</f>
        <v>0</v>
      </c>
      <c r="Q2881" s="25"/>
      <c r="R2881" s="26" t="s">
        <v>9030</v>
      </c>
      <c r="S2881" s="26" t="s">
        <v>93</v>
      </c>
      <c r="T2881" s="6" t="str">
        <f>HYPERLINK("https://kanzpp.ru/api/getInfo/image/72459aed-f807-11ee-a25d-00155d82e908")</f>
        <v>https://kanzpp.ru/api/getInfo/image/72459aed-f807-11ee-a25d-00155d82e908</v>
      </c>
      <c r="U2881" s="6"/>
      <c r="V2881" s="33" t="s">
        <v>35</v>
      </c>
    </row>
    <row r="2882" spans="2:22" ht="22.95" customHeight="1" outlineLevel="4" x14ac:dyDescent="0.2">
      <c r="B2882" s="82" t="s">
        <v>9031</v>
      </c>
      <c r="C2882" s="82"/>
      <c r="D2882" s="82"/>
      <c r="L2882">
        <v>0</v>
      </c>
    </row>
    <row r="2883" spans="2:22" ht="21" customHeight="1" outlineLevel="5" x14ac:dyDescent="0.2">
      <c r="B2883" s="69">
        <v>2144</v>
      </c>
      <c r="C2883" s="6" t="s">
        <v>9032</v>
      </c>
      <c r="D2883" s="6" t="s">
        <v>9033</v>
      </c>
      <c r="E2883" s="7" t="s">
        <v>9034</v>
      </c>
      <c r="F2883" s="13"/>
      <c r="G2883" s="14"/>
      <c r="H2883" s="14"/>
      <c r="I2883" s="15">
        <v>20</v>
      </c>
      <c r="J2883" s="15">
        <v>685</v>
      </c>
      <c r="K2883" s="5">
        <v>10</v>
      </c>
      <c r="L2883" s="16">
        <v>58.666666666666664</v>
      </c>
      <c r="M2883" s="12"/>
      <c r="N2883" s="14">
        <f t="shared" ref="N2883:N2889" si="132">L2883*M2883</f>
        <v>0</v>
      </c>
      <c r="O2883" s="23">
        <f>0.109*M2883</f>
        <v>0</v>
      </c>
      <c r="P2883" s="24">
        <f>0.00015*M2883</f>
        <v>0</v>
      </c>
      <c r="Q2883" s="25"/>
      <c r="R2883" s="26" t="s">
        <v>9035</v>
      </c>
      <c r="S2883" s="26" t="s">
        <v>93</v>
      </c>
      <c r="T2883" s="6" t="str">
        <f>HYPERLINK("https://kanzpp.ru/api/getInfo/image/9359f4b3-c949-11ed-a230-00155d82e902")</f>
        <v>https://kanzpp.ru/api/getInfo/image/9359f4b3-c949-11ed-a230-00155d82e902</v>
      </c>
      <c r="U2883" s="6"/>
      <c r="V2883" s="33" t="s">
        <v>35</v>
      </c>
    </row>
    <row r="2884" spans="2:22" ht="21" customHeight="1" outlineLevel="5" x14ac:dyDescent="0.2">
      <c r="B2884" s="71">
        <v>2145</v>
      </c>
      <c r="C2884" s="37" t="s">
        <v>9036</v>
      </c>
      <c r="D2884" s="37" t="s">
        <v>9037</v>
      </c>
      <c r="E2884" s="38" t="s">
        <v>9038</v>
      </c>
      <c r="F2884" s="39"/>
      <c r="G2884" s="40"/>
      <c r="H2884" s="40"/>
      <c r="I2884" s="41">
        <v>20</v>
      </c>
      <c r="J2884" s="41">
        <v>705</v>
      </c>
      <c r="K2884" s="36">
        <v>10</v>
      </c>
      <c r="L2884" s="42">
        <f>(67.39*(1-O3/100))/0.75</f>
        <v>89.853333333333339</v>
      </c>
      <c r="M2884" s="12"/>
      <c r="N2884" s="40">
        <f t="shared" si="132"/>
        <v>0</v>
      </c>
      <c r="O2884" s="43">
        <f>0.107*M2884</f>
        <v>0</v>
      </c>
      <c r="P2884" s="47">
        <f>0.00016*M2884</f>
        <v>0</v>
      </c>
      <c r="Q2884" s="44"/>
      <c r="R2884" s="45" t="s">
        <v>9039</v>
      </c>
      <c r="S2884" s="45" t="s">
        <v>93</v>
      </c>
      <c r="T2884" s="37" t="str">
        <f>HYPERLINK("https://kanzpp.ru/api/getInfo/image/1e32d5a5-baf6-11f0-a288-00155d82e908")</f>
        <v>https://kanzpp.ru/api/getInfo/image/1e32d5a5-baf6-11f0-a288-00155d82e908</v>
      </c>
      <c r="U2884" s="37"/>
    </row>
    <row r="2885" spans="2:22" ht="21" customHeight="1" outlineLevel="5" x14ac:dyDescent="0.2">
      <c r="B2885" s="71">
        <v>2146</v>
      </c>
      <c r="C2885" s="37" t="s">
        <v>9040</v>
      </c>
      <c r="D2885" s="37" t="s">
        <v>9041</v>
      </c>
      <c r="E2885" s="38" t="s">
        <v>9042</v>
      </c>
      <c r="F2885" s="39"/>
      <c r="G2885" s="40"/>
      <c r="H2885" s="40"/>
      <c r="I2885" s="41">
        <v>20</v>
      </c>
      <c r="J2885" s="40" t="s">
        <v>144</v>
      </c>
      <c r="K2885" s="36">
        <v>10</v>
      </c>
      <c r="L2885" s="42">
        <f>(67.39*(1-O3/100))/0.75</f>
        <v>89.853333333333339</v>
      </c>
      <c r="M2885" s="12"/>
      <c r="N2885" s="40">
        <f t="shared" si="132"/>
        <v>0</v>
      </c>
      <c r="O2885" s="43">
        <f>0.117*M2885</f>
        <v>0</v>
      </c>
      <c r="P2885" s="47">
        <f>0.00026*M2885</f>
        <v>0</v>
      </c>
      <c r="Q2885" s="44"/>
      <c r="R2885" s="45" t="s">
        <v>9043</v>
      </c>
      <c r="S2885" s="45" t="s">
        <v>93</v>
      </c>
      <c r="T2885" s="37" t="str">
        <f>HYPERLINK("https://kanzpp.ru/api/getInfo/image/e95237c1-baf5-11f0-a288-00155d82e908")</f>
        <v>https://kanzpp.ru/api/getInfo/image/e95237c1-baf5-11f0-a288-00155d82e908</v>
      </c>
      <c r="U2885" s="37"/>
    </row>
    <row r="2886" spans="2:22" ht="21" customHeight="1" outlineLevel="5" x14ac:dyDescent="0.2">
      <c r="B2886" s="71">
        <v>2147</v>
      </c>
      <c r="C2886" s="37" t="s">
        <v>9044</v>
      </c>
      <c r="D2886" s="37" t="s">
        <v>9045</v>
      </c>
      <c r="E2886" s="38" t="s">
        <v>9046</v>
      </c>
      <c r="F2886" s="39"/>
      <c r="G2886" s="40"/>
      <c r="H2886" s="40"/>
      <c r="I2886" s="41">
        <v>20</v>
      </c>
      <c r="J2886" s="41">
        <v>325</v>
      </c>
      <c r="K2886" s="36">
        <v>10</v>
      </c>
      <c r="L2886" s="42">
        <f>(67.39*(1-O3/100))/0.75</f>
        <v>89.853333333333339</v>
      </c>
      <c r="M2886" s="12"/>
      <c r="N2886" s="40">
        <f t="shared" si="132"/>
        <v>0</v>
      </c>
      <c r="O2886" s="43">
        <f>0.117*M2886</f>
        <v>0</v>
      </c>
      <c r="P2886" s="47">
        <f>0.00027*M2886</f>
        <v>0</v>
      </c>
      <c r="Q2886" s="44"/>
      <c r="R2886" s="45" t="s">
        <v>9047</v>
      </c>
      <c r="S2886" s="45" t="s">
        <v>93</v>
      </c>
      <c r="T2886" s="37" t="str">
        <f>HYPERLINK("https://kanzpp.ru/api/getInfo/image/0488346b-baf6-11f0-a288-00155d82e908")</f>
        <v>https://kanzpp.ru/api/getInfo/image/0488346b-baf6-11f0-a288-00155d82e908</v>
      </c>
      <c r="U2886" s="37"/>
    </row>
    <row r="2887" spans="2:22" ht="21" customHeight="1" outlineLevel="5" x14ac:dyDescent="0.2">
      <c r="B2887" s="71">
        <v>2148</v>
      </c>
      <c r="C2887" s="37" t="s">
        <v>9048</v>
      </c>
      <c r="D2887" s="37" t="s">
        <v>9049</v>
      </c>
      <c r="E2887" s="38" t="s">
        <v>9050</v>
      </c>
      <c r="F2887" s="39"/>
      <c r="G2887" s="40"/>
      <c r="H2887" s="40"/>
      <c r="I2887" s="41">
        <v>20</v>
      </c>
      <c r="J2887" s="40" t="s">
        <v>144</v>
      </c>
      <c r="K2887" s="36">
        <v>10</v>
      </c>
      <c r="L2887" s="42">
        <f>(67.39*(1-O3/100))/0.75</f>
        <v>89.853333333333339</v>
      </c>
      <c r="M2887" s="12"/>
      <c r="N2887" s="40">
        <f t="shared" si="132"/>
        <v>0</v>
      </c>
      <c r="O2887" s="43">
        <f>0.114*M2887</f>
        <v>0</v>
      </c>
      <c r="P2887" s="47">
        <f>0.00022*M2887</f>
        <v>0</v>
      </c>
      <c r="Q2887" s="44"/>
      <c r="R2887" s="45" t="s">
        <v>9051</v>
      </c>
      <c r="S2887" s="45" t="s">
        <v>93</v>
      </c>
      <c r="T2887" s="37" t="str">
        <f>HYPERLINK("https://kanzpp.ru/api/getInfo/image/cd2d46c6-baf5-11f0-a288-00155d82e908")</f>
        <v>https://kanzpp.ru/api/getInfo/image/cd2d46c6-baf5-11f0-a288-00155d82e908</v>
      </c>
      <c r="U2887" s="37"/>
    </row>
    <row r="2888" spans="2:22" ht="21" customHeight="1" outlineLevel="5" x14ac:dyDescent="0.2">
      <c r="B2888" s="71">
        <v>2149</v>
      </c>
      <c r="C2888" s="37" t="s">
        <v>9052</v>
      </c>
      <c r="D2888" s="37" t="s">
        <v>9053</v>
      </c>
      <c r="E2888" s="38" t="s">
        <v>9054</v>
      </c>
      <c r="F2888" s="39"/>
      <c r="G2888" s="40"/>
      <c r="H2888" s="40"/>
      <c r="I2888" s="41">
        <v>20</v>
      </c>
      <c r="J2888" s="41">
        <v>169</v>
      </c>
      <c r="K2888" s="36">
        <v>10</v>
      </c>
      <c r="L2888" s="42">
        <f>(67.39*(1-O3/100))/0.75</f>
        <v>89.853333333333339</v>
      </c>
      <c r="M2888" s="12"/>
      <c r="N2888" s="40">
        <f t="shared" si="132"/>
        <v>0</v>
      </c>
      <c r="O2888" s="43">
        <f>0.112*M2888</f>
        <v>0</v>
      </c>
      <c r="P2888" s="47">
        <f>0.00023*M2888</f>
        <v>0</v>
      </c>
      <c r="Q2888" s="44"/>
      <c r="R2888" s="45" t="s">
        <v>9055</v>
      </c>
      <c r="S2888" s="45" t="s">
        <v>93</v>
      </c>
      <c r="T2888" s="37" t="str">
        <f>HYPERLINK("https://kanzpp.ru/api/getInfo/image/2c684611-1e79-11f0-a279-00155d82e908")</f>
        <v>https://kanzpp.ru/api/getInfo/image/2c684611-1e79-11f0-a279-00155d82e908</v>
      </c>
      <c r="U2888" s="37"/>
    </row>
    <row r="2889" spans="2:22" ht="21" customHeight="1" outlineLevel="5" x14ac:dyDescent="0.2">
      <c r="B2889" s="71">
        <v>2150</v>
      </c>
      <c r="C2889" s="37" t="s">
        <v>9056</v>
      </c>
      <c r="D2889" s="37" t="s">
        <v>9057</v>
      </c>
      <c r="E2889" s="38" t="s">
        <v>9058</v>
      </c>
      <c r="F2889" s="39"/>
      <c r="G2889" s="40"/>
      <c r="H2889" s="40"/>
      <c r="I2889" s="41">
        <v>20</v>
      </c>
      <c r="J2889" s="41">
        <v>617</v>
      </c>
      <c r="K2889" s="36">
        <v>10</v>
      </c>
      <c r="L2889" s="42">
        <f>(67.39*(1-O3/100))/0.75</f>
        <v>89.853333333333339</v>
      </c>
      <c r="M2889" s="12"/>
      <c r="N2889" s="40">
        <f t="shared" si="132"/>
        <v>0</v>
      </c>
      <c r="O2889" s="43">
        <f>0.118*M2889</f>
        <v>0</v>
      </c>
      <c r="P2889" s="47">
        <f>0.00014*M2889</f>
        <v>0</v>
      </c>
      <c r="Q2889" s="44"/>
      <c r="R2889" s="45" t="s">
        <v>9059</v>
      </c>
      <c r="S2889" s="45" t="s">
        <v>93</v>
      </c>
      <c r="T2889" s="37" t="str">
        <f>HYPERLINK("https://kanzpp.ru/api/getInfo/image/370e6dd7-1e7a-11f0-a279-00155d82e908")</f>
        <v>https://kanzpp.ru/api/getInfo/image/370e6dd7-1e7a-11f0-a279-00155d82e908</v>
      </c>
      <c r="U2889" s="37"/>
    </row>
    <row r="2890" spans="2:22" ht="22.95" customHeight="1" outlineLevel="4" x14ac:dyDescent="0.2">
      <c r="B2890" s="82" t="s">
        <v>9060</v>
      </c>
      <c r="C2890" s="82"/>
      <c r="D2890" s="82"/>
      <c r="L2890">
        <v>0</v>
      </c>
    </row>
    <row r="2891" spans="2:22" ht="21" customHeight="1" outlineLevel="5" x14ac:dyDescent="0.2">
      <c r="B2891" s="71">
        <v>2151</v>
      </c>
      <c r="C2891" s="37" t="s">
        <v>9061</v>
      </c>
      <c r="D2891" s="37" t="s">
        <v>9062</v>
      </c>
      <c r="E2891" s="38" t="s">
        <v>9063</v>
      </c>
      <c r="F2891" s="39"/>
      <c r="G2891" s="40"/>
      <c r="H2891" s="40"/>
      <c r="I2891" s="41">
        <v>14</v>
      </c>
      <c r="J2891" s="41">
        <v>526</v>
      </c>
      <c r="K2891" s="36">
        <v>7</v>
      </c>
      <c r="L2891" s="42">
        <f>(84.82*(1-O3/100))/0.75</f>
        <v>113.09333333333332</v>
      </c>
      <c r="M2891" s="12"/>
      <c r="N2891" s="40">
        <f>L2891*M2891</f>
        <v>0</v>
      </c>
      <c r="O2891" s="43">
        <f>0.165*M2891</f>
        <v>0</v>
      </c>
      <c r="P2891" s="47">
        <f>0.00026*M2891</f>
        <v>0</v>
      </c>
      <c r="Q2891" s="44"/>
      <c r="R2891" s="45" t="s">
        <v>9064</v>
      </c>
      <c r="S2891" s="45" t="s">
        <v>93</v>
      </c>
      <c r="T2891" s="37" t="str">
        <f>HYPERLINK("https://kanzpp.ru/api/getInfo/image/984ae7d6-baf6-11f0-a288-00155d82e908")</f>
        <v>https://kanzpp.ru/api/getInfo/image/984ae7d6-baf6-11f0-a288-00155d82e908</v>
      </c>
      <c r="U2891" s="37"/>
    </row>
    <row r="2892" spans="2:22" ht="21" customHeight="1" outlineLevel="5" x14ac:dyDescent="0.2">
      <c r="B2892" s="69">
        <v>2152</v>
      </c>
      <c r="C2892" s="6" t="s">
        <v>9065</v>
      </c>
      <c r="D2892" s="6" t="s">
        <v>9066</v>
      </c>
      <c r="E2892" s="7" t="s">
        <v>9067</v>
      </c>
      <c r="F2892" s="13"/>
      <c r="G2892" s="14"/>
      <c r="H2892" s="14"/>
      <c r="I2892" s="15">
        <v>14</v>
      </c>
      <c r="J2892" s="15">
        <v>24</v>
      </c>
      <c r="K2892" s="5">
        <v>7</v>
      </c>
      <c r="L2892" s="16">
        <v>84.826666666666668</v>
      </c>
      <c r="M2892" s="12"/>
      <c r="N2892" s="14">
        <f>L2892*M2892</f>
        <v>0</v>
      </c>
      <c r="O2892" s="23">
        <f>0.167*M2892</f>
        <v>0</v>
      </c>
      <c r="P2892" s="24">
        <f>0.00022*M2892</f>
        <v>0</v>
      </c>
      <c r="Q2892" s="25"/>
      <c r="R2892" s="26" t="s">
        <v>9068</v>
      </c>
      <c r="S2892" s="26" t="s">
        <v>93</v>
      </c>
      <c r="T2892" s="6" t="str">
        <f>HYPERLINK("https://kanzpp.ru/api/getInfo/image/841680c5-13ab-11f0-a279-00155d82e908")</f>
        <v>https://kanzpp.ru/api/getInfo/image/841680c5-13ab-11f0-a279-00155d82e908</v>
      </c>
      <c r="U2892" s="6"/>
      <c r="V2892" s="33" t="s">
        <v>35</v>
      </c>
    </row>
    <row r="2893" spans="2:22" ht="21" customHeight="1" outlineLevel="5" x14ac:dyDescent="0.2">
      <c r="B2893" s="71">
        <v>2153</v>
      </c>
      <c r="C2893" s="37" t="s">
        <v>9069</v>
      </c>
      <c r="D2893" s="37" t="s">
        <v>9070</v>
      </c>
      <c r="E2893" s="38" t="s">
        <v>9071</v>
      </c>
      <c r="F2893" s="39"/>
      <c r="G2893" s="40"/>
      <c r="H2893" s="40"/>
      <c r="I2893" s="41">
        <v>14</v>
      </c>
      <c r="J2893" s="41">
        <v>783</v>
      </c>
      <c r="K2893" s="36">
        <v>7</v>
      </c>
      <c r="L2893" s="42">
        <f>(84.82*(1-O3/100))/0.75</f>
        <v>113.09333333333332</v>
      </c>
      <c r="M2893" s="12"/>
      <c r="N2893" s="40">
        <f>L2893*M2893</f>
        <v>0</v>
      </c>
      <c r="O2893" s="43">
        <f>0.165*M2893</f>
        <v>0</v>
      </c>
      <c r="P2893" s="47">
        <f>0.00026*M2893</f>
        <v>0</v>
      </c>
      <c r="Q2893" s="44"/>
      <c r="R2893" s="45" t="s">
        <v>9072</v>
      </c>
      <c r="S2893" s="45" t="s">
        <v>93</v>
      </c>
      <c r="T2893" s="37" t="str">
        <f>HYPERLINK("https://kanzpp.ru/api/getInfo/image/d90bbee0-baf6-11f0-a288-00155d82e908")</f>
        <v>https://kanzpp.ru/api/getInfo/image/d90bbee0-baf6-11f0-a288-00155d82e908</v>
      </c>
      <c r="U2893" s="37"/>
    </row>
    <row r="2894" spans="2:22" ht="21" customHeight="1" outlineLevel="5" x14ac:dyDescent="0.2">
      <c r="B2894" s="71">
        <v>2154</v>
      </c>
      <c r="C2894" s="37" t="s">
        <v>9073</v>
      </c>
      <c r="D2894" s="37" t="s">
        <v>9074</v>
      </c>
      <c r="E2894" s="38" t="s">
        <v>9075</v>
      </c>
      <c r="F2894" s="39"/>
      <c r="G2894" s="40"/>
      <c r="H2894" s="40"/>
      <c r="I2894" s="41">
        <v>14</v>
      </c>
      <c r="J2894" s="41">
        <v>384</v>
      </c>
      <c r="K2894" s="36">
        <v>7</v>
      </c>
      <c r="L2894" s="42">
        <f>(84.82*(1-O3/100))/0.75</f>
        <v>113.09333333333332</v>
      </c>
      <c r="M2894" s="12"/>
      <c r="N2894" s="40">
        <f>L2894*M2894</f>
        <v>0</v>
      </c>
      <c r="O2894" s="43">
        <f>0.168*M2894</f>
        <v>0</v>
      </c>
      <c r="P2894" s="47">
        <f>0.00019*M2894</f>
        <v>0</v>
      </c>
      <c r="Q2894" s="44"/>
      <c r="R2894" s="45" t="s">
        <v>9076</v>
      </c>
      <c r="S2894" s="45" t="s">
        <v>93</v>
      </c>
      <c r="T2894" s="37" t="str">
        <f>HYPERLINK("https://kanzpp.ru/api/getInfo/image/d5790178-13ab-11f0-a279-00155d82e908")</f>
        <v>https://kanzpp.ru/api/getInfo/image/d5790178-13ab-11f0-a279-00155d82e908</v>
      </c>
      <c r="U2894" s="37"/>
    </row>
    <row r="2895" spans="2:22" ht="21" customHeight="1" outlineLevel="5" x14ac:dyDescent="0.2">
      <c r="B2895" s="71">
        <v>2155</v>
      </c>
      <c r="C2895" s="37" t="s">
        <v>9077</v>
      </c>
      <c r="D2895" s="37" t="s">
        <v>9078</v>
      </c>
      <c r="E2895" s="38" t="s">
        <v>9079</v>
      </c>
      <c r="F2895" s="39"/>
      <c r="G2895" s="40"/>
      <c r="H2895" s="40"/>
      <c r="I2895" s="41">
        <v>14</v>
      </c>
      <c r="J2895" s="41">
        <v>839</v>
      </c>
      <c r="K2895" s="36">
        <v>7</v>
      </c>
      <c r="L2895" s="42">
        <f>(84.82*(1-O3/100))/0.75</f>
        <v>113.09333333333332</v>
      </c>
      <c r="M2895" s="12"/>
      <c r="N2895" s="40">
        <f>L2895*M2895</f>
        <v>0</v>
      </c>
      <c r="O2895" s="43">
        <f>0.167*M2895</f>
        <v>0</v>
      </c>
      <c r="P2895" s="47">
        <f>0.00022*M2895</f>
        <v>0</v>
      </c>
      <c r="Q2895" s="44"/>
      <c r="R2895" s="45" t="s">
        <v>9080</v>
      </c>
      <c r="S2895" s="45" t="s">
        <v>93</v>
      </c>
      <c r="T2895" s="37" t="str">
        <f>HYPERLINK("https://kanzpp.ru/api/getInfo/image/b02fded4-13ab-11f0-a279-00155d82e908")</f>
        <v>https://kanzpp.ru/api/getInfo/image/b02fded4-13ab-11f0-a279-00155d82e908</v>
      </c>
      <c r="U2895" s="37"/>
    </row>
    <row r="2896" spans="2:22" ht="22.95" customHeight="1" outlineLevel="4" x14ac:dyDescent="0.2">
      <c r="B2896" s="82" t="s">
        <v>9081</v>
      </c>
      <c r="C2896" s="82"/>
      <c r="D2896" s="82"/>
      <c r="L2896">
        <v>0</v>
      </c>
    </row>
    <row r="2897" spans="2:22" ht="21" customHeight="1" outlineLevel="5" x14ac:dyDescent="0.2">
      <c r="B2897" s="71">
        <v>2156</v>
      </c>
      <c r="C2897" s="37" t="s">
        <v>9082</v>
      </c>
      <c r="D2897" s="37" t="s">
        <v>9083</v>
      </c>
      <c r="E2897" s="38" t="s">
        <v>9084</v>
      </c>
      <c r="F2897" s="39"/>
      <c r="G2897" s="40"/>
      <c r="H2897" s="40"/>
      <c r="I2897" s="41">
        <v>14</v>
      </c>
      <c r="J2897" s="40" t="s">
        <v>144</v>
      </c>
      <c r="K2897" s="36">
        <v>7</v>
      </c>
      <c r="L2897" s="42">
        <f>(89.66*(1-O3/100))/0.75</f>
        <v>119.54666666666667</v>
      </c>
      <c r="M2897" s="12"/>
      <c r="N2897" s="40">
        <f t="shared" ref="N2897:N2904" si="133">L2897*M2897</f>
        <v>0</v>
      </c>
      <c r="O2897" s="43">
        <f>0.167*M2897</f>
        <v>0</v>
      </c>
      <c r="P2897" s="47">
        <f>0.00025*M2897</f>
        <v>0</v>
      </c>
      <c r="Q2897" s="44"/>
      <c r="R2897" s="45" t="s">
        <v>9085</v>
      </c>
      <c r="S2897" s="45" t="s">
        <v>93</v>
      </c>
      <c r="T2897" s="37" t="str">
        <f>HYPERLINK("https://kanzpp.ru/api/getInfo/image/50a3736f-9519-11f0-a284-00155d82e908")</f>
        <v>https://kanzpp.ru/api/getInfo/image/50a3736f-9519-11f0-a284-00155d82e908</v>
      </c>
      <c r="U2897" s="37"/>
    </row>
    <row r="2898" spans="2:22" ht="21" customHeight="1" outlineLevel="5" x14ac:dyDescent="0.2">
      <c r="B2898" s="71">
        <v>2157</v>
      </c>
      <c r="C2898" s="37" t="s">
        <v>9086</v>
      </c>
      <c r="D2898" s="37" t="s">
        <v>9087</v>
      </c>
      <c r="E2898" s="38" t="s">
        <v>9088</v>
      </c>
      <c r="F2898" s="39"/>
      <c r="G2898" s="40"/>
      <c r="H2898" s="40"/>
      <c r="I2898" s="41">
        <v>14</v>
      </c>
      <c r="J2898" s="41">
        <v>270</v>
      </c>
      <c r="K2898" s="36">
        <v>7</v>
      </c>
      <c r="L2898" s="42">
        <f>(89.66*(1-O3/100))/0.75</f>
        <v>119.54666666666667</v>
      </c>
      <c r="M2898" s="12"/>
      <c r="N2898" s="40">
        <f t="shared" si="133"/>
        <v>0</v>
      </c>
      <c r="O2898" s="48">
        <f>0.16*M2898</f>
        <v>0</v>
      </c>
      <c r="P2898" s="47">
        <f>0.00027*M2898</f>
        <v>0</v>
      </c>
      <c r="Q2898" s="44"/>
      <c r="R2898" s="45" t="s">
        <v>9089</v>
      </c>
      <c r="S2898" s="45" t="s">
        <v>93</v>
      </c>
      <c r="T2898" s="37" t="str">
        <f>HYPERLINK("https://kanzpp.ru/api/getInfo/image/c8c6a6ad-9519-11f0-a284-00155d82e908")</f>
        <v>https://kanzpp.ru/api/getInfo/image/c8c6a6ad-9519-11f0-a284-00155d82e908</v>
      </c>
      <c r="U2898" s="37"/>
    </row>
    <row r="2899" spans="2:22" ht="21" customHeight="1" outlineLevel="5" x14ac:dyDescent="0.2">
      <c r="B2899" s="71">
        <v>2158</v>
      </c>
      <c r="C2899" s="37" t="s">
        <v>9090</v>
      </c>
      <c r="D2899" s="37" t="s">
        <v>9091</v>
      </c>
      <c r="E2899" s="38" t="s">
        <v>9092</v>
      </c>
      <c r="F2899" s="39"/>
      <c r="G2899" s="40"/>
      <c r="H2899" s="40"/>
      <c r="I2899" s="41">
        <v>14</v>
      </c>
      <c r="J2899" s="41">
        <v>429</v>
      </c>
      <c r="K2899" s="36">
        <v>7</v>
      </c>
      <c r="L2899" s="42">
        <f>(89.66*(1-O3/100))/0.75</f>
        <v>119.54666666666667</v>
      </c>
      <c r="M2899" s="12"/>
      <c r="N2899" s="40">
        <f t="shared" si="133"/>
        <v>0</v>
      </c>
      <c r="O2899" s="43">
        <f>0.168*M2899</f>
        <v>0</v>
      </c>
      <c r="P2899" s="47">
        <f>0.00028*M2899</f>
        <v>0</v>
      </c>
      <c r="Q2899" s="44"/>
      <c r="R2899" s="45" t="s">
        <v>9093</v>
      </c>
      <c r="S2899" s="45" t="s">
        <v>93</v>
      </c>
      <c r="T2899" s="37" t="str">
        <f>HYPERLINK("https://kanzpp.ru/api/getInfo/image/1bbbd048-951a-11f0-a284-00155d82e908")</f>
        <v>https://kanzpp.ru/api/getInfo/image/1bbbd048-951a-11f0-a284-00155d82e908</v>
      </c>
      <c r="U2899" s="37"/>
    </row>
    <row r="2900" spans="2:22" ht="21" customHeight="1" outlineLevel="5" x14ac:dyDescent="0.2">
      <c r="B2900" s="71">
        <v>2159</v>
      </c>
      <c r="C2900" s="37" t="s">
        <v>9094</v>
      </c>
      <c r="D2900" s="37" t="s">
        <v>9095</v>
      </c>
      <c r="E2900" s="38" t="s">
        <v>9096</v>
      </c>
      <c r="F2900" s="39"/>
      <c r="G2900" s="40"/>
      <c r="H2900" s="40"/>
      <c r="I2900" s="41">
        <v>14</v>
      </c>
      <c r="J2900" s="40" t="s">
        <v>144</v>
      </c>
      <c r="K2900" s="36">
        <v>7</v>
      </c>
      <c r="L2900" s="42">
        <f>(89.66*(1-O3/100))/0.75</f>
        <v>119.54666666666667</v>
      </c>
      <c r="M2900" s="12"/>
      <c r="N2900" s="40">
        <f t="shared" si="133"/>
        <v>0</v>
      </c>
      <c r="O2900" s="43">
        <f>0.158*M2900</f>
        <v>0</v>
      </c>
      <c r="P2900" s="47">
        <f>0.00025*M2900</f>
        <v>0</v>
      </c>
      <c r="Q2900" s="44"/>
      <c r="R2900" s="45" t="s">
        <v>9097</v>
      </c>
      <c r="S2900" s="45" t="s">
        <v>93</v>
      </c>
      <c r="T2900" s="37" t="str">
        <f>HYPERLINK("https://kanzpp.ru/api/getInfo/image/920d51e3-9519-11f0-a284-00155d82e908")</f>
        <v>https://kanzpp.ru/api/getInfo/image/920d51e3-9519-11f0-a284-00155d82e908</v>
      </c>
      <c r="U2900" s="37"/>
    </row>
    <row r="2901" spans="2:22" ht="21" customHeight="1" outlineLevel="5" x14ac:dyDescent="0.2">
      <c r="B2901" s="69">
        <v>2160</v>
      </c>
      <c r="C2901" s="6" t="s">
        <v>9098</v>
      </c>
      <c r="D2901" s="6" t="s">
        <v>9099</v>
      </c>
      <c r="E2901" s="7" t="s">
        <v>9100</v>
      </c>
      <c r="F2901" s="13"/>
      <c r="G2901" s="14"/>
      <c r="H2901" s="14"/>
      <c r="I2901" s="15">
        <v>14</v>
      </c>
      <c r="J2901" s="15">
        <v>59</v>
      </c>
      <c r="K2901" s="5">
        <v>7</v>
      </c>
      <c r="L2901" s="16">
        <v>66.533333333333331</v>
      </c>
      <c r="M2901" s="12"/>
      <c r="N2901" s="14">
        <f t="shared" si="133"/>
        <v>0</v>
      </c>
      <c r="O2901" s="23">
        <f>0.169*M2901</f>
        <v>0</v>
      </c>
      <c r="P2901" s="24">
        <f>0.00068*M2901</f>
        <v>0</v>
      </c>
      <c r="Q2901" s="25"/>
      <c r="R2901" s="26" t="s">
        <v>9101</v>
      </c>
      <c r="S2901" s="26" t="s">
        <v>93</v>
      </c>
      <c r="T2901" s="6" t="str">
        <f>HYPERLINK("https://kanzpp.ru/api/getInfo/image/135e0e36-9a1d-11ec-a211-ac1f6b442185")</f>
        <v>https://kanzpp.ru/api/getInfo/image/135e0e36-9a1d-11ec-a211-ac1f6b442185</v>
      </c>
      <c r="U2901" s="6"/>
      <c r="V2901" s="33" t="s">
        <v>35</v>
      </c>
    </row>
    <row r="2902" spans="2:22" ht="21" customHeight="1" outlineLevel="5" x14ac:dyDescent="0.2">
      <c r="B2902" s="71">
        <v>2161</v>
      </c>
      <c r="C2902" s="37" t="s">
        <v>9102</v>
      </c>
      <c r="D2902" s="37" t="s">
        <v>9103</v>
      </c>
      <c r="E2902" s="38" t="s">
        <v>9104</v>
      </c>
      <c r="F2902" s="39"/>
      <c r="G2902" s="40"/>
      <c r="H2902" s="40"/>
      <c r="I2902" s="41">
        <v>14</v>
      </c>
      <c r="J2902" s="41">
        <v>744</v>
      </c>
      <c r="K2902" s="36">
        <v>7</v>
      </c>
      <c r="L2902" s="42">
        <f>(89.66*(1-O3/100))/0.75</f>
        <v>119.54666666666667</v>
      </c>
      <c r="M2902" s="12"/>
      <c r="N2902" s="40">
        <f t="shared" si="133"/>
        <v>0</v>
      </c>
      <c r="O2902" s="43">
        <f>0.161*M2902</f>
        <v>0</v>
      </c>
      <c r="P2902" s="47">
        <f>0.00027*M2902</f>
        <v>0</v>
      </c>
      <c r="Q2902" s="44"/>
      <c r="R2902" s="45" t="s">
        <v>9105</v>
      </c>
      <c r="S2902" s="45" t="s">
        <v>93</v>
      </c>
      <c r="T2902" s="37" t="str">
        <f>HYPERLINK("https://kanzpp.ru/api/getInfo/image/abad8334-9518-11f0-a284-00155d82e908")</f>
        <v>https://kanzpp.ru/api/getInfo/image/abad8334-9518-11f0-a284-00155d82e908</v>
      </c>
      <c r="U2902" s="37"/>
    </row>
    <row r="2903" spans="2:22" ht="21" customHeight="1" outlineLevel="5" x14ac:dyDescent="0.2">
      <c r="B2903" s="71">
        <v>2162</v>
      </c>
      <c r="C2903" s="37" t="s">
        <v>9106</v>
      </c>
      <c r="D2903" s="37" t="s">
        <v>9107</v>
      </c>
      <c r="E2903" s="38" t="s">
        <v>9108</v>
      </c>
      <c r="F2903" s="39"/>
      <c r="G2903" s="40"/>
      <c r="H2903" s="40"/>
      <c r="I2903" s="41">
        <v>14</v>
      </c>
      <c r="J2903" s="40" t="s">
        <v>144</v>
      </c>
      <c r="K2903" s="36">
        <v>7</v>
      </c>
      <c r="L2903" s="42">
        <f>(89.66*(1-O3/100))/0.75</f>
        <v>119.54666666666667</v>
      </c>
      <c r="M2903" s="12"/>
      <c r="N2903" s="40">
        <f t="shared" si="133"/>
        <v>0</v>
      </c>
      <c r="O2903" s="43">
        <f>0.158*M2903</f>
        <v>0</v>
      </c>
      <c r="P2903" s="47">
        <f>0.00025*M2903</f>
        <v>0</v>
      </c>
      <c r="Q2903" s="44"/>
      <c r="R2903" s="45" t="s">
        <v>9109</v>
      </c>
      <c r="S2903" s="45" t="s">
        <v>93</v>
      </c>
      <c r="T2903" s="37" t="str">
        <f>HYPERLINK("https://kanzpp.ru/api/getInfo/image/df2cf882-9518-11f0-a284-00155d82e908")</f>
        <v>https://kanzpp.ru/api/getInfo/image/df2cf882-9518-11f0-a284-00155d82e908</v>
      </c>
      <c r="U2903" s="37"/>
    </row>
    <row r="2904" spans="2:22" ht="21" customHeight="1" outlineLevel="5" x14ac:dyDescent="0.2">
      <c r="B2904" s="71">
        <v>2163</v>
      </c>
      <c r="C2904" s="37" t="s">
        <v>9110</v>
      </c>
      <c r="D2904" s="37" t="s">
        <v>9111</v>
      </c>
      <c r="E2904" s="38" t="s">
        <v>9112</v>
      </c>
      <c r="F2904" s="39"/>
      <c r="G2904" s="40"/>
      <c r="H2904" s="40"/>
      <c r="I2904" s="41">
        <v>14</v>
      </c>
      <c r="J2904" s="41">
        <v>36</v>
      </c>
      <c r="K2904" s="36">
        <v>7</v>
      </c>
      <c r="L2904" s="42">
        <f>(89.66*(1-O3/100))/0.75</f>
        <v>119.54666666666667</v>
      </c>
      <c r="M2904" s="12"/>
      <c r="N2904" s="40">
        <f t="shared" si="133"/>
        <v>0</v>
      </c>
      <c r="O2904" s="43">
        <f>0.159*M2904</f>
        <v>0</v>
      </c>
      <c r="P2904" s="47">
        <f>0.00025*M2904</f>
        <v>0</v>
      </c>
      <c r="Q2904" s="44"/>
      <c r="R2904" s="45" t="s">
        <v>9113</v>
      </c>
      <c r="S2904" s="45" t="s">
        <v>93</v>
      </c>
      <c r="T2904" s="37" t="str">
        <f>HYPERLINK("https://kanzpp.ru/api/getInfo/image/407fd24a-951a-11f0-a284-00155d82e908")</f>
        <v>https://kanzpp.ru/api/getInfo/image/407fd24a-951a-11f0-a284-00155d82e908</v>
      </c>
      <c r="U2904" s="37"/>
    </row>
    <row r="2905" spans="2:22" ht="22.95" customHeight="1" outlineLevel="3" x14ac:dyDescent="0.2">
      <c r="B2905" s="81" t="s">
        <v>9114</v>
      </c>
      <c r="C2905" s="81"/>
      <c r="D2905" s="81"/>
      <c r="L2905">
        <v>0</v>
      </c>
    </row>
    <row r="2906" spans="2:22" ht="22.95" customHeight="1" outlineLevel="4" x14ac:dyDescent="0.2">
      <c r="B2906" s="82" t="s">
        <v>9115</v>
      </c>
      <c r="C2906" s="82"/>
      <c r="D2906" s="82"/>
      <c r="L2906">
        <v>0</v>
      </c>
    </row>
    <row r="2907" spans="2:22" ht="21" customHeight="1" outlineLevel="5" x14ac:dyDescent="0.2">
      <c r="B2907" s="71">
        <v>2164</v>
      </c>
      <c r="C2907" s="37" t="s">
        <v>9116</v>
      </c>
      <c r="D2907" s="37" t="s">
        <v>9117</v>
      </c>
      <c r="E2907" s="38" t="s">
        <v>9118</v>
      </c>
      <c r="F2907" s="39"/>
      <c r="G2907" s="40"/>
      <c r="H2907" s="40"/>
      <c r="I2907" s="41">
        <v>40</v>
      </c>
      <c r="J2907" s="41">
        <v>693</v>
      </c>
      <c r="K2907" s="36">
        <v>16</v>
      </c>
      <c r="L2907" s="42">
        <f>(39.64*(1-O3/100))/0.75</f>
        <v>52.853333333333332</v>
      </c>
      <c r="M2907" s="12"/>
      <c r="N2907" s="40">
        <f t="shared" ref="N2907:N2919" si="134">L2907*M2907</f>
        <v>0</v>
      </c>
      <c r="O2907" s="43">
        <f>0.043*M2907</f>
        <v>0</v>
      </c>
      <c r="P2907" s="47">
        <f>0.00005*M2907</f>
        <v>0</v>
      </c>
      <c r="Q2907" s="44"/>
      <c r="R2907" s="45" t="s">
        <v>9119</v>
      </c>
      <c r="S2907" s="45" t="s">
        <v>93</v>
      </c>
      <c r="T2907" s="37" t="str">
        <f>HYPERLINK("https://kanzpp.ru/api/getInfo/image/780321ab-f2b0-11f0-a28d-00155d82e908")</f>
        <v>https://kanzpp.ru/api/getInfo/image/780321ab-f2b0-11f0-a28d-00155d82e908</v>
      </c>
      <c r="U2907" s="37"/>
    </row>
    <row r="2908" spans="2:22" ht="21" customHeight="1" outlineLevel="5" x14ac:dyDescent="0.2">
      <c r="B2908" s="71">
        <v>2165</v>
      </c>
      <c r="C2908" s="37" t="s">
        <v>9120</v>
      </c>
      <c r="D2908" s="37" t="s">
        <v>9121</v>
      </c>
      <c r="E2908" s="38" t="s">
        <v>9122</v>
      </c>
      <c r="F2908" s="39"/>
      <c r="G2908" s="40"/>
      <c r="H2908" s="40"/>
      <c r="I2908" s="41">
        <v>40</v>
      </c>
      <c r="J2908" s="41">
        <v>421</v>
      </c>
      <c r="K2908" s="36">
        <v>16</v>
      </c>
      <c r="L2908" s="42">
        <f>(39.64*(1-O3/100))/0.75</f>
        <v>52.853333333333332</v>
      </c>
      <c r="M2908" s="12"/>
      <c r="N2908" s="40">
        <f t="shared" si="134"/>
        <v>0</v>
      </c>
      <c r="O2908" s="43">
        <f>0.043*M2908</f>
        <v>0</v>
      </c>
      <c r="P2908" s="47">
        <f>0.00005*M2908</f>
        <v>0</v>
      </c>
      <c r="Q2908" s="44"/>
      <c r="R2908" s="45" t="s">
        <v>9123</v>
      </c>
      <c r="S2908" s="45" t="s">
        <v>93</v>
      </c>
      <c r="T2908" s="37" t="str">
        <f>HYPERLINK("https://kanzpp.ru/api/getInfo/image/082fefb3-f2b0-11f0-a28d-00155d82e908")</f>
        <v>https://kanzpp.ru/api/getInfo/image/082fefb3-f2b0-11f0-a28d-00155d82e908</v>
      </c>
      <c r="U2908" s="37"/>
    </row>
    <row r="2909" spans="2:22" ht="21" customHeight="1" outlineLevel="5" x14ac:dyDescent="0.2">
      <c r="B2909" s="69">
        <v>2166</v>
      </c>
      <c r="C2909" s="6" t="s">
        <v>9124</v>
      </c>
      <c r="D2909" s="6" t="s">
        <v>9125</v>
      </c>
      <c r="E2909" s="7" t="s">
        <v>9126</v>
      </c>
      <c r="F2909" s="13"/>
      <c r="G2909" s="14"/>
      <c r="H2909" s="14"/>
      <c r="I2909" s="15">
        <v>40</v>
      </c>
      <c r="J2909" s="15">
        <v>249</v>
      </c>
      <c r="K2909" s="5">
        <v>16</v>
      </c>
      <c r="L2909" s="16">
        <v>33.199999999999996</v>
      </c>
      <c r="M2909" s="12"/>
      <c r="N2909" s="14">
        <f t="shared" si="134"/>
        <v>0</v>
      </c>
      <c r="O2909" s="23">
        <f>0.048*M2909</f>
        <v>0</v>
      </c>
      <c r="P2909" s="24">
        <f>0.00007*M2909</f>
        <v>0</v>
      </c>
      <c r="Q2909" s="25"/>
      <c r="R2909" s="26" t="s">
        <v>9127</v>
      </c>
      <c r="S2909" s="26" t="s">
        <v>93</v>
      </c>
      <c r="T2909" s="6" t="str">
        <f>HYPERLINK("https://kanzpp.ru/api/getInfo/image/dda847ed-4ff2-11f0-a27e-00155d82e908")</f>
        <v>https://kanzpp.ru/api/getInfo/image/dda847ed-4ff2-11f0-a27e-00155d82e908</v>
      </c>
      <c r="U2909" s="6"/>
      <c r="V2909" s="33" t="s">
        <v>35</v>
      </c>
    </row>
    <row r="2910" spans="2:22" ht="21" customHeight="1" outlineLevel="5" x14ac:dyDescent="0.2">
      <c r="B2910" s="71">
        <v>2167</v>
      </c>
      <c r="C2910" s="37" t="s">
        <v>9128</v>
      </c>
      <c r="D2910" s="37" t="s">
        <v>9129</v>
      </c>
      <c r="E2910" s="38" t="s">
        <v>9130</v>
      </c>
      <c r="F2910" s="39"/>
      <c r="G2910" s="40"/>
      <c r="H2910" s="40"/>
      <c r="I2910" s="41">
        <v>40</v>
      </c>
      <c r="J2910" s="41">
        <v>111</v>
      </c>
      <c r="K2910" s="36">
        <v>16</v>
      </c>
      <c r="L2910" s="42">
        <f>(39.64*(1-O3/100))/0.75</f>
        <v>52.853333333333332</v>
      </c>
      <c r="M2910" s="12"/>
      <c r="N2910" s="40">
        <f t="shared" si="134"/>
        <v>0</v>
      </c>
      <c r="O2910" s="43">
        <f>0.036*M2910</f>
        <v>0</v>
      </c>
      <c r="P2910" s="47">
        <f>0.00007*M2910</f>
        <v>0</v>
      </c>
      <c r="Q2910" s="44"/>
      <c r="R2910" s="45" t="s">
        <v>9131</v>
      </c>
      <c r="S2910" s="45" t="s">
        <v>93</v>
      </c>
      <c r="T2910" s="37" t="str">
        <f>HYPERLINK("https://kanzpp.ru/api/getInfo/image/a33660f1-4ff5-11f0-a27e-00155d82e908")</f>
        <v>https://kanzpp.ru/api/getInfo/image/a33660f1-4ff5-11f0-a27e-00155d82e908</v>
      </c>
      <c r="U2910" s="37"/>
    </row>
    <row r="2911" spans="2:22" ht="21" customHeight="1" outlineLevel="5" x14ac:dyDescent="0.2">
      <c r="B2911" s="71">
        <v>2168</v>
      </c>
      <c r="C2911" s="37" t="s">
        <v>9132</v>
      </c>
      <c r="D2911" s="37" t="s">
        <v>9133</v>
      </c>
      <c r="E2911" s="38" t="s">
        <v>9134</v>
      </c>
      <c r="F2911" s="39"/>
      <c r="G2911" s="40"/>
      <c r="H2911" s="40"/>
      <c r="I2911" s="41">
        <v>40</v>
      </c>
      <c r="J2911" s="41">
        <v>1</v>
      </c>
      <c r="K2911" s="36">
        <v>1</v>
      </c>
      <c r="L2911" s="42">
        <f>(39.64*(1-O3/100))/0.75</f>
        <v>52.853333333333332</v>
      </c>
      <c r="M2911" s="12"/>
      <c r="N2911" s="40">
        <f t="shared" si="134"/>
        <v>0</v>
      </c>
      <c r="O2911" s="43">
        <f>0.107*M2911</f>
        <v>0</v>
      </c>
      <c r="P2911" s="47">
        <f>0.00016*M2911</f>
        <v>0</v>
      </c>
      <c r="Q2911" s="44"/>
      <c r="R2911" s="45" t="s">
        <v>9135</v>
      </c>
      <c r="S2911" s="45" t="s">
        <v>93</v>
      </c>
      <c r="T2911" s="37" t="str">
        <f>HYPERLINK("https://kanzpp.ru/api/getInfo/image/84afe784-bb01-11f0-a288-00155d82e908")</f>
        <v>https://kanzpp.ru/api/getInfo/image/84afe784-bb01-11f0-a288-00155d82e908</v>
      </c>
      <c r="U2911" s="37"/>
    </row>
    <row r="2912" spans="2:22" ht="21" customHeight="1" outlineLevel="5" x14ac:dyDescent="0.2">
      <c r="B2912" s="71">
        <v>2169</v>
      </c>
      <c r="C2912" s="37" t="s">
        <v>9136</v>
      </c>
      <c r="D2912" s="37" t="s">
        <v>9137</v>
      </c>
      <c r="E2912" s="38" t="s">
        <v>9138</v>
      </c>
      <c r="F2912" s="39"/>
      <c r="G2912" s="40"/>
      <c r="H2912" s="40"/>
      <c r="I2912" s="41">
        <v>40</v>
      </c>
      <c r="J2912" s="41">
        <v>538</v>
      </c>
      <c r="K2912" s="36">
        <v>16</v>
      </c>
      <c r="L2912" s="42">
        <f>(39.64*(1-O3/100))/0.75</f>
        <v>52.853333333333332</v>
      </c>
      <c r="M2912" s="12"/>
      <c r="N2912" s="40">
        <f t="shared" si="134"/>
        <v>0</v>
      </c>
      <c r="O2912" s="43">
        <f>0.041*M2912</f>
        <v>0</v>
      </c>
      <c r="P2912" s="47">
        <f>0.00007*M2912</f>
        <v>0</v>
      </c>
      <c r="Q2912" s="44"/>
      <c r="R2912" s="45" t="s">
        <v>9139</v>
      </c>
      <c r="S2912" s="45" t="s">
        <v>93</v>
      </c>
      <c r="T2912" s="37" t="str">
        <f>HYPERLINK("https://kanzpp.ru/api/getInfo/image/a311ce5d-bb01-11f0-a288-00155d82e908")</f>
        <v>https://kanzpp.ru/api/getInfo/image/a311ce5d-bb01-11f0-a288-00155d82e908</v>
      </c>
      <c r="U2912" s="37"/>
    </row>
    <row r="2913" spans="2:22" ht="21" customHeight="1" outlineLevel="5" x14ac:dyDescent="0.2">
      <c r="B2913" s="71">
        <v>2170</v>
      </c>
      <c r="C2913" s="37" t="s">
        <v>9140</v>
      </c>
      <c r="D2913" s="37" t="s">
        <v>9141</v>
      </c>
      <c r="E2913" s="38" t="s">
        <v>9142</v>
      </c>
      <c r="F2913" s="39"/>
      <c r="G2913" s="40"/>
      <c r="H2913" s="40"/>
      <c r="I2913" s="41">
        <v>40</v>
      </c>
      <c r="J2913" s="41">
        <v>675</v>
      </c>
      <c r="K2913" s="36">
        <v>16</v>
      </c>
      <c r="L2913" s="42">
        <f>(39.64*(1-O3/100))/0.75</f>
        <v>52.853333333333332</v>
      </c>
      <c r="M2913" s="12"/>
      <c r="N2913" s="40">
        <f t="shared" si="134"/>
        <v>0</v>
      </c>
      <c r="O2913" s="43">
        <f>0.042*M2913</f>
        <v>0</v>
      </c>
      <c r="P2913" s="47">
        <f>0.00006*M2913</f>
        <v>0</v>
      </c>
      <c r="Q2913" s="44"/>
      <c r="R2913" s="45" t="s">
        <v>9143</v>
      </c>
      <c r="S2913" s="45" t="s">
        <v>93</v>
      </c>
      <c r="T2913" s="37" t="str">
        <f>HYPERLINK("https://kanzpp.ru/api/getInfo/image/cce4572b-bb01-11f0-a288-00155d82e908")</f>
        <v>https://kanzpp.ru/api/getInfo/image/cce4572b-bb01-11f0-a288-00155d82e908</v>
      </c>
      <c r="U2913" s="37"/>
    </row>
    <row r="2914" spans="2:22" ht="21" customHeight="1" outlineLevel="5" x14ac:dyDescent="0.2">
      <c r="B2914" s="71">
        <v>2171</v>
      </c>
      <c r="C2914" s="37" t="s">
        <v>9144</v>
      </c>
      <c r="D2914" s="37" t="s">
        <v>9145</v>
      </c>
      <c r="E2914" s="38" t="s">
        <v>9146</v>
      </c>
      <c r="F2914" s="39"/>
      <c r="G2914" s="40"/>
      <c r="H2914" s="40"/>
      <c r="I2914" s="41">
        <v>40</v>
      </c>
      <c r="J2914" s="50">
        <v>1621</v>
      </c>
      <c r="K2914" s="36">
        <v>16</v>
      </c>
      <c r="L2914" s="42">
        <f>(39.64*(1-O3/100))/0.75</f>
        <v>52.853333333333332</v>
      </c>
      <c r="M2914" s="12"/>
      <c r="N2914" s="40">
        <f t="shared" si="134"/>
        <v>0</v>
      </c>
      <c r="O2914" s="43">
        <f>0.043*M2914</f>
        <v>0</v>
      </c>
      <c r="P2914" s="47">
        <f>0.00005*M2914</f>
        <v>0</v>
      </c>
      <c r="Q2914" s="44"/>
      <c r="R2914" s="45" t="s">
        <v>9147</v>
      </c>
      <c r="S2914" s="45" t="s">
        <v>93</v>
      </c>
      <c r="T2914" s="37" t="str">
        <f>HYPERLINK("https://kanzpp.ru/api/getInfo/image/7e176926-d757-11f0-a28c-00155d82e908")</f>
        <v>https://kanzpp.ru/api/getInfo/image/7e176926-d757-11f0-a28c-00155d82e908</v>
      </c>
      <c r="U2914" s="37"/>
    </row>
    <row r="2915" spans="2:22" ht="21" customHeight="1" outlineLevel="5" x14ac:dyDescent="0.2">
      <c r="B2915" s="71">
        <v>2172</v>
      </c>
      <c r="C2915" s="37" t="s">
        <v>9148</v>
      </c>
      <c r="D2915" s="37" t="s">
        <v>9149</v>
      </c>
      <c r="E2915" s="38" t="s">
        <v>9150</v>
      </c>
      <c r="F2915" s="39"/>
      <c r="G2915" s="40"/>
      <c r="H2915" s="40"/>
      <c r="I2915" s="41">
        <v>40</v>
      </c>
      <c r="J2915" s="41">
        <v>40</v>
      </c>
      <c r="K2915" s="36">
        <v>16</v>
      </c>
      <c r="L2915" s="42">
        <f>(39.64*(1-O3/100))/0.75</f>
        <v>52.853333333333332</v>
      </c>
      <c r="M2915" s="12"/>
      <c r="N2915" s="40">
        <f t="shared" si="134"/>
        <v>0</v>
      </c>
      <c r="O2915" s="43">
        <f>0.043*M2915</f>
        <v>0</v>
      </c>
      <c r="P2915" s="47">
        <f>0.00005*M2915</f>
        <v>0</v>
      </c>
      <c r="Q2915" s="44"/>
      <c r="R2915" s="45" t="s">
        <v>9151</v>
      </c>
      <c r="S2915" s="45" t="s">
        <v>93</v>
      </c>
      <c r="T2915" s="37" t="str">
        <f>HYPERLINK("https://kanzpp.ru/api/getInfo/image/cb45598a-f2b0-11f0-a28d-00155d82e908")</f>
        <v>https://kanzpp.ru/api/getInfo/image/cb45598a-f2b0-11f0-a28d-00155d82e908</v>
      </c>
      <c r="U2915" s="37"/>
    </row>
    <row r="2916" spans="2:22" ht="21" customHeight="1" outlineLevel="5" x14ac:dyDescent="0.2">
      <c r="B2916" s="71">
        <v>2173</v>
      </c>
      <c r="C2916" s="37" t="s">
        <v>9152</v>
      </c>
      <c r="D2916" s="37" t="s">
        <v>9153</v>
      </c>
      <c r="E2916" s="38" t="s">
        <v>9154</v>
      </c>
      <c r="F2916" s="39"/>
      <c r="G2916" s="40"/>
      <c r="H2916" s="40"/>
      <c r="I2916" s="41">
        <v>40</v>
      </c>
      <c r="J2916" s="41">
        <v>2</v>
      </c>
      <c r="K2916" s="36">
        <v>2</v>
      </c>
      <c r="L2916" s="42">
        <f>(39.64*(1-O3/100))/0.75</f>
        <v>52.853333333333332</v>
      </c>
      <c r="M2916" s="12"/>
      <c r="N2916" s="40">
        <f t="shared" si="134"/>
        <v>0</v>
      </c>
      <c r="O2916" s="43">
        <f>0.038*M2916</f>
        <v>0</v>
      </c>
      <c r="P2916" s="47">
        <f>0.00004*M2916</f>
        <v>0</v>
      </c>
      <c r="Q2916" s="44"/>
      <c r="R2916" s="45" t="s">
        <v>9155</v>
      </c>
      <c r="S2916" s="45" t="s">
        <v>93</v>
      </c>
      <c r="T2916" s="37" t="str">
        <f>HYPERLINK("https://kanzpp.ru/api/getInfo/image/786a5f30-4ff1-11f0-a27e-00155d82e908")</f>
        <v>https://kanzpp.ru/api/getInfo/image/786a5f30-4ff1-11f0-a27e-00155d82e908</v>
      </c>
      <c r="U2916" s="37"/>
    </row>
    <row r="2917" spans="2:22" ht="21" customHeight="1" outlineLevel="5" x14ac:dyDescent="0.2">
      <c r="B2917" s="71">
        <v>2174</v>
      </c>
      <c r="C2917" s="37" t="s">
        <v>9156</v>
      </c>
      <c r="D2917" s="37" t="s">
        <v>9157</v>
      </c>
      <c r="E2917" s="38" t="s">
        <v>9158</v>
      </c>
      <c r="F2917" s="39"/>
      <c r="G2917" s="40"/>
      <c r="H2917" s="40"/>
      <c r="I2917" s="41">
        <v>40</v>
      </c>
      <c r="J2917" s="41">
        <v>344</v>
      </c>
      <c r="K2917" s="36">
        <v>16</v>
      </c>
      <c r="L2917" s="42">
        <f>(39.64*(1-O3/100))/0.75</f>
        <v>52.853333333333332</v>
      </c>
      <c r="M2917" s="12"/>
      <c r="N2917" s="40">
        <f t="shared" si="134"/>
        <v>0</v>
      </c>
      <c r="O2917" s="43">
        <f>0.043*M2917</f>
        <v>0</v>
      </c>
      <c r="P2917" s="47">
        <f>0.00005*M2917</f>
        <v>0</v>
      </c>
      <c r="Q2917" s="44"/>
      <c r="R2917" s="45" t="s">
        <v>9159</v>
      </c>
      <c r="S2917" s="45" t="s">
        <v>93</v>
      </c>
      <c r="T2917" s="37" t="str">
        <f>HYPERLINK("https://kanzpp.ru/api/getInfo/image/473b69af-f2b0-11f0-a28d-00155d82e908")</f>
        <v>https://kanzpp.ru/api/getInfo/image/473b69af-f2b0-11f0-a28d-00155d82e908</v>
      </c>
      <c r="U2917" s="37"/>
    </row>
    <row r="2918" spans="2:22" ht="21" customHeight="1" outlineLevel="5" x14ac:dyDescent="0.2">
      <c r="B2918" s="71">
        <v>2175</v>
      </c>
      <c r="C2918" s="37" t="s">
        <v>9160</v>
      </c>
      <c r="D2918" s="37" t="s">
        <v>9161</v>
      </c>
      <c r="E2918" s="38" t="s">
        <v>9162</v>
      </c>
      <c r="F2918" s="39"/>
      <c r="G2918" s="40"/>
      <c r="H2918" s="40"/>
      <c r="I2918" s="41">
        <v>40</v>
      </c>
      <c r="J2918" s="41">
        <v>1</v>
      </c>
      <c r="K2918" s="36">
        <v>1</v>
      </c>
      <c r="L2918" s="42">
        <f>(39.64*(1-O3/100))/0.75</f>
        <v>52.853333333333332</v>
      </c>
      <c r="M2918" s="12"/>
      <c r="N2918" s="40">
        <f t="shared" si="134"/>
        <v>0</v>
      </c>
      <c r="O2918" s="43">
        <f>0.038*M2918</f>
        <v>0</v>
      </c>
      <c r="P2918" s="47">
        <f>0.00004*M2918</f>
        <v>0</v>
      </c>
      <c r="Q2918" s="44"/>
      <c r="R2918" s="45" t="s">
        <v>9163</v>
      </c>
      <c r="S2918" s="45" t="s">
        <v>93</v>
      </c>
      <c r="T2918" s="37" t="str">
        <f>HYPERLINK("https://kanzpp.ru/api/getInfo/image/a7a1a5d6-4ff6-11f0-a27e-00155d82e908")</f>
        <v>https://kanzpp.ru/api/getInfo/image/a7a1a5d6-4ff6-11f0-a27e-00155d82e908</v>
      </c>
      <c r="U2918" s="37"/>
    </row>
    <row r="2919" spans="2:22" ht="21" customHeight="1" outlineLevel="5" x14ac:dyDescent="0.2">
      <c r="B2919" s="71">
        <v>2176</v>
      </c>
      <c r="C2919" s="37" t="s">
        <v>9164</v>
      </c>
      <c r="D2919" s="37" t="s">
        <v>9165</v>
      </c>
      <c r="E2919" s="38" t="s">
        <v>9166</v>
      </c>
      <c r="F2919" s="39"/>
      <c r="G2919" s="40"/>
      <c r="H2919" s="40"/>
      <c r="I2919" s="41">
        <v>40</v>
      </c>
      <c r="J2919" s="41">
        <v>3</v>
      </c>
      <c r="K2919" s="36">
        <v>3</v>
      </c>
      <c r="L2919" s="42">
        <f>(39.64*(1-O3/100))/0.75</f>
        <v>52.853333333333332</v>
      </c>
      <c r="M2919" s="12"/>
      <c r="N2919" s="40">
        <f t="shared" si="134"/>
        <v>0</v>
      </c>
      <c r="O2919" s="43">
        <f>0.042*M2919</f>
        <v>0</v>
      </c>
      <c r="P2919" s="47">
        <f>0.00008*M2919</f>
        <v>0</v>
      </c>
      <c r="Q2919" s="44"/>
      <c r="R2919" s="45" t="s">
        <v>9167</v>
      </c>
      <c r="S2919" s="45" t="s">
        <v>93</v>
      </c>
      <c r="T2919" s="37" t="str">
        <f>HYPERLINK("https://kanzpp.ru/api/getInfo/image/3a8e1b5b-4ff4-11f0-a27e-00155d82e908")</f>
        <v>https://kanzpp.ru/api/getInfo/image/3a8e1b5b-4ff4-11f0-a27e-00155d82e908</v>
      </c>
      <c r="U2919" s="37"/>
    </row>
    <row r="2920" spans="2:22" ht="22.95" customHeight="1" outlineLevel="4" x14ac:dyDescent="0.2">
      <c r="B2920" s="82" t="s">
        <v>9168</v>
      </c>
      <c r="C2920" s="82"/>
      <c r="D2920" s="82"/>
      <c r="L2920">
        <v>0</v>
      </c>
    </row>
    <row r="2921" spans="2:22" ht="21" customHeight="1" outlineLevel="5" x14ac:dyDescent="0.2">
      <c r="B2921" s="69">
        <v>2177</v>
      </c>
      <c r="C2921" s="6" t="s">
        <v>9169</v>
      </c>
      <c r="D2921" s="6" t="s">
        <v>9170</v>
      </c>
      <c r="E2921" s="7" t="s">
        <v>9171</v>
      </c>
      <c r="F2921" s="13"/>
      <c r="G2921" s="14"/>
      <c r="H2921" s="15">
        <v>80</v>
      </c>
      <c r="I2921" s="15">
        <v>80</v>
      </c>
      <c r="J2921" s="15">
        <v>75</v>
      </c>
      <c r="K2921" s="5">
        <v>15</v>
      </c>
      <c r="L2921" s="16">
        <v>37.199999999999996</v>
      </c>
      <c r="M2921" s="12"/>
      <c r="N2921" s="14">
        <f t="shared" ref="N2921:N2944" si="135">L2921*M2921</f>
        <v>0</v>
      </c>
      <c r="O2921" s="23">
        <f>0.043*M2921</f>
        <v>0</v>
      </c>
      <c r="P2921" s="24">
        <f>0.00006*M2921</f>
        <v>0</v>
      </c>
      <c r="Q2921" s="25"/>
      <c r="R2921" s="26" t="s">
        <v>9172</v>
      </c>
      <c r="S2921" s="26" t="s">
        <v>93</v>
      </c>
      <c r="T2921" s="6" t="str">
        <f>HYPERLINK("https://kanzpp.ru/api/getInfo/image/72a8f158-49b4-11e7-977d-5cf3fc4a2490")</f>
        <v>https://kanzpp.ru/api/getInfo/image/72a8f158-49b4-11e7-977d-5cf3fc4a2490</v>
      </c>
      <c r="U2921" s="6"/>
      <c r="V2921" s="33" t="s">
        <v>35</v>
      </c>
    </row>
    <row r="2922" spans="2:22" ht="21" customHeight="1" outlineLevel="5" x14ac:dyDescent="0.2">
      <c r="B2922" s="69">
        <v>2178</v>
      </c>
      <c r="C2922" s="6" t="s">
        <v>9173</v>
      </c>
      <c r="D2922" s="6" t="s">
        <v>9174</v>
      </c>
      <c r="E2922" s="7" t="s">
        <v>9175</v>
      </c>
      <c r="F2922" s="13"/>
      <c r="G2922" s="14"/>
      <c r="H2922" s="14"/>
      <c r="I2922" s="15">
        <v>80</v>
      </c>
      <c r="J2922" s="15">
        <v>975</v>
      </c>
      <c r="K2922" s="5">
        <v>15</v>
      </c>
      <c r="L2922" s="16">
        <v>37.199999999999996</v>
      </c>
      <c r="M2922" s="12"/>
      <c r="N2922" s="14">
        <f t="shared" si="135"/>
        <v>0</v>
      </c>
      <c r="O2922" s="23">
        <f>0.047*M2922</f>
        <v>0</v>
      </c>
      <c r="P2922" s="24">
        <f>0.00007*M2922</f>
        <v>0</v>
      </c>
      <c r="Q2922" s="25"/>
      <c r="R2922" s="26" t="s">
        <v>9176</v>
      </c>
      <c r="S2922" s="26" t="s">
        <v>93</v>
      </c>
      <c r="T2922" s="6" t="str">
        <f>HYPERLINK("https://kanzpp.ru/api/getInfo/image/f9e9cc39-1f1b-11ef-a25f-00155d82e908")</f>
        <v>https://kanzpp.ru/api/getInfo/image/f9e9cc39-1f1b-11ef-a25f-00155d82e908</v>
      </c>
      <c r="U2922" s="6"/>
      <c r="V2922" s="33" t="s">
        <v>35</v>
      </c>
    </row>
    <row r="2923" spans="2:22" ht="21" customHeight="1" outlineLevel="5" x14ac:dyDescent="0.2">
      <c r="B2923" s="71">
        <v>2179</v>
      </c>
      <c r="C2923" s="37" t="s">
        <v>9177</v>
      </c>
      <c r="D2923" s="37" t="s">
        <v>9178</v>
      </c>
      <c r="E2923" s="38" t="s">
        <v>9179</v>
      </c>
      <c r="F2923" s="39"/>
      <c r="G2923" s="40"/>
      <c r="H2923" s="40"/>
      <c r="I2923" s="41">
        <v>40</v>
      </c>
      <c r="J2923" s="41">
        <v>313</v>
      </c>
      <c r="K2923" s="36">
        <v>15</v>
      </c>
      <c r="L2923" s="42">
        <f>(42.34*(1-O3/100))/0.75</f>
        <v>56.45333333333334</v>
      </c>
      <c r="M2923" s="12"/>
      <c r="N2923" s="40">
        <f t="shared" si="135"/>
        <v>0</v>
      </c>
      <c r="O2923" s="43">
        <f>0.043*M2923</f>
        <v>0</v>
      </c>
      <c r="P2923" s="47">
        <f>0.00005*M2923</f>
        <v>0</v>
      </c>
      <c r="Q2923" s="44"/>
      <c r="R2923" s="45" t="s">
        <v>9180</v>
      </c>
      <c r="S2923" s="45" t="s">
        <v>93</v>
      </c>
      <c r="T2923" s="37" t="str">
        <f>HYPERLINK("https://kanzpp.ru/api/getInfo/image/2cdb5a64-f2b2-11f0-a28d-00155d82e908")</f>
        <v>https://kanzpp.ru/api/getInfo/image/2cdb5a64-f2b2-11f0-a28d-00155d82e908</v>
      </c>
      <c r="U2923" s="37"/>
    </row>
    <row r="2924" spans="2:22" ht="21" customHeight="1" outlineLevel="5" x14ac:dyDescent="0.2">
      <c r="B2924" s="69">
        <v>2180</v>
      </c>
      <c r="C2924" s="6" t="s">
        <v>9181</v>
      </c>
      <c r="D2924" s="6" t="s">
        <v>9182</v>
      </c>
      <c r="E2924" s="7" t="s">
        <v>9183</v>
      </c>
      <c r="F2924" s="13"/>
      <c r="G2924" s="14"/>
      <c r="H2924" s="14"/>
      <c r="I2924" s="15">
        <v>40</v>
      </c>
      <c r="J2924" s="15">
        <v>370</v>
      </c>
      <c r="K2924" s="5">
        <v>15</v>
      </c>
      <c r="L2924" s="16">
        <v>36</v>
      </c>
      <c r="M2924" s="12"/>
      <c r="N2924" s="14">
        <f t="shared" si="135"/>
        <v>0</v>
      </c>
      <c r="O2924" s="23">
        <f>0.048*M2924</f>
        <v>0</v>
      </c>
      <c r="P2924" s="24">
        <f>0.00006*M2924</f>
        <v>0</v>
      </c>
      <c r="Q2924" s="25"/>
      <c r="R2924" s="26" t="s">
        <v>9184</v>
      </c>
      <c r="S2924" s="26" t="s">
        <v>93</v>
      </c>
      <c r="T2924" s="6" t="str">
        <f>HYPERLINK("https://kanzpp.ru/api/getInfo/image/7219333c-4ffc-11f0-a27e-00155d82e908")</f>
        <v>https://kanzpp.ru/api/getInfo/image/7219333c-4ffc-11f0-a27e-00155d82e908</v>
      </c>
      <c r="U2924" s="6"/>
      <c r="V2924" s="33" t="s">
        <v>35</v>
      </c>
    </row>
    <row r="2925" spans="2:22" ht="21" customHeight="1" outlineLevel="5" x14ac:dyDescent="0.2">
      <c r="B2925" s="69">
        <v>2181</v>
      </c>
      <c r="C2925" s="6" t="s">
        <v>9185</v>
      </c>
      <c r="D2925" s="6" t="s">
        <v>9186</v>
      </c>
      <c r="E2925" s="7" t="s">
        <v>9187</v>
      </c>
      <c r="F2925" s="13"/>
      <c r="G2925" s="14"/>
      <c r="H2925" s="14"/>
      <c r="I2925" s="15">
        <v>80</v>
      </c>
      <c r="J2925" s="15">
        <v>850</v>
      </c>
      <c r="K2925" s="5">
        <v>15</v>
      </c>
      <c r="L2925" s="16">
        <v>37.199999999999996</v>
      </c>
      <c r="M2925" s="12"/>
      <c r="N2925" s="14">
        <f t="shared" si="135"/>
        <v>0</v>
      </c>
      <c r="O2925" s="23">
        <f>0.043*M2925</f>
        <v>0</v>
      </c>
      <c r="P2925" s="24">
        <f>0.00006*M2925</f>
        <v>0</v>
      </c>
      <c r="Q2925" s="25"/>
      <c r="R2925" s="26" t="s">
        <v>9188</v>
      </c>
      <c r="S2925" s="26" t="s">
        <v>93</v>
      </c>
      <c r="T2925" s="6" t="str">
        <f>HYPERLINK("https://kanzpp.ru/api/getInfo/image/1fa85ca5-a067-11ec-a211-ac1f6b442185")</f>
        <v>https://kanzpp.ru/api/getInfo/image/1fa85ca5-a067-11ec-a211-ac1f6b442185</v>
      </c>
      <c r="U2925" s="6"/>
      <c r="V2925" s="33" t="s">
        <v>35</v>
      </c>
    </row>
    <row r="2926" spans="2:22" ht="21" customHeight="1" outlineLevel="5" x14ac:dyDescent="0.2">
      <c r="B2926" s="69">
        <v>2182</v>
      </c>
      <c r="C2926" s="6" t="s">
        <v>9189</v>
      </c>
      <c r="D2926" s="6" t="s">
        <v>9190</v>
      </c>
      <c r="E2926" s="7" t="s">
        <v>9191</v>
      </c>
      <c r="F2926" s="13"/>
      <c r="G2926" s="14"/>
      <c r="H2926" s="14"/>
      <c r="I2926" s="15">
        <v>80</v>
      </c>
      <c r="J2926" s="17">
        <v>1455</v>
      </c>
      <c r="K2926" s="5">
        <v>15</v>
      </c>
      <c r="L2926" s="16">
        <v>37.199999999999996</v>
      </c>
      <c r="M2926" s="12"/>
      <c r="N2926" s="14">
        <f t="shared" si="135"/>
        <v>0</v>
      </c>
      <c r="O2926" s="23">
        <f>0.043*M2926</f>
        <v>0</v>
      </c>
      <c r="P2926" s="24">
        <f>0.00006*M2926</f>
        <v>0</v>
      </c>
      <c r="Q2926" s="25"/>
      <c r="R2926" s="26" t="s">
        <v>9192</v>
      </c>
      <c r="S2926" s="26" t="s">
        <v>93</v>
      </c>
      <c r="T2926" s="6" t="str">
        <f>HYPERLINK("https://kanzpp.ru/api/getInfo/image/83a231b4-a068-11ec-a211-ac1f6b442185")</f>
        <v>https://kanzpp.ru/api/getInfo/image/83a231b4-a068-11ec-a211-ac1f6b442185</v>
      </c>
      <c r="U2926" s="6"/>
      <c r="V2926" s="33" t="s">
        <v>35</v>
      </c>
    </row>
    <row r="2927" spans="2:22" ht="21" customHeight="1" outlineLevel="5" x14ac:dyDescent="0.2">
      <c r="B2927" s="71">
        <v>2183</v>
      </c>
      <c r="C2927" s="37" t="s">
        <v>9193</v>
      </c>
      <c r="D2927" s="37" t="s">
        <v>9194</v>
      </c>
      <c r="E2927" s="38" t="s">
        <v>9195</v>
      </c>
      <c r="F2927" s="39"/>
      <c r="G2927" s="40"/>
      <c r="H2927" s="40"/>
      <c r="I2927" s="41">
        <v>40</v>
      </c>
      <c r="J2927" s="41">
        <v>380</v>
      </c>
      <c r="K2927" s="36">
        <v>15</v>
      </c>
      <c r="L2927" s="42">
        <f>(42.34*(1-O3/100))/0.75</f>
        <v>56.45333333333334</v>
      </c>
      <c r="M2927" s="12"/>
      <c r="N2927" s="40">
        <f t="shared" si="135"/>
        <v>0</v>
      </c>
      <c r="O2927" s="43">
        <f>0.048*M2927</f>
        <v>0</v>
      </c>
      <c r="P2927" s="47">
        <f>0.00007*M2927</f>
        <v>0</v>
      </c>
      <c r="Q2927" s="44"/>
      <c r="R2927" s="45" t="s">
        <v>9196</v>
      </c>
      <c r="S2927" s="45" t="s">
        <v>93</v>
      </c>
      <c r="T2927" s="37" t="str">
        <f>HYPERLINK("https://kanzpp.ru/api/getInfo/image/6bebece5-bb03-11f0-a288-00155d82e908")</f>
        <v>https://kanzpp.ru/api/getInfo/image/6bebece5-bb03-11f0-a288-00155d82e908</v>
      </c>
      <c r="U2927" s="37"/>
    </row>
    <row r="2928" spans="2:22" ht="21" customHeight="1" outlineLevel="5" x14ac:dyDescent="0.2">
      <c r="B2928" s="71">
        <v>2184</v>
      </c>
      <c r="C2928" s="37" t="s">
        <v>9197</v>
      </c>
      <c r="D2928" s="37" t="s">
        <v>9198</v>
      </c>
      <c r="E2928" s="38" t="s">
        <v>9199</v>
      </c>
      <c r="F2928" s="39"/>
      <c r="G2928" s="40"/>
      <c r="H2928" s="40"/>
      <c r="I2928" s="41">
        <v>40</v>
      </c>
      <c r="J2928" s="41">
        <v>545</v>
      </c>
      <c r="K2928" s="36">
        <v>15</v>
      </c>
      <c r="L2928" s="42">
        <f>(42.34*(1-O3/100))/0.75</f>
        <v>56.45333333333334</v>
      </c>
      <c r="M2928" s="12"/>
      <c r="N2928" s="40">
        <f t="shared" si="135"/>
        <v>0</v>
      </c>
      <c r="O2928" s="43">
        <f>0.048*M2928</f>
        <v>0</v>
      </c>
      <c r="P2928" s="47">
        <f>0.00006*M2928</f>
        <v>0</v>
      </c>
      <c r="Q2928" s="44"/>
      <c r="R2928" s="45" t="s">
        <v>9200</v>
      </c>
      <c r="S2928" s="45" t="s">
        <v>93</v>
      </c>
      <c r="T2928" s="37" t="str">
        <f>HYPERLINK("https://kanzpp.ru/api/getInfo/image/4cf3f00f-4ffe-11f0-a27e-00155d82e908")</f>
        <v>https://kanzpp.ru/api/getInfo/image/4cf3f00f-4ffe-11f0-a27e-00155d82e908</v>
      </c>
      <c r="U2928" s="37"/>
    </row>
    <row r="2929" spans="2:22" ht="21" customHeight="1" outlineLevel="5" x14ac:dyDescent="0.2">
      <c r="B2929" s="71">
        <v>2185</v>
      </c>
      <c r="C2929" s="37" t="s">
        <v>9201</v>
      </c>
      <c r="D2929" s="37" t="s">
        <v>9202</v>
      </c>
      <c r="E2929" s="38" t="s">
        <v>9203</v>
      </c>
      <c r="F2929" s="39"/>
      <c r="G2929" s="40"/>
      <c r="H2929" s="40"/>
      <c r="I2929" s="41">
        <v>40</v>
      </c>
      <c r="J2929" s="50">
        <v>1417</v>
      </c>
      <c r="K2929" s="36">
        <v>15</v>
      </c>
      <c r="L2929" s="42">
        <f>(42.34*(1-O3/100))/0.75</f>
        <v>56.45333333333334</v>
      </c>
      <c r="M2929" s="12"/>
      <c r="N2929" s="40">
        <f t="shared" si="135"/>
        <v>0</v>
      </c>
      <c r="O2929" s="43">
        <f>0.043*M2929</f>
        <v>0</v>
      </c>
      <c r="P2929" s="47">
        <f>0.00005*M2929</f>
        <v>0</v>
      </c>
      <c r="Q2929" s="44"/>
      <c r="R2929" s="45" t="s">
        <v>9204</v>
      </c>
      <c r="S2929" s="45" t="s">
        <v>93</v>
      </c>
      <c r="T2929" s="37" t="str">
        <f>HYPERLINK("https://kanzpp.ru/api/getInfo/image/b3634470-f2b1-11f0-a28d-00155d82e908")</f>
        <v>https://kanzpp.ru/api/getInfo/image/b3634470-f2b1-11f0-a28d-00155d82e908</v>
      </c>
      <c r="U2929" s="37"/>
    </row>
    <row r="2930" spans="2:22" ht="21" customHeight="1" outlineLevel="5" x14ac:dyDescent="0.2">
      <c r="B2930" s="71">
        <v>2186</v>
      </c>
      <c r="C2930" s="37" t="s">
        <v>9205</v>
      </c>
      <c r="D2930" s="37" t="s">
        <v>9206</v>
      </c>
      <c r="E2930" s="38" t="s">
        <v>9207</v>
      </c>
      <c r="F2930" s="39"/>
      <c r="G2930" s="40"/>
      <c r="H2930" s="40"/>
      <c r="I2930" s="41">
        <v>40</v>
      </c>
      <c r="J2930" s="41">
        <v>475</v>
      </c>
      <c r="K2930" s="36">
        <v>15</v>
      </c>
      <c r="L2930" s="42">
        <f>(42.34*(1-O3/100))/0.75</f>
        <v>56.45333333333334</v>
      </c>
      <c r="M2930" s="12"/>
      <c r="N2930" s="40">
        <f t="shared" si="135"/>
        <v>0</v>
      </c>
      <c r="O2930" s="43">
        <f>0.048*M2930</f>
        <v>0</v>
      </c>
      <c r="P2930" s="47">
        <f>0.00008*M2930</f>
        <v>0</v>
      </c>
      <c r="Q2930" s="44"/>
      <c r="R2930" s="45" t="s">
        <v>9208</v>
      </c>
      <c r="S2930" s="45" t="s">
        <v>93</v>
      </c>
      <c r="T2930" s="37" t="str">
        <f>HYPERLINK("https://kanzpp.ru/api/getInfo/image/16723a9a-4ffd-11f0-a27e-00155d82e908")</f>
        <v>https://kanzpp.ru/api/getInfo/image/16723a9a-4ffd-11f0-a27e-00155d82e908</v>
      </c>
      <c r="U2930" s="37"/>
    </row>
    <row r="2931" spans="2:22" ht="21" customHeight="1" outlineLevel="5" x14ac:dyDescent="0.2">
      <c r="B2931" s="71">
        <v>2187</v>
      </c>
      <c r="C2931" s="37" t="s">
        <v>9209</v>
      </c>
      <c r="D2931" s="37" t="s">
        <v>9210</v>
      </c>
      <c r="E2931" s="38" t="s">
        <v>9211</v>
      </c>
      <c r="F2931" s="39"/>
      <c r="G2931" s="40"/>
      <c r="H2931" s="40"/>
      <c r="I2931" s="41">
        <v>40</v>
      </c>
      <c r="J2931" s="41">
        <v>230</v>
      </c>
      <c r="K2931" s="36">
        <v>15</v>
      </c>
      <c r="L2931" s="42">
        <f>(42.34*(1-O3/100))/0.75</f>
        <v>56.45333333333334</v>
      </c>
      <c r="M2931" s="12"/>
      <c r="N2931" s="40">
        <f t="shared" si="135"/>
        <v>0</v>
      </c>
      <c r="O2931" s="43">
        <f>0.041*M2931</f>
        <v>0</v>
      </c>
      <c r="P2931" s="47">
        <f>0.00006*M2931</f>
        <v>0</v>
      </c>
      <c r="Q2931" s="44"/>
      <c r="R2931" s="45" t="s">
        <v>9212</v>
      </c>
      <c r="S2931" s="45" t="s">
        <v>93</v>
      </c>
      <c r="T2931" s="37" t="str">
        <f>HYPERLINK("https://kanzpp.ru/api/getInfo/image/17f0c091-bb03-11f0-a288-00155d82e908")</f>
        <v>https://kanzpp.ru/api/getInfo/image/17f0c091-bb03-11f0-a288-00155d82e908</v>
      </c>
      <c r="U2931" s="37"/>
    </row>
    <row r="2932" spans="2:22" ht="21" customHeight="1" outlineLevel="5" x14ac:dyDescent="0.2">
      <c r="B2932" s="69">
        <v>2188</v>
      </c>
      <c r="C2932" s="6" t="s">
        <v>9213</v>
      </c>
      <c r="D2932" s="6" t="s">
        <v>9214</v>
      </c>
      <c r="E2932" s="7" t="s">
        <v>9215</v>
      </c>
      <c r="F2932" s="13"/>
      <c r="G2932" s="14"/>
      <c r="H2932" s="14"/>
      <c r="I2932" s="15">
        <v>40</v>
      </c>
      <c r="J2932" s="15">
        <v>647</v>
      </c>
      <c r="K2932" s="5">
        <v>15</v>
      </c>
      <c r="L2932" s="16">
        <v>39.866666666666667</v>
      </c>
      <c r="M2932" s="12"/>
      <c r="N2932" s="14">
        <f t="shared" si="135"/>
        <v>0</v>
      </c>
      <c r="O2932" s="23">
        <f>0.042*M2932</f>
        <v>0</v>
      </c>
      <c r="P2932" s="24">
        <f>0.00006*M2932</f>
        <v>0</v>
      </c>
      <c r="Q2932" s="25"/>
      <c r="R2932" s="26" t="s">
        <v>9216</v>
      </c>
      <c r="S2932" s="26" t="s">
        <v>93</v>
      </c>
      <c r="T2932" s="6" t="str">
        <f>HYPERLINK("https://kanzpp.ru/api/getInfo/image/f5c3ab11-bb02-11f0-a288-00155d82e908")</f>
        <v>https://kanzpp.ru/api/getInfo/image/f5c3ab11-bb02-11f0-a288-00155d82e908</v>
      </c>
      <c r="U2932" s="6"/>
      <c r="V2932" s="33" t="s">
        <v>35</v>
      </c>
    </row>
    <row r="2933" spans="2:22" ht="21" customHeight="1" outlineLevel="5" x14ac:dyDescent="0.2">
      <c r="B2933" s="71">
        <v>2189</v>
      </c>
      <c r="C2933" s="37" t="s">
        <v>9217</v>
      </c>
      <c r="D2933" s="37" t="s">
        <v>9218</v>
      </c>
      <c r="E2933" s="38" t="s">
        <v>9219</v>
      </c>
      <c r="F2933" s="39"/>
      <c r="G2933" s="40"/>
      <c r="H2933" s="40"/>
      <c r="I2933" s="41">
        <v>40</v>
      </c>
      <c r="J2933" s="41">
        <v>2</v>
      </c>
      <c r="K2933" s="36">
        <v>2</v>
      </c>
      <c r="L2933" s="42">
        <f>(42.34*(1-O3/100))/0.75</f>
        <v>56.45333333333334</v>
      </c>
      <c r="M2933" s="12"/>
      <c r="N2933" s="40">
        <f t="shared" si="135"/>
        <v>0</v>
      </c>
      <c r="O2933" s="43">
        <f>0.047*M2933</f>
        <v>0</v>
      </c>
      <c r="P2933" s="47">
        <f>0.00007*M2933</f>
        <v>0</v>
      </c>
      <c r="Q2933" s="44"/>
      <c r="R2933" s="45" t="s">
        <v>9220</v>
      </c>
      <c r="S2933" s="45" t="s">
        <v>93</v>
      </c>
      <c r="T2933" s="37" t="str">
        <f>HYPERLINK("https://kanzpp.ru/api/getInfo/image/1c309317-1f1d-11ef-a25f-00155d82e908")</f>
        <v>https://kanzpp.ru/api/getInfo/image/1c309317-1f1d-11ef-a25f-00155d82e908</v>
      </c>
      <c r="U2933" s="37"/>
    </row>
    <row r="2934" spans="2:22" ht="21" customHeight="1" outlineLevel="5" x14ac:dyDescent="0.2">
      <c r="B2934" s="71">
        <v>2190</v>
      </c>
      <c r="C2934" s="37" t="s">
        <v>9221</v>
      </c>
      <c r="D2934" s="37" t="s">
        <v>9222</v>
      </c>
      <c r="E2934" s="38" t="s">
        <v>9223</v>
      </c>
      <c r="F2934" s="39"/>
      <c r="G2934" s="40"/>
      <c r="H2934" s="40"/>
      <c r="I2934" s="41">
        <v>40</v>
      </c>
      <c r="J2934" s="41">
        <v>58</v>
      </c>
      <c r="K2934" s="36">
        <v>15</v>
      </c>
      <c r="L2934" s="42">
        <f>(42.34*(1-O3/100))/0.75</f>
        <v>56.45333333333334</v>
      </c>
      <c r="M2934" s="12"/>
      <c r="N2934" s="40">
        <f t="shared" si="135"/>
        <v>0</v>
      </c>
      <c r="O2934" s="43">
        <f>0.048*M2934</f>
        <v>0</v>
      </c>
      <c r="P2934" s="47">
        <f>0.00008*M2934</f>
        <v>0</v>
      </c>
      <c r="Q2934" s="44"/>
      <c r="R2934" s="45" t="s">
        <v>9224</v>
      </c>
      <c r="S2934" s="45" t="s">
        <v>93</v>
      </c>
      <c r="T2934" s="37" t="str">
        <f>HYPERLINK("https://kanzpp.ru/api/getInfo/image/c398a805-bb02-11f0-a288-00155d82e908")</f>
        <v>https://kanzpp.ru/api/getInfo/image/c398a805-bb02-11f0-a288-00155d82e908</v>
      </c>
      <c r="U2934" s="37"/>
    </row>
    <row r="2935" spans="2:22" ht="21" customHeight="1" outlineLevel="5" x14ac:dyDescent="0.2">
      <c r="B2935" s="71">
        <v>2191</v>
      </c>
      <c r="C2935" s="37" t="s">
        <v>9225</v>
      </c>
      <c r="D2935" s="37" t="s">
        <v>9226</v>
      </c>
      <c r="E2935" s="38" t="s">
        <v>9227</v>
      </c>
      <c r="F2935" s="39"/>
      <c r="G2935" s="40"/>
      <c r="H2935" s="40"/>
      <c r="I2935" s="41">
        <v>40</v>
      </c>
      <c r="J2935" s="50">
        <v>2379</v>
      </c>
      <c r="K2935" s="36">
        <v>15</v>
      </c>
      <c r="L2935" s="42">
        <f>(42.34*(1-O3/100))/0.75</f>
        <v>56.45333333333334</v>
      </c>
      <c r="M2935" s="12"/>
      <c r="N2935" s="40">
        <f t="shared" si="135"/>
        <v>0</v>
      </c>
      <c r="O2935" s="43">
        <f>0.048*M2935</f>
        <v>0</v>
      </c>
      <c r="P2935" s="46">
        <f>0.0001*M2935</f>
        <v>0</v>
      </c>
      <c r="Q2935" s="44"/>
      <c r="R2935" s="45" t="s">
        <v>9228</v>
      </c>
      <c r="S2935" s="45" t="s">
        <v>93</v>
      </c>
      <c r="T2935" s="37" t="str">
        <f>HYPERLINK("https://kanzpp.ru/api/getInfo/image/9671b2a5-bb03-11f0-a288-00155d82e908")</f>
        <v>https://kanzpp.ru/api/getInfo/image/9671b2a5-bb03-11f0-a288-00155d82e908</v>
      </c>
      <c r="U2935" s="37"/>
    </row>
    <row r="2936" spans="2:22" ht="21" customHeight="1" outlineLevel="5" x14ac:dyDescent="0.2">
      <c r="B2936" s="69">
        <v>2192</v>
      </c>
      <c r="C2936" s="6" t="s">
        <v>9229</v>
      </c>
      <c r="D2936" s="6" t="s">
        <v>9230</v>
      </c>
      <c r="E2936" s="7" t="s">
        <v>9231</v>
      </c>
      <c r="F2936" s="13"/>
      <c r="G2936" s="14"/>
      <c r="H2936" s="15">
        <v>80</v>
      </c>
      <c r="I2936" s="15">
        <v>80</v>
      </c>
      <c r="J2936" s="15">
        <v>215</v>
      </c>
      <c r="K2936" s="5">
        <v>15</v>
      </c>
      <c r="L2936" s="16">
        <v>37.199999999999996</v>
      </c>
      <c r="M2936" s="12"/>
      <c r="N2936" s="14">
        <f t="shared" si="135"/>
        <v>0</v>
      </c>
      <c r="O2936" s="23">
        <f>0.043*M2936</f>
        <v>0</v>
      </c>
      <c r="P2936" s="24">
        <f>0.00006*M2936</f>
        <v>0</v>
      </c>
      <c r="Q2936" s="25"/>
      <c r="R2936" s="26" t="s">
        <v>9232</v>
      </c>
      <c r="S2936" s="26" t="s">
        <v>93</v>
      </c>
      <c r="T2936" s="6" t="str">
        <f>HYPERLINK("https://kanzpp.ru/api/getInfo/image/d7a35b4e-77ac-11e9-a226-ac1f6b442184")</f>
        <v>https://kanzpp.ru/api/getInfo/image/d7a35b4e-77ac-11e9-a226-ac1f6b442184</v>
      </c>
      <c r="U2936" s="6"/>
      <c r="V2936" s="33" t="s">
        <v>35</v>
      </c>
    </row>
    <row r="2937" spans="2:22" ht="21" customHeight="1" outlineLevel="5" x14ac:dyDescent="0.2">
      <c r="B2937" s="71">
        <v>2193</v>
      </c>
      <c r="C2937" s="37" t="s">
        <v>9233</v>
      </c>
      <c r="D2937" s="37" t="s">
        <v>9234</v>
      </c>
      <c r="E2937" s="38" t="s">
        <v>9235</v>
      </c>
      <c r="F2937" s="39"/>
      <c r="G2937" s="40"/>
      <c r="H2937" s="40"/>
      <c r="I2937" s="41">
        <v>40</v>
      </c>
      <c r="J2937" s="50">
        <v>1612</v>
      </c>
      <c r="K2937" s="36">
        <v>15</v>
      </c>
      <c r="L2937" s="42">
        <f>(42.34*(1-O3/100))/0.75</f>
        <v>56.45333333333334</v>
      </c>
      <c r="M2937" s="12"/>
      <c r="N2937" s="40">
        <f t="shared" si="135"/>
        <v>0</v>
      </c>
      <c r="O2937" s="48">
        <f>0.05*M2937</f>
        <v>0</v>
      </c>
      <c r="P2937" s="47">
        <f>0.00006*M2937</f>
        <v>0</v>
      </c>
      <c r="Q2937" s="44"/>
      <c r="R2937" s="45" t="s">
        <v>9236</v>
      </c>
      <c r="S2937" s="45" t="s">
        <v>93</v>
      </c>
      <c r="T2937" s="37" t="str">
        <f>HYPERLINK("https://kanzpp.ru/api/getInfo/image/8748f810-4fff-11f0-a27e-00155d82e908")</f>
        <v>https://kanzpp.ru/api/getInfo/image/8748f810-4fff-11f0-a27e-00155d82e908</v>
      </c>
      <c r="U2937" s="37"/>
    </row>
    <row r="2938" spans="2:22" ht="21" customHeight="1" outlineLevel="5" x14ac:dyDescent="0.2">
      <c r="B2938" s="71">
        <v>2194</v>
      </c>
      <c r="C2938" s="37" t="s">
        <v>9237</v>
      </c>
      <c r="D2938" s="37" t="s">
        <v>9238</v>
      </c>
      <c r="E2938" s="38" t="s">
        <v>9239</v>
      </c>
      <c r="F2938" s="39"/>
      <c r="G2938" s="40"/>
      <c r="H2938" s="40"/>
      <c r="I2938" s="41">
        <v>40</v>
      </c>
      <c r="J2938" s="50">
        <v>1644</v>
      </c>
      <c r="K2938" s="36">
        <v>15</v>
      </c>
      <c r="L2938" s="42">
        <f>(42.34*(1-O3/100))/0.75</f>
        <v>56.45333333333334</v>
      </c>
      <c r="M2938" s="12"/>
      <c r="N2938" s="40">
        <f t="shared" si="135"/>
        <v>0</v>
      </c>
      <c r="O2938" s="43">
        <f>0.043*M2938</f>
        <v>0</v>
      </c>
      <c r="P2938" s="47">
        <f>0.00005*M2938</f>
        <v>0</v>
      </c>
      <c r="Q2938" s="44"/>
      <c r="R2938" s="45" t="s">
        <v>9240</v>
      </c>
      <c r="S2938" s="45" t="s">
        <v>93</v>
      </c>
      <c r="T2938" s="37" t="str">
        <f>HYPERLINK("https://kanzpp.ru/api/getInfo/image/f62e874d-f2b1-11f0-a28d-00155d82e908")</f>
        <v>https://kanzpp.ru/api/getInfo/image/f62e874d-f2b1-11f0-a28d-00155d82e908</v>
      </c>
      <c r="U2938" s="37"/>
    </row>
    <row r="2939" spans="2:22" ht="21" customHeight="1" outlineLevel="5" x14ac:dyDescent="0.2">
      <c r="B2939" s="71">
        <v>2195</v>
      </c>
      <c r="C2939" s="37" t="s">
        <v>9241</v>
      </c>
      <c r="D2939" s="37" t="s">
        <v>9242</v>
      </c>
      <c r="E2939" s="38" t="s">
        <v>9243</v>
      </c>
      <c r="F2939" s="39"/>
      <c r="G2939" s="40"/>
      <c r="H2939" s="40"/>
      <c r="I2939" s="41">
        <v>40</v>
      </c>
      <c r="J2939" s="41">
        <v>4</v>
      </c>
      <c r="K2939" s="36">
        <v>4</v>
      </c>
      <c r="L2939" s="42">
        <f>(42.34*(1-O3/100))/0.75</f>
        <v>56.45333333333334</v>
      </c>
      <c r="M2939" s="12"/>
      <c r="N2939" s="40">
        <f t="shared" si="135"/>
        <v>0</v>
      </c>
      <c r="O2939" s="43">
        <f>0.047*M2939</f>
        <v>0</v>
      </c>
      <c r="P2939" s="47">
        <f>0.00008*M2939</f>
        <v>0</v>
      </c>
      <c r="Q2939" s="44"/>
      <c r="R2939" s="45" t="s">
        <v>9244</v>
      </c>
      <c r="S2939" s="45" t="s">
        <v>93</v>
      </c>
      <c r="T2939" s="37" t="str">
        <f>HYPERLINK("https://kanzpp.ru/api/getInfo/image/411bda55-bb03-11f0-a288-00155d82e908")</f>
        <v>https://kanzpp.ru/api/getInfo/image/411bda55-bb03-11f0-a288-00155d82e908</v>
      </c>
      <c r="U2939" s="37"/>
    </row>
    <row r="2940" spans="2:22" ht="21" customHeight="1" outlineLevel="5" x14ac:dyDescent="0.2">
      <c r="B2940" s="71">
        <v>2196</v>
      </c>
      <c r="C2940" s="37" t="s">
        <v>9245</v>
      </c>
      <c r="D2940" s="37" t="s">
        <v>9246</v>
      </c>
      <c r="E2940" s="38" t="s">
        <v>9247</v>
      </c>
      <c r="F2940" s="39"/>
      <c r="G2940" s="40"/>
      <c r="H2940" s="40"/>
      <c r="I2940" s="41">
        <v>40</v>
      </c>
      <c r="J2940" s="41">
        <v>670</v>
      </c>
      <c r="K2940" s="36">
        <v>15</v>
      </c>
      <c r="L2940" s="42">
        <f>(42.34*(1-O3/100))/0.75</f>
        <v>56.45333333333334</v>
      </c>
      <c r="M2940" s="12"/>
      <c r="N2940" s="40">
        <f t="shared" si="135"/>
        <v>0</v>
      </c>
      <c r="O2940" s="43">
        <f>0.047*M2940</f>
        <v>0</v>
      </c>
      <c r="P2940" s="47">
        <f>0.00007*M2940</f>
        <v>0</v>
      </c>
      <c r="Q2940" s="44"/>
      <c r="R2940" s="45" t="s">
        <v>9248</v>
      </c>
      <c r="S2940" s="45" t="s">
        <v>93</v>
      </c>
      <c r="T2940" s="37" t="str">
        <f>HYPERLINK("https://kanzpp.ru/api/getInfo/image/98bb93a6-1f1c-11ef-a25f-00155d82e908")</f>
        <v>https://kanzpp.ru/api/getInfo/image/98bb93a6-1f1c-11ef-a25f-00155d82e908</v>
      </c>
      <c r="U2940" s="37"/>
    </row>
    <row r="2941" spans="2:22" ht="21" customHeight="1" outlineLevel="5" x14ac:dyDescent="0.2">
      <c r="B2941" s="71">
        <v>2197</v>
      </c>
      <c r="C2941" s="37" t="s">
        <v>9249</v>
      </c>
      <c r="D2941" s="37" t="s">
        <v>9250</v>
      </c>
      <c r="E2941" s="38" t="s">
        <v>9251</v>
      </c>
      <c r="F2941" s="39"/>
      <c r="G2941" s="40"/>
      <c r="H2941" s="40"/>
      <c r="I2941" s="41">
        <v>40</v>
      </c>
      <c r="J2941" s="41">
        <v>300</v>
      </c>
      <c r="K2941" s="36">
        <v>15</v>
      </c>
      <c r="L2941" s="42">
        <f>(42.34*(1-O3/100))/0.75</f>
        <v>56.45333333333334</v>
      </c>
      <c r="M2941" s="12"/>
      <c r="N2941" s="40">
        <f t="shared" si="135"/>
        <v>0</v>
      </c>
      <c r="O2941" s="43">
        <f>0.043*M2941</f>
        <v>0</v>
      </c>
      <c r="P2941" s="47">
        <f>0.00005*M2941</f>
        <v>0</v>
      </c>
      <c r="Q2941" s="44"/>
      <c r="R2941" s="45" t="s">
        <v>9252</v>
      </c>
      <c r="S2941" s="45" t="s">
        <v>93</v>
      </c>
      <c r="T2941" s="37" t="str">
        <f>HYPERLINK("https://kanzpp.ru/api/getInfo/image/9c00995c-f2b2-11f0-a28d-00155d82e908")</f>
        <v>https://kanzpp.ru/api/getInfo/image/9c00995c-f2b2-11f0-a28d-00155d82e908</v>
      </c>
      <c r="U2941" s="37"/>
    </row>
    <row r="2942" spans="2:22" ht="21" customHeight="1" outlineLevel="5" x14ac:dyDescent="0.2">
      <c r="B2942" s="71">
        <v>2198</v>
      </c>
      <c r="C2942" s="37" t="s">
        <v>9253</v>
      </c>
      <c r="D2942" s="37" t="s">
        <v>9254</v>
      </c>
      <c r="E2942" s="38" t="s">
        <v>9255</v>
      </c>
      <c r="F2942" s="39"/>
      <c r="G2942" s="40"/>
      <c r="H2942" s="40"/>
      <c r="I2942" s="41">
        <v>40</v>
      </c>
      <c r="J2942" s="41">
        <v>540</v>
      </c>
      <c r="K2942" s="36">
        <v>15</v>
      </c>
      <c r="L2942" s="42">
        <f>(42.34*(1-O3/100))/0.75</f>
        <v>56.45333333333334</v>
      </c>
      <c r="M2942" s="12"/>
      <c r="N2942" s="40">
        <f t="shared" si="135"/>
        <v>0</v>
      </c>
      <c r="O2942" s="43">
        <f>0.046*M2942</f>
        <v>0</v>
      </c>
      <c r="P2942" s="47">
        <f>0.00008*M2942</f>
        <v>0</v>
      </c>
      <c r="Q2942" s="44"/>
      <c r="R2942" s="45" t="s">
        <v>9256</v>
      </c>
      <c r="S2942" s="45" t="s">
        <v>93</v>
      </c>
      <c r="T2942" s="37" t="str">
        <f>HYPERLINK("https://kanzpp.ru/api/getInfo/image/ac85d0d3-4ffe-11f0-a27e-00155d82e908")</f>
        <v>https://kanzpp.ru/api/getInfo/image/ac85d0d3-4ffe-11f0-a27e-00155d82e908</v>
      </c>
      <c r="U2942" s="37"/>
    </row>
    <row r="2943" spans="2:22" ht="21" customHeight="1" outlineLevel="5" x14ac:dyDescent="0.2">
      <c r="B2943" s="71">
        <v>2199</v>
      </c>
      <c r="C2943" s="37" t="s">
        <v>9257</v>
      </c>
      <c r="D2943" s="37" t="s">
        <v>9258</v>
      </c>
      <c r="E2943" s="38" t="s">
        <v>9259</v>
      </c>
      <c r="F2943" s="39"/>
      <c r="G2943" s="40"/>
      <c r="H2943" s="40"/>
      <c r="I2943" s="41">
        <v>40</v>
      </c>
      <c r="J2943" s="50">
        <v>1208</v>
      </c>
      <c r="K2943" s="36">
        <v>15</v>
      </c>
      <c r="L2943" s="42">
        <f>(42.34*(1-O3/100))/0.75</f>
        <v>56.45333333333334</v>
      </c>
      <c r="M2943" s="12"/>
      <c r="N2943" s="40">
        <f t="shared" si="135"/>
        <v>0</v>
      </c>
      <c r="O2943" s="43">
        <f>0.043*M2943</f>
        <v>0</v>
      </c>
      <c r="P2943" s="47">
        <f>0.00005*M2943</f>
        <v>0</v>
      </c>
      <c r="Q2943" s="44"/>
      <c r="R2943" s="45" t="s">
        <v>9260</v>
      </c>
      <c r="S2943" s="45" t="s">
        <v>93</v>
      </c>
      <c r="T2943" s="37" t="str">
        <f>HYPERLINK("https://kanzpp.ru/api/getInfo/image/66136dc9-f2b2-11f0-a28d-00155d82e908")</f>
        <v>https://kanzpp.ru/api/getInfo/image/66136dc9-f2b2-11f0-a28d-00155d82e908</v>
      </c>
      <c r="U2943" s="37"/>
    </row>
    <row r="2944" spans="2:22" ht="21" customHeight="1" outlineLevel="5" x14ac:dyDescent="0.2">
      <c r="B2944" s="69">
        <v>2200</v>
      </c>
      <c r="C2944" s="6" t="s">
        <v>9261</v>
      </c>
      <c r="D2944" s="6" t="s">
        <v>9262</v>
      </c>
      <c r="E2944" s="7" t="s">
        <v>9263</v>
      </c>
      <c r="F2944" s="13"/>
      <c r="G2944" s="14"/>
      <c r="H2944" s="14"/>
      <c r="I2944" s="15">
        <v>80</v>
      </c>
      <c r="J2944" s="15">
        <v>20</v>
      </c>
      <c r="K2944" s="5">
        <v>15</v>
      </c>
      <c r="L2944" s="16">
        <v>37.199999999999996</v>
      </c>
      <c r="M2944" s="12"/>
      <c r="N2944" s="14">
        <f t="shared" si="135"/>
        <v>0</v>
      </c>
      <c r="O2944" s="23">
        <f>0.047*M2944</f>
        <v>0</v>
      </c>
      <c r="P2944" s="24">
        <f>0.00007*M2944</f>
        <v>0</v>
      </c>
      <c r="Q2944" s="25"/>
      <c r="R2944" s="26" t="s">
        <v>9264</v>
      </c>
      <c r="S2944" s="26" t="s">
        <v>93</v>
      </c>
      <c r="T2944" s="6" t="str">
        <f>HYPERLINK("https://kanzpp.ru/api/getInfo/image/d947023f-1f1d-11ef-a25f-00155d82e908")</f>
        <v>https://kanzpp.ru/api/getInfo/image/d947023f-1f1d-11ef-a25f-00155d82e908</v>
      </c>
      <c r="U2944" s="6"/>
      <c r="V2944" s="33" t="s">
        <v>35</v>
      </c>
    </row>
    <row r="2945" spans="2:22" ht="22.95" customHeight="1" outlineLevel="2" x14ac:dyDescent="0.2">
      <c r="B2945" s="80" t="s">
        <v>9265</v>
      </c>
      <c r="C2945" s="80"/>
      <c r="D2945" s="80"/>
      <c r="L2945">
        <v>0</v>
      </c>
    </row>
    <row r="2946" spans="2:22" ht="22.95" customHeight="1" outlineLevel="3" x14ac:dyDescent="0.2">
      <c r="B2946" s="81" t="s">
        <v>9266</v>
      </c>
      <c r="C2946" s="81"/>
      <c r="D2946" s="81"/>
      <c r="L2946">
        <v>0</v>
      </c>
    </row>
    <row r="2947" spans="2:22" ht="22.95" customHeight="1" outlineLevel="4" x14ac:dyDescent="0.2">
      <c r="B2947" s="82" t="s">
        <v>9267</v>
      </c>
      <c r="C2947" s="82"/>
      <c r="D2947" s="82"/>
      <c r="L2947">
        <v>0</v>
      </c>
    </row>
    <row r="2948" spans="2:22" ht="21" customHeight="1" outlineLevel="5" x14ac:dyDescent="0.2">
      <c r="B2948" s="71">
        <v>2201</v>
      </c>
      <c r="C2948" s="37" t="s">
        <v>9268</v>
      </c>
      <c r="D2948" s="37" t="s">
        <v>9269</v>
      </c>
      <c r="E2948" s="38" t="s">
        <v>9270</v>
      </c>
      <c r="F2948" s="39"/>
      <c r="G2948" s="40"/>
      <c r="H2948" s="40"/>
      <c r="I2948" s="41">
        <v>10</v>
      </c>
      <c r="J2948" s="41">
        <v>181</v>
      </c>
      <c r="K2948" s="36">
        <v>4</v>
      </c>
      <c r="L2948" s="42">
        <f>(162.02*(1-O3/100))/0.75</f>
        <v>216.02666666666667</v>
      </c>
      <c r="M2948" s="12"/>
      <c r="N2948" s="40">
        <f>L2948*M2948</f>
        <v>0</v>
      </c>
      <c r="O2948" s="43">
        <f>0.421*M2948</f>
        <v>0</v>
      </c>
      <c r="P2948" s="47">
        <f>0.00051*M2948</f>
        <v>0</v>
      </c>
      <c r="Q2948" s="44"/>
      <c r="R2948" s="45" t="s">
        <v>9271</v>
      </c>
      <c r="S2948" s="45" t="s">
        <v>93</v>
      </c>
      <c r="T2948" s="37" t="str">
        <f>HYPERLINK("https://kanzpp.ru/api/getInfo/image/b2d41816-d44d-11ed-a231-00155d82e902")</f>
        <v>https://kanzpp.ru/api/getInfo/image/b2d41816-d44d-11ed-a231-00155d82e902</v>
      </c>
      <c r="U2948" s="37"/>
    </row>
    <row r="2949" spans="2:22" ht="21" customHeight="1" outlineLevel="5" x14ac:dyDescent="0.2">
      <c r="B2949" s="71">
        <v>2202</v>
      </c>
      <c r="C2949" s="37" t="s">
        <v>9272</v>
      </c>
      <c r="D2949" s="37" t="s">
        <v>9273</v>
      </c>
      <c r="E2949" s="38" t="s">
        <v>9274</v>
      </c>
      <c r="F2949" s="39"/>
      <c r="G2949" s="40"/>
      <c r="H2949" s="40"/>
      <c r="I2949" s="41">
        <v>10</v>
      </c>
      <c r="J2949" s="40" t="s">
        <v>144</v>
      </c>
      <c r="K2949" s="36">
        <v>4</v>
      </c>
      <c r="L2949" s="42">
        <f>(162.02*(1-O3/100))/0.75</f>
        <v>216.02666666666667</v>
      </c>
      <c r="M2949" s="12"/>
      <c r="N2949" s="40">
        <f>L2949*M2949</f>
        <v>0</v>
      </c>
      <c r="O2949" s="43">
        <f>0.435*M2949</f>
        <v>0</v>
      </c>
      <c r="P2949" s="47">
        <f>0.00066*M2949</f>
        <v>0</v>
      </c>
      <c r="Q2949" s="44"/>
      <c r="R2949" s="45" t="s">
        <v>9275</v>
      </c>
      <c r="S2949" s="45" t="s">
        <v>93</v>
      </c>
      <c r="T2949" s="37" t="str">
        <f>HYPERLINK("https://kanzpp.ru/api/getInfo/image/a76238f1-d75a-11f0-a28c-00155d82e908")</f>
        <v>https://kanzpp.ru/api/getInfo/image/a76238f1-d75a-11f0-a28c-00155d82e908</v>
      </c>
      <c r="U2949" s="37"/>
    </row>
    <row r="2950" spans="2:22" ht="22.95" customHeight="1" outlineLevel="4" x14ac:dyDescent="0.2">
      <c r="B2950" s="82" t="s">
        <v>9276</v>
      </c>
      <c r="C2950" s="82"/>
      <c r="D2950" s="82"/>
      <c r="L2950">
        <v>0</v>
      </c>
    </row>
    <row r="2951" spans="2:22" ht="21" customHeight="1" outlineLevel="5" x14ac:dyDescent="0.2">
      <c r="B2951" s="69">
        <v>2203</v>
      </c>
      <c r="C2951" s="6" t="s">
        <v>9277</v>
      </c>
      <c r="D2951" s="6" t="s">
        <v>9278</v>
      </c>
      <c r="E2951" s="7" t="s">
        <v>9279</v>
      </c>
      <c r="F2951" s="13"/>
      <c r="G2951" s="14"/>
      <c r="H2951" s="14"/>
      <c r="I2951" s="15">
        <v>10</v>
      </c>
      <c r="J2951" s="14" t="s">
        <v>144</v>
      </c>
      <c r="K2951" s="5">
        <v>3</v>
      </c>
      <c r="L2951" s="16">
        <v>172</v>
      </c>
      <c r="M2951" s="12"/>
      <c r="N2951" s="14">
        <f>L2951*M2951</f>
        <v>0</v>
      </c>
      <c r="O2951" s="23">
        <f>0.486*M2951</f>
        <v>0</v>
      </c>
      <c r="P2951" s="24">
        <f>0.00063*M2951</f>
        <v>0</v>
      </c>
      <c r="Q2951" s="25"/>
      <c r="R2951" s="26" t="s">
        <v>9280</v>
      </c>
      <c r="S2951" s="26" t="s">
        <v>93</v>
      </c>
      <c r="T2951" s="6" t="str">
        <f>HYPERLINK("https://kanzpp.ru/api/getInfo/image/47a3c28e-a463-11ec-a211-ac1f6b442185")</f>
        <v>https://kanzpp.ru/api/getInfo/image/47a3c28e-a463-11ec-a211-ac1f6b442185</v>
      </c>
      <c r="U2951" s="6"/>
      <c r="V2951" s="33" t="s">
        <v>35</v>
      </c>
    </row>
    <row r="2952" spans="2:22" ht="22.95" customHeight="1" outlineLevel="4" x14ac:dyDescent="0.2">
      <c r="B2952" s="82" t="s">
        <v>9281</v>
      </c>
      <c r="C2952" s="82"/>
      <c r="D2952" s="82"/>
      <c r="L2952">
        <v>0</v>
      </c>
    </row>
    <row r="2953" spans="2:22" ht="21" customHeight="1" outlineLevel="5" x14ac:dyDescent="0.2">
      <c r="B2953" s="71">
        <v>2204</v>
      </c>
      <c r="C2953" s="37" t="s">
        <v>9282</v>
      </c>
      <c r="D2953" s="37" t="s">
        <v>9283</v>
      </c>
      <c r="E2953" s="38" t="s">
        <v>9284</v>
      </c>
      <c r="F2953" s="39"/>
      <c r="G2953" s="40"/>
      <c r="H2953" s="40"/>
      <c r="I2953" s="41">
        <v>10</v>
      </c>
      <c r="J2953" s="40" t="s">
        <v>144</v>
      </c>
      <c r="K2953" s="36">
        <v>3</v>
      </c>
      <c r="L2953" s="42">
        <f>(220.21*(1-O3/100))/0.75</f>
        <v>293.61333333333334</v>
      </c>
      <c r="M2953" s="12"/>
      <c r="N2953" s="40">
        <f>L2953*M2953</f>
        <v>0</v>
      </c>
      <c r="O2953" s="43">
        <f>0.551*M2953</f>
        <v>0</v>
      </c>
      <c r="P2953" s="47">
        <f>0.00072*M2953</f>
        <v>0</v>
      </c>
      <c r="Q2953" s="44"/>
      <c r="R2953" s="45" t="s">
        <v>9285</v>
      </c>
      <c r="S2953" s="45" t="s">
        <v>93</v>
      </c>
      <c r="T2953" s="37" t="str">
        <f>HYPERLINK("https://kanzpp.ru/api/getInfo/image/b4904892-1f29-11ef-a25f-00155d82e908")</f>
        <v>https://kanzpp.ru/api/getInfo/image/b4904892-1f29-11ef-a25f-00155d82e908</v>
      </c>
      <c r="U2953" s="37"/>
    </row>
    <row r="2954" spans="2:22" ht="21" customHeight="1" outlineLevel="5" x14ac:dyDescent="0.2">
      <c r="B2954" s="71">
        <v>2205</v>
      </c>
      <c r="C2954" s="37" t="s">
        <v>9286</v>
      </c>
      <c r="D2954" s="37" t="s">
        <v>9287</v>
      </c>
      <c r="E2954" s="38" t="s">
        <v>9288</v>
      </c>
      <c r="F2954" s="39"/>
      <c r="G2954" s="40"/>
      <c r="H2954" s="40"/>
      <c r="I2954" s="41">
        <v>10</v>
      </c>
      <c r="J2954" s="41">
        <v>374</v>
      </c>
      <c r="K2954" s="36">
        <v>3</v>
      </c>
      <c r="L2954" s="42">
        <f>(220.21*(1-O3/100))/0.75</f>
        <v>293.61333333333334</v>
      </c>
      <c r="M2954" s="12"/>
      <c r="N2954" s="40">
        <f>L2954*M2954</f>
        <v>0</v>
      </c>
      <c r="O2954" s="43">
        <f>0.561*M2954</f>
        <v>0</v>
      </c>
      <c r="P2954" s="47">
        <f>0.00073*M2954</f>
        <v>0</v>
      </c>
      <c r="Q2954" s="44"/>
      <c r="R2954" s="45" t="s">
        <v>9289</v>
      </c>
      <c r="S2954" s="45" t="s">
        <v>93</v>
      </c>
      <c r="T2954" s="37" t="str">
        <f>HYPERLINK("https://kanzpp.ru/api/getInfo/image/41773b91-06b7-11ee-a23b-00155d82e902")</f>
        <v>https://kanzpp.ru/api/getInfo/image/41773b91-06b7-11ee-a23b-00155d82e902</v>
      </c>
      <c r="U2954" s="37"/>
    </row>
    <row r="2955" spans="2:22" ht="22.95" customHeight="1" outlineLevel="3" x14ac:dyDescent="0.2">
      <c r="B2955" s="81" t="s">
        <v>9290</v>
      </c>
      <c r="C2955" s="81"/>
      <c r="D2955" s="81"/>
      <c r="L2955">
        <v>0</v>
      </c>
    </row>
    <row r="2956" spans="2:22" ht="22.95" customHeight="1" outlineLevel="4" x14ac:dyDescent="0.2">
      <c r="B2956" s="82" t="s">
        <v>9291</v>
      </c>
      <c r="C2956" s="82"/>
      <c r="D2956" s="82"/>
      <c r="L2956">
        <v>0</v>
      </c>
    </row>
    <row r="2957" spans="2:22" ht="21" customHeight="1" outlineLevel="5" x14ac:dyDescent="0.2">
      <c r="B2957" s="71">
        <v>2206</v>
      </c>
      <c r="C2957" s="37" t="s">
        <v>9292</v>
      </c>
      <c r="D2957" s="37" t="s">
        <v>9293</v>
      </c>
      <c r="E2957" s="38" t="s">
        <v>9294</v>
      </c>
      <c r="F2957" s="39"/>
      <c r="G2957" s="40"/>
      <c r="H2957" s="40"/>
      <c r="I2957" s="41">
        <v>16</v>
      </c>
      <c r="J2957" s="40" t="s">
        <v>144</v>
      </c>
      <c r="K2957" s="36">
        <v>6</v>
      </c>
      <c r="L2957" s="42">
        <f>(102.56*(1-O3/100))/0.75</f>
        <v>136.74666666666667</v>
      </c>
      <c r="M2957" s="12"/>
      <c r="N2957" s="40">
        <f>L2957*M2957</f>
        <v>0</v>
      </c>
      <c r="O2957" s="43">
        <f>0.208*M2957</f>
        <v>0</v>
      </c>
      <c r="P2957" s="47">
        <f>0.00029*M2957</f>
        <v>0</v>
      </c>
      <c r="Q2957" s="44"/>
      <c r="R2957" s="45" t="s">
        <v>9295</v>
      </c>
      <c r="S2957" s="45" t="s">
        <v>93</v>
      </c>
      <c r="T2957" s="37" t="str">
        <f>HYPERLINK("https://kanzpp.ru/api/getInfo/image/8edf352d-6c5c-11f0-a283-00155d82e908")</f>
        <v>https://kanzpp.ru/api/getInfo/image/8edf352d-6c5c-11f0-a283-00155d82e908</v>
      </c>
      <c r="U2957" s="37"/>
    </row>
    <row r="2958" spans="2:22" ht="21" customHeight="1" outlineLevel="5" x14ac:dyDescent="0.2">
      <c r="B2958" s="71">
        <v>2207</v>
      </c>
      <c r="C2958" s="37" t="s">
        <v>9296</v>
      </c>
      <c r="D2958" s="37" t="s">
        <v>9297</v>
      </c>
      <c r="E2958" s="38" t="s">
        <v>9298</v>
      </c>
      <c r="F2958" s="39"/>
      <c r="G2958" s="40"/>
      <c r="H2958" s="40"/>
      <c r="I2958" s="41">
        <v>16</v>
      </c>
      <c r="J2958" s="40" t="s">
        <v>144</v>
      </c>
      <c r="K2958" s="36">
        <v>6</v>
      </c>
      <c r="L2958" s="42">
        <f>(102.56*(1-O3/100))/0.75</f>
        <v>136.74666666666667</v>
      </c>
      <c r="M2958" s="12"/>
      <c r="N2958" s="40">
        <f>L2958*M2958</f>
        <v>0</v>
      </c>
      <c r="O2958" s="43">
        <f>0.203*M2958</f>
        <v>0</v>
      </c>
      <c r="P2958" s="47">
        <f>0.00026*M2958</f>
        <v>0</v>
      </c>
      <c r="Q2958" s="44"/>
      <c r="R2958" s="45" t="s">
        <v>9299</v>
      </c>
      <c r="S2958" s="45" t="s">
        <v>93</v>
      </c>
      <c r="T2958" s="37" t="str">
        <f>HYPERLINK("https://kanzpp.ru/api/getInfo/image/d8bdf8d1-d455-11ed-a231-00155d82e902")</f>
        <v>https://kanzpp.ru/api/getInfo/image/d8bdf8d1-d455-11ed-a231-00155d82e902</v>
      </c>
      <c r="U2958" s="37"/>
    </row>
    <row r="2959" spans="2:22" ht="21" customHeight="1" outlineLevel="5" x14ac:dyDescent="0.2">
      <c r="B2959" s="71">
        <v>2208</v>
      </c>
      <c r="C2959" s="37" t="s">
        <v>9300</v>
      </c>
      <c r="D2959" s="37" t="s">
        <v>9301</v>
      </c>
      <c r="E2959" s="38" t="s">
        <v>9302</v>
      </c>
      <c r="F2959" s="39"/>
      <c r="G2959" s="40"/>
      <c r="H2959" s="40"/>
      <c r="I2959" s="41">
        <v>16</v>
      </c>
      <c r="J2959" s="41">
        <v>1</v>
      </c>
      <c r="K2959" s="36">
        <v>1</v>
      </c>
      <c r="L2959" s="42">
        <f>(102.56*(1-O3/100))/0.75</f>
        <v>136.74666666666667</v>
      </c>
      <c r="M2959" s="12"/>
      <c r="N2959" s="40">
        <f>L2959*M2959</f>
        <v>0</v>
      </c>
      <c r="O2959" s="49">
        <f>0.2*M2959</f>
        <v>0</v>
      </c>
      <c r="P2959" s="47">
        <f>0.00032*M2959</f>
        <v>0</v>
      </c>
      <c r="Q2959" s="44"/>
      <c r="R2959" s="45" t="s">
        <v>9303</v>
      </c>
      <c r="S2959" s="45" t="s">
        <v>93</v>
      </c>
      <c r="T2959" s="37" t="str">
        <f>HYPERLINK("https://kanzpp.ru/api/getInfo/image/180ce097-6c5c-11f0-a283-00155d82e908")</f>
        <v>https://kanzpp.ru/api/getInfo/image/180ce097-6c5c-11f0-a283-00155d82e908</v>
      </c>
      <c r="U2959" s="37"/>
    </row>
    <row r="2960" spans="2:22" ht="21" customHeight="1" outlineLevel="5" x14ac:dyDescent="0.2">
      <c r="B2960" s="69">
        <v>2209</v>
      </c>
      <c r="C2960" s="6" t="s">
        <v>9304</v>
      </c>
      <c r="D2960" s="6" t="s">
        <v>9305</v>
      </c>
      <c r="E2960" s="7" t="s">
        <v>9306</v>
      </c>
      <c r="F2960" s="13"/>
      <c r="G2960" s="14"/>
      <c r="H2960" s="15">
        <v>16</v>
      </c>
      <c r="I2960" s="14"/>
      <c r="J2960" s="15">
        <v>2</v>
      </c>
      <c r="K2960" s="5">
        <v>2</v>
      </c>
      <c r="L2960" s="16">
        <v>102.56</v>
      </c>
      <c r="M2960" s="12"/>
      <c r="N2960" s="14">
        <f>L2960*M2960</f>
        <v>0</v>
      </c>
      <c r="O2960" s="27">
        <f>0.2*M2960</f>
        <v>0</v>
      </c>
      <c r="P2960" s="31">
        <f>0.0003*M2960</f>
        <v>0</v>
      </c>
      <c r="Q2960" s="25"/>
      <c r="R2960" s="26"/>
      <c r="S2960" s="26" t="s">
        <v>93</v>
      </c>
      <c r="T2960" s="6" t="str">
        <f>HYPERLINK("https://kanzpp.ru/api/getInfo/image/0e59b430-d456-11ed-a231-00155d82e902")</f>
        <v>https://kanzpp.ru/api/getInfo/image/0e59b430-d456-11ed-a231-00155d82e902</v>
      </c>
      <c r="U2960" s="6" t="s">
        <v>9307</v>
      </c>
      <c r="V2960" s="33" t="s">
        <v>35</v>
      </c>
    </row>
    <row r="2961" spans="2:22" ht="22.95" customHeight="1" outlineLevel="4" x14ac:dyDescent="0.2">
      <c r="B2961" s="82" t="s">
        <v>9308</v>
      </c>
      <c r="C2961" s="82"/>
      <c r="D2961" s="82"/>
      <c r="L2961">
        <v>0</v>
      </c>
    </row>
    <row r="2962" spans="2:22" ht="21" customHeight="1" outlineLevel="5" x14ac:dyDescent="0.2">
      <c r="B2962" s="71">
        <v>2210</v>
      </c>
      <c r="C2962" s="37" t="s">
        <v>9309</v>
      </c>
      <c r="D2962" s="37" t="s">
        <v>9310</v>
      </c>
      <c r="E2962" s="38" t="s">
        <v>9311</v>
      </c>
      <c r="F2962" s="39"/>
      <c r="G2962" s="40"/>
      <c r="H2962" s="40"/>
      <c r="I2962" s="41">
        <v>16</v>
      </c>
      <c r="J2962" s="40" t="s">
        <v>144</v>
      </c>
      <c r="K2962" s="36">
        <v>5</v>
      </c>
      <c r="L2962" s="42">
        <f>(113.68*(1-O3/100))/0.75</f>
        <v>151.57333333333335</v>
      </c>
      <c r="M2962" s="12"/>
      <c r="N2962" s="40">
        <f>L2962*M2962</f>
        <v>0</v>
      </c>
      <c r="O2962" s="43">
        <f>0.231*M2962</f>
        <v>0</v>
      </c>
      <c r="P2962" s="47">
        <f>0.00028*M2962</f>
        <v>0</v>
      </c>
      <c r="Q2962" s="44"/>
      <c r="R2962" s="45" t="s">
        <v>9312</v>
      </c>
      <c r="S2962" s="45" t="s">
        <v>93</v>
      </c>
      <c r="T2962" s="37" t="str">
        <f>HYPERLINK("https://kanzpp.ru/api/getInfo/image/cd4a9801-d456-11ed-a231-00155d82e902")</f>
        <v>https://kanzpp.ru/api/getInfo/image/cd4a9801-d456-11ed-a231-00155d82e902</v>
      </c>
      <c r="U2962" s="37"/>
    </row>
    <row r="2963" spans="2:22" ht="21" customHeight="1" outlineLevel="5" x14ac:dyDescent="0.2">
      <c r="B2963" s="71">
        <v>2211</v>
      </c>
      <c r="C2963" s="37" t="s">
        <v>9313</v>
      </c>
      <c r="D2963" s="37" t="s">
        <v>9314</v>
      </c>
      <c r="E2963" s="38" t="s">
        <v>9315</v>
      </c>
      <c r="F2963" s="39"/>
      <c r="G2963" s="40"/>
      <c r="H2963" s="40"/>
      <c r="I2963" s="41">
        <v>16</v>
      </c>
      <c r="J2963" s="41">
        <v>12</v>
      </c>
      <c r="K2963" s="36">
        <v>5</v>
      </c>
      <c r="L2963" s="42">
        <f>(113.68*(1-O3/100))/0.75</f>
        <v>151.57333333333335</v>
      </c>
      <c r="M2963" s="12"/>
      <c r="N2963" s="40">
        <f>L2963*M2963</f>
        <v>0</v>
      </c>
      <c r="O2963" s="43">
        <f>0.238*M2963</f>
        <v>0</v>
      </c>
      <c r="P2963" s="47">
        <f>0.00035*M2963</f>
        <v>0</v>
      </c>
      <c r="Q2963" s="44"/>
      <c r="R2963" s="45" t="s">
        <v>9316</v>
      </c>
      <c r="S2963" s="45" t="s">
        <v>93</v>
      </c>
      <c r="T2963" s="37" t="str">
        <f>HYPERLINK("https://kanzpp.ru/api/getInfo/image/0ccf5656-0a3d-11f0-a279-00155d82e908")</f>
        <v>https://kanzpp.ru/api/getInfo/image/0ccf5656-0a3d-11f0-a279-00155d82e908</v>
      </c>
      <c r="U2963" s="37"/>
    </row>
    <row r="2964" spans="2:22" ht="21" customHeight="1" outlineLevel="5" x14ac:dyDescent="0.2">
      <c r="B2964" s="71">
        <v>2212</v>
      </c>
      <c r="C2964" s="37" t="s">
        <v>9317</v>
      </c>
      <c r="D2964" s="37" t="s">
        <v>9318</v>
      </c>
      <c r="E2964" s="38" t="s">
        <v>9319</v>
      </c>
      <c r="F2964" s="39"/>
      <c r="G2964" s="40"/>
      <c r="H2964" s="40"/>
      <c r="I2964" s="41">
        <v>16</v>
      </c>
      <c r="J2964" s="40" t="s">
        <v>144</v>
      </c>
      <c r="K2964" s="36">
        <v>5</v>
      </c>
      <c r="L2964" s="42">
        <f>(113.68*(1-O3/100))/0.75</f>
        <v>151.57333333333335</v>
      </c>
      <c r="M2964" s="12"/>
      <c r="N2964" s="40">
        <f>L2964*M2964</f>
        <v>0</v>
      </c>
      <c r="O2964" s="43">
        <f>0.238*M2964</f>
        <v>0</v>
      </c>
      <c r="P2964" s="47">
        <f>0.00028*M2964</f>
        <v>0</v>
      </c>
      <c r="Q2964" s="44"/>
      <c r="R2964" s="45" t="s">
        <v>9320</v>
      </c>
      <c r="S2964" s="45" t="s">
        <v>93</v>
      </c>
      <c r="T2964" s="37" t="str">
        <f>HYPERLINK("https://kanzpp.ru/api/getInfo/image/04f4f557-d457-11ed-a231-00155d82e902")</f>
        <v>https://kanzpp.ru/api/getInfo/image/04f4f557-d457-11ed-a231-00155d82e902</v>
      </c>
      <c r="U2964" s="37"/>
    </row>
    <row r="2965" spans="2:22" ht="22.95" customHeight="1" outlineLevel="4" x14ac:dyDescent="0.2">
      <c r="B2965" s="82" t="s">
        <v>9321</v>
      </c>
      <c r="C2965" s="82"/>
      <c r="D2965" s="82"/>
      <c r="L2965">
        <v>0</v>
      </c>
    </row>
    <row r="2966" spans="2:22" ht="21" customHeight="1" outlineLevel="5" x14ac:dyDescent="0.2">
      <c r="B2966" s="71">
        <v>2213</v>
      </c>
      <c r="C2966" s="37" t="s">
        <v>9322</v>
      </c>
      <c r="D2966" s="37" t="s">
        <v>9323</v>
      </c>
      <c r="E2966" s="38" t="s">
        <v>9324</v>
      </c>
      <c r="F2966" s="39"/>
      <c r="G2966" s="40"/>
      <c r="H2966" s="40"/>
      <c r="I2966" s="41">
        <v>16</v>
      </c>
      <c r="J2966" s="40" t="s">
        <v>144</v>
      </c>
      <c r="K2966" s="36">
        <v>5</v>
      </c>
      <c r="L2966" s="42">
        <f>(135.39*(1-O3/100))/0.75</f>
        <v>180.51999999999998</v>
      </c>
      <c r="M2966" s="12"/>
      <c r="N2966" s="40">
        <f>L2966*M2966</f>
        <v>0</v>
      </c>
      <c r="O2966" s="43">
        <f>0.276*M2966</f>
        <v>0</v>
      </c>
      <c r="P2966" s="47">
        <f>0.00041*M2966</f>
        <v>0</v>
      </c>
      <c r="Q2966" s="44"/>
      <c r="R2966" s="45" t="s">
        <v>9325</v>
      </c>
      <c r="S2966" s="45" t="s">
        <v>93</v>
      </c>
      <c r="T2966" s="37" t="str">
        <f>HYPERLINK("https://kanzpp.ru/api/getInfo/image/cecf31f0-1613-11f0-a279-00155d82e908")</f>
        <v>https://kanzpp.ru/api/getInfo/image/cecf31f0-1613-11f0-a279-00155d82e908</v>
      </c>
      <c r="U2966" s="37"/>
    </row>
    <row r="2967" spans="2:22" ht="21" customHeight="1" outlineLevel="5" x14ac:dyDescent="0.2">
      <c r="B2967" s="71">
        <v>2214</v>
      </c>
      <c r="C2967" s="37" t="s">
        <v>9326</v>
      </c>
      <c r="D2967" s="37" t="s">
        <v>9327</v>
      </c>
      <c r="E2967" s="38" t="s">
        <v>9328</v>
      </c>
      <c r="F2967" s="39"/>
      <c r="G2967" s="40"/>
      <c r="H2967" s="40"/>
      <c r="I2967" s="41">
        <v>16</v>
      </c>
      <c r="J2967" s="40" t="s">
        <v>144</v>
      </c>
      <c r="K2967" s="36">
        <v>5</v>
      </c>
      <c r="L2967" s="42">
        <f>(135.39*(1-O3/100))/0.75</f>
        <v>180.51999999999998</v>
      </c>
      <c r="M2967" s="12"/>
      <c r="N2967" s="40">
        <f>L2967*M2967</f>
        <v>0</v>
      </c>
      <c r="O2967" s="43">
        <f>0.271*M2967</f>
        <v>0</v>
      </c>
      <c r="P2967" s="47">
        <f>0.00038*M2967</f>
        <v>0</v>
      </c>
      <c r="Q2967" s="44"/>
      <c r="R2967" s="45" t="s">
        <v>9329</v>
      </c>
      <c r="S2967" s="45" t="s">
        <v>93</v>
      </c>
      <c r="T2967" s="37" t="str">
        <f>HYPERLINK("https://kanzpp.ru/api/getInfo/image/9d1c78ca-a9dc-11ec-a211-ac1f6b442185")</f>
        <v>https://kanzpp.ru/api/getInfo/image/9d1c78ca-a9dc-11ec-a211-ac1f6b442185</v>
      </c>
      <c r="U2967" s="37"/>
    </row>
    <row r="2968" spans="2:22" ht="22.95" customHeight="1" outlineLevel="3" x14ac:dyDescent="0.2">
      <c r="B2968" s="81" t="s">
        <v>9330</v>
      </c>
      <c r="C2968" s="81"/>
      <c r="D2968" s="81"/>
      <c r="L2968">
        <v>0</v>
      </c>
    </row>
    <row r="2969" spans="2:22" ht="22.95" customHeight="1" outlineLevel="4" x14ac:dyDescent="0.2">
      <c r="B2969" s="82" t="s">
        <v>9331</v>
      </c>
      <c r="C2969" s="82"/>
      <c r="D2969" s="82"/>
      <c r="L2969">
        <v>0</v>
      </c>
    </row>
    <row r="2970" spans="2:22" ht="21" customHeight="1" outlineLevel="5" x14ac:dyDescent="0.2">
      <c r="B2970" s="69">
        <v>2215</v>
      </c>
      <c r="C2970" s="6" t="s">
        <v>9332</v>
      </c>
      <c r="D2970" s="6" t="s">
        <v>9333</v>
      </c>
      <c r="E2970" s="7" t="s">
        <v>9334</v>
      </c>
      <c r="F2970" s="13"/>
      <c r="G2970" s="14"/>
      <c r="H2970" s="14"/>
      <c r="I2970" s="15">
        <v>20</v>
      </c>
      <c r="J2970" s="15">
        <v>186</v>
      </c>
      <c r="K2970" s="5">
        <v>10</v>
      </c>
      <c r="L2970" s="16">
        <v>38.666666666666664</v>
      </c>
      <c r="M2970" s="12"/>
      <c r="N2970" s="14">
        <f t="shared" ref="N2970:N2975" si="136">L2970*M2970</f>
        <v>0</v>
      </c>
      <c r="O2970" s="23">
        <f>0.115*M2970</f>
        <v>0</v>
      </c>
      <c r="P2970" s="24">
        <f>0.00013*M2970</f>
        <v>0</v>
      </c>
      <c r="Q2970" s="25"/>
      <c r="R2970" s="26" t="s">
        <v>9335</v>
      </c>
      <c r="S2970" s="26" t="s">
        <v>93</v>
      </c>
      <c r="T2970" s="6" t="str">
        <f>HYPERLINK("https://kanzpp.ru/api/getInfo/image/503c49a1-93f7-11e9-a226-ac1f6b442184")</f>
        <v>https://kanzpp.ru/api/getInfo/image/503c49a1-93f7-11e9-a226-ac1f6b442184</v>
      </c>
      <c r="U2970" s="6"/>
      <c r="V2970" s="33" t="s">
        <v>35</v>
      </c>
    </row>
    <row r="2971" spans="2:22" ht="21" customHeight="1" outlineLevel="5" x14ac:dyDescent="0.2">
      <c r="B2971" s="71">
        <v>2216</v>
      </c>
      <c r="C2971" s="37" t="s">
        <v>9336</v>
      </c>
      <c r="D2971" s="37" t="s">
        <v>9337</v>
      </c>
      <c r="E2971" s="38" t="s">
        <v>9338</v>
      </c>
      <c r="F2971" s="39"/>
      <c r="G2971" s="40"/>
      <c r="H2971" s="40"/>
      <c r="I2971" s="41">
        <v>20</v>
      </c>
      <c r="J2971" s="40" t="s">
        <v>144</v>
      </c>
      <c r="K2971" s="36">
        <v>10</v>
      </c>
      <c r="L2971" s="42">
        <f>(65.4*(1-O3/100))/0.75</f>
        <v>87.2</v>
      </c>
      <c r="M2971" s="12"/>
      <c r="N2971" s="40">
        <f t="shared" si="136"/>
        <v>0</v>
      </c>
      <c r="O2971" s="48">
        <f>0.11*M2971</f>
        <v>0</v>
      </c>
      <c r="P2971" s="47">
        <f>0.00016*M2971</f>
        <v>0</v>
      </c>
      <c r="Q2971" s="44"/>
      <c r="R2971" s="45" t="s">
        <v>9339</v>
      </c>
      <c r="S2971" s="45" t="s">
        <v>93</v>
      </c>
      <c r="T2971" s="37" t="str">
        <f>HYPERLINK("https://kanzpp.ru/api/getInfo/image/9db5af87-951b-11f0-a284-00155d82e908")</f>
        <v>https://kanzpp.ru/api/getInfo/image/9db5af87-951b-11f0-a284-00155d82e908</v>
      </c>
      <c r="U2971" s="37"/>
    </row>
    <row r="2972" spans="2:22" ht="21" customHeight="1" outlineLevel="5" x14ac:dyDescent="0.2">
      <c r="B2972" s="71">
        <v>2217</v>
      </c>
      <c r="C2972" s="37" t="s">
        <v>9340</v>
      </c>
      <c r="D2972" s="37" t="s">
        <v>9341</v>
      </c>
      <c r="E2972" s="38" t="s">
        <v>9342</v>
      </c>
      <c r="F2972" s="39"/>
      <c r="G2972" s="40"/>
      <c r="H2972" s="40"/>
      <c r="I2972" s="41">
        <v>20</v>
      </c>
      <c r="J2972" s="40" t="s">
        <v>144</v>
      </c>
      <c r="K2972" s="36">
        <v>10</v>
      </c>
      <c r="L2972" s="42">
        <f>(65.4*(1-O3/100))/0.75</f>
        <v>87.2</v>
      </c>
      <c r="M2972" s="12"/>
      <c r="N2972" s="40">
        <f t="shared" si="136"/>
        <v>0</v>
      </c>
      <c r="O2972" s="48">
        <f>0.11*M2972</f>
        <v>0</v>
      </c>
      <c r="P2972" s="47">
        <f>0.00016*M2972</f>
        <v>0</v>
      </c>
      <c r="Q2972" s="44"/>
      <c r="R2972" s="45" t="s">
        <v>9343</v>
      </c>
      <c r="S2972" s="45" t="s">
        <v>93</v>
      </c>
      <c r="T2972" s="37" t="str">
        <f>HYPERLINK("https://kanzpp.ru/api/getInfo/image/01586fee-951c-11f0-a284-00155d82e908")</f>
        <v>https://kanzpp.ru/api/getInfo/image/01586fee-951c-11f0-a284-00155d82e908</v>
      </c>
      <c r="U2972" s="37"/>
    </row>
    <row r="2973" spans="2:22" ht="21" customHeight="1" outlineLevel="5" x14ac:dyDescent="0.2">
      <c r="B2973" s="71">
        <v>2218</v>
      </c>
      <c r="C2973" s="37" t="s">
        <v>9344</v>
      </c>
      <c r="D2973" s="37" t="s">
        <v>9345</v>
      </c>
      <c r="E2973" s="38" t="s">
        <v>9346</v>
      </c>
      <c r="F2973" s="39"/>
      <c r="G2973" s="40"/>
      <c r="H2973" s="40"/>
      <c r="I2973" s="41">
        <v>20</v>
      </c>
      <c r="J2973" s="41">
        <v>20</v>
      </c>
      <c r="K2973" s="36">
        <v>10</v>
      </c>
      <c r="L2973" s="42">
        <f>(65.4*(1-O3/100))/0.75</f>
        <v>87.2</v>
      </c>
      <c r="M2973" s="12"/>
      <c r="N2973" s="40">
        <f t="shared" si="136"/>
        <v>0</v>
      </c>
      <c r="O2973" s="48">
        <f>0.11*M2973</f>
        <v>0</v>
      </c>
      <c r="P2973" s="47">
        <f>0.00016*M2973</f>
        <v>0</v>
      </c>
      <c r="Q2973" s="44"/>
      <c r="R2973" s="45" t="s">
        <v>9347</v>
      </c>
      <c r="S2973" s="45" t="s">
        <v>93</v>
      </c>
      <c r="T2973" s="37" t="str">
        <f>HYPERLINK("https://kanzpp.ru/api/getInfo/image/bcadbe24-951b-11f0-a284-00155d82e908")</f>
        <v>https://kanzpp.ru/api/getInfo/image/bcadbe24-951b-11f0-a284-00155d82e908</v>
      </c>
      <c r="U2973" s="37"/>
    </row>
    <row r="2974" spans="2:22" ht="21" customHeight="1" outlineLevel="5" x14ac:dyDescent="0.2">
      <c r="B2974" s="69">
        <v>2219</v>
      </c>
      <c r="C2974" s="6" t="s">
        <v>9348</v>
      </c>
      <c r="D2974" s="6" t="s">
        <v>9349</v>
      </c>
      <c r="E2974" s="7" t="s">
        <v>9350</v>
      </c>
      <c r="F2974" s="13"/>
      <c r="G2974" s="14"/>
      <c r="H2974" s="14"/>
      <c r="I2974" s="15">
        <v>20</v>
      </c>
      <c r="J2974" s="15">
        <v>183</v>
      </c>
      <c r="K2974" s="5">
        <v>10</v>
      </c>
      <c r="L2974" s="16">
        <v>38.666666666666664</v>
      </c>
      <c r="M2974" s="12"/>
      <c r="N2974" s="14">
        <f t="shared" si="136"/>
        <v>0</v>
      </c>
      <c r="O2974" s="23">
        <f>0.106*M2974</f>
        <v>0</v>
      </c>
      <c r="P2974" s="24">
        <f>0.00201*M2974</f>
        <v>0</v>
      </c>
      <c r="Q2974" s="25"/>
      <c r="R2974" s="26" t="s">
        <v>9351</v>
      </c>
      <c r="S2974" s="26" t="s">
        <v>93</v>
      </c>
      <c r="T2974" s="6" t="str">
        <f>HYPERLINK("https://kanzpp.ru/api/getInfo/image/1222c385-a5c0-11ec-a211-ac1f6b442185")</f>
        <v>https://kanzpp.ru/api/getInfo/image/1222c385-a5c0-11ec-a211-ac1f6b442185</v>
      </c>
      <c r="U2974" s="6"/>
      <c r="V2974" s="33" t="s">
        <v>35</v>
      </c>
    </row>
    <row r="2975" spans="2:22" ht="21" customHeight="1" outlineLevel="5" x14ac:dyDescent="0.2">
      <c r="B2975" s="71">
        <v>2220</v>
      </c>
      <c r="C2975" s="37" t="s">
        <v>9352</v>
      </c>
      <c r="D2975" s="37" t="s">
        <v>9353</v>
      </c>
      <c r="E2975" s="38" t="s">
        <v>9354</v>
      </c>
      <c r="F2975" s="39"/>
      <c r="G2975" s="40"/>
      <c r="H2975" s="40"/>
      <c r="I2975" s="41">
        <v>20</v>
      </c>
      <c r="J2975" s="40" t="s">
        <v>144</v>
      </c>
      <c r="K2975" s="36">
        <v>10</v>
      </c>
      <c r="L2975" s="42">
        <f>(65.4*(1-O3/100))/0.75</f>
        <v>87.2</v>
      </c>
      <c r="M2975" s="12"/>
      <c r="N2975" s="40">
        <f t="shared" si="136"/>
        <v>0</v>
      </c>
      <c r="O2975" s="48">
        <f>0.11*M2975</f>
        <v>0</v>
      </c>
      <c r="P2975" s="47">
        <f>0.00016*M2975</f>
        <v>0</v>
      </c>
      <c r="Q2975" s="44"/>
      <c r="R2975" s="45" t="s">
        <v>9355</v>
      </c>
      <c r="S2975" s="45" t="s">
        <v>93</v>
      </c>
      <c r="T2975" s="37" t="str">
        <f>HYPERLINK("https://kanzpp.ru/api/getInfo/image/1fba0c44-951b-11f0-a284-00155d82e908")</f>
        <v>https://kanzpp.ru/api/getInfo/image/1fba0c44-951b-11f0-a284-00155d82e908</v>
      </c>
      <c r="U2975" s="37"/>
    </row>
    <row r="2976" spans="2:22" ht="22.95" customHeight="1" outlineLevel="2" x14ac:dyDescent="0.2">
      <c r="B2976" s="80" t="s">
        <v>9356</v>
      </c>
      <c r="C2976" s="80"/>
      <c r="D2976" s="80"/>
      <c r="L2976">
        <v>0</v>
      </c>
    </row>
    <row r="2977" spans="2:22" ht="22.95" customHeight="1" outlineLevel="3" x14ac:dyDescent="0.2">
      <c r="B2977" s="81" t="s">
        <v>9357</v>
      </c>
      <c r="C2977" s="81"/>
      <c r="D2977" s="81"/>
      <c r="L2977">
        <v>0</v>
      </c>
    </row>
    <row r="2978" spans="2:22" ht="21" customHeight="1" outlineLevel="4" x14ac:dyDescent="0.2">
      <c r="B2978" s="71">
        <v>2221</v>
      </c>
      <c r="C2978" s="37" t="s">
        <v>9358</v>
      </c>
      <c r="D2978" s="37" t="s">
        <v>9359</v>
      </c>
      <c r="E2978" s="38" t="s">
        <v>9360</v>
      </c>
      <c r="F2978" s="39"/>
      <c r="G2978" s="40"/>
      <c r="H2978" s="40"/>
      <c r="I2978" s="41">
        <v>10</v>
      </c>
      <c r="J2978" s="41">
        <v>1</v>
      </c>
      <c r="K2978" s="36">
        <v>1</v>
      </c>
      <c r="L2978" s="42">
        <f>(195.01*(1-O3/100))/0.75</f>
        <v>260.01333333333332</v>
      </c>
      <c r="M2978" s="12"/>
      <c r="N2978" s="40">
        <f>L2978*M2978</f>
        <v>0</v>
      </c>
      <c r="O2978" s="43">
        <f>0.434*M2978</f>
        <v>0</v>
      </c>
      <c r="P2978" s="47">
        <f>0.00057*M2978</f>
        <v>0</v>
      </c>
      <c r="Q2978" s="44"/>
      <c r="R2978" s="45" t="s">
        <v>9361</v>
      </c>
      <c r="S2978" s="45" t="s">
        <v>93</v>
      </c>
      <c r="T2978" s="37" t="str">
        <f>HYPERLINK("https://kanzpp.ru/api/getInfo/image/d777a61e-d3bb-11ed-a230-00155d82e902")</f>
        <v>https://kanzpp.ru/api/getInfo/image/d777a61e-d3bb-11ed-a230-00155d82e902</v>
      </c>
      <c r="U2978" s="37"/>
    </row>
    <row r="2979" spans="2:22" ht="22.95" customHeight="1" outlineLevel="4" x14ac:dyDescent="0.2">
      <c r="B2979" s="82" t="s">
        <v>9362</v>
      </c>
      <c r="C2979" s="82"/>
      <c r="D2979" s="82"/>
      <c r="L2979">
        <v>0</v>
      </c>
    </row>
    <row r="2980" spans="2:22" ht="21" customHeight="1" outlineLevel="5" x14ac:dyDescent="0.2">
      <c r="B2980" s="69">
        <v>2222</v>
      </c>
      <c r="C2980" s="6" t="s">
        <v>9363</v>
      </c>
      <c r="D2980" s="6" t="s">
        <v>9364</v>
      </c>
      <c r="E2980" s="7" t="s">
        <v>9365</v>
      </c>
      <c r="F2980" s="13"/>
      <c r="G2980" s="14"/>
      <c r="H2980" s="14"/>
      <c r="I2980" s="15">
        <v>10</v>
      </c>
      <c r="J2980" s="14" t="s">
        <v>144</v>
      </c>
      <c r="K2980" s="5">
        <v>3</v>
      </c>
      <c r="L2980" s="16">
        <v>225.33333333333334</v>
      </c>
      <c r="M2980" s="12"/>
      <c r="N2980" s="14">
        <f>L2980*M2980</f>
        <v>0</v>
      </c>
      <c r="O2980" s="23">
        <f>0.488*M2980</f>
        <v>0</v>
      </c>
      <c r="P2980" s="24">
        <f>0.00064*M2980</f>
        <v>0</v>
      </c>
      <c r="Q2980" s="25"/>
      <c r="R2980" s="26" t="s">
        <v>9366</v>
      </c>
      <c r="S2980" s="26" t="s">
        <v>93</v>
      </c>
      <c r="T2980" s="6" t="str">
        <f>HYPERLINK("https://kanzpp.ru/api/getInfo/image/0ec4924c-1f2c-11ef-a25f-00155d82e908")</f>
        <v>https://kanzpp.ru/api/getInfo/image/0ec4924c-1f2c-11ef-a25f-00155d82e908</v>
      </c>
      <c r="U2980" s="6"/>
      <c r="V2980" s="33" t="s">
        <v>35</v>
      </c>
    </row>
    <row r="2981" spans="2:22" ht="21" customHeight="1" outlineLevel="5" x14ac:dyDescent="0.2">
      <c r="B2981" s="69">
        <v>2223</v>
      </c>
      <c r="C2981" s="6" t="s">
        <v>9367</v>
      </c>
      <c r="D2981" s="6" t="s">
        <v>9368</v>
      </c>
      <c r="E2981" s="7" t="s">
        <v>9369</v>
      </c>
      <c r="F2981" s="13"/>
      <c r="G2981" s="14"/>
      <c r="H2981" s="14"/>
      <c r="I2981" s="15">
        <v>10</v>
      </c>
      <c r="J2981" s="15">
        <v>31</v>
      </c>
      <c r="K2981" s="5">
        <v>3</v>
      </c>
      <c r="L2981" s="16">
        <v>225.33333333333334</v>
      </c>
      <c r="M2981" s="12"/>
      <c r="N2981" s="14">
        <f>L2981*M2981</f>
        <v>0</v>
      </c>
      <c r="O2981" s="23">
        <f>0.488*M2981</f>
        <v>0</v>
      </c>
      <c r="P2981" s="24">
        <f>0.00064*M2981</f>
        <v>0</v>
      </c>
      <c r="Q2981" s="25"/>
      <c r="R2981" s="26" t="s">
        <v>9370</v>
      </c>
      <c r="S2981" s="26" t="s">
        <v>93</v>
      </c>
      <c r="T2981" s="6" t="str">
        <f>HYPERLINK("https://kanzpp.ru/api/getInfo/image/32962665-1f2c-11ef-a25f-00155d82e908")</f>
        <v>https://kanzpp.ru/api/getInfo/image/32962665-1f2c-11ef-a25f-00155d82e908</v>
      </c>
      <c r="U2981" s="6"/>
      <c r="V2981" s="33" t="s">
        <v>35</v>
      </c>
    </row>
    <row r="2982" spans="2:22" ht="22.95" customHeight="1" outlineLevel="4" x14ac:dyDescent="0.2">
      <c r="B2982" s="82" t="s">
        <v>9371</v>
      </c>
      <c r="C2982" s="82"/>
      <c r="D2982" s="82"/>
      <c r="L2982">
        <v>0</v>
      </c>
    </row>
    <row r="2983" spans="2:22" ht="21" customHeight="1" outlineLevel="5" x14ac:dyDescent="0.2">
      <c r="B2983" s="69">
        <v>2224</v>
      </c>
      <c r="C2983" s="6" t="s">
        <v>9372</v>
      </c>
      <c r="D2983" s="6" t="s">
        <v>9373</v>
      </c>
      <c r="E2983" s="7" t="s">
        <v>9374</v>
      </c>
      <c r="F2983" s="13"/>
      <c r="G2983" s="14"/>
      <c r="H2983" s="14"/>
      <c r="I2983" s="15">
        <v>10</v>
      </c>
      <c r="J2983" s="15">
        <v>267</v>
      </c>
      <c r="K2983" s="5">
        <v>3</v>
      </c>
      <c r="L2983" s="16">
        <v>185.33333333333334</v>
      </c>
      <c r="M2983" s="12"/>
      <c r="N2983" s="14">
        <f>L2983*M2983</f>
        <v>0</v>
      </c>
      <c r="O2983" s="23">
        <f>0.617*M2983</f>
        <v>0</v>
      </c>
      <c r="P2983" s="24">
        <f>0.00085*M2983</f>
        <v>0</v>
      </c>
      <c r="Q2983" s="25"/>
      <c r="R2983" s="26" t="s">
        <v>9375</v>
      </c>
      <c r="S2983" s="26" t="s">
        <v>93</v>
      </c>
      <c r="T2983" s="6" t="str">
        <f>HYPERLINK("https://kanzpp.ru/api/getInfo/image/6481ca6c-a5c6-11ec-a211-ac1f6b442185")</f>
        <v>https://kanzpp.ru/api/getInfo/image/6481ca6c-a5c6-11ec-a211-ac1f6b442185</v>
      </c>
      <c r="U2983" s="6"/>
      <c r="V2983" s="33" t="s">
        <v>35</v>
      </c>
    </row>
    <row r="2984" spans="2:22" ht="21" customHeight="1" outlineLevel="5" x14ac:dyDescent="0.2">
      <c r="B2984" s="69">
        <v>2225</v>
      </c>
      <c r="C2984" s="6" t="s">
        <v>9376</v>
      </c>
      <c r="D2984" s="6" t="s">
        <v>9377</v>
      </c>
      <c r="E2984" s="7" t="s">
        <v>9378</v>
      </c>
      <c r="F2984" s="13"/>
      <c r="G2984" s="14"/>
      <c r="H2984" s="14"/>
      <c r="I2984" s="15">
        <v>10</v>
      </c>
      <c r="J2984" s="14" t="s">
        <v>144</v>
      </c>
      <c r="K2984" s="5">
        <v>3</v>
      </c>
      <c r="L2984" s="16">
        <v>172</v>
      </c>
      <c r="M2984" s="12"/>
      <c r="N2984" s="14">
        <f>L2984*M2984</f>
        <v>0</v>
      </c>
      <c r="O2984" s="23">
        <f>0.574*M2984</f>
        <v>0</v>
      </c>
      <c r="P2984" s="24">
        <f>0.00083*M2984</f>
        <v>0</v>
      </c>
      <c r="Q2984" s="25"/>
      <c r="R2984" s="26" t="s">
        <v>9379</v>
      </c>
      <c r="S2984" s="26" t="s">
        <v>93</v>
      </c>
      <c r="T2984" s="6" t="str">
        <f>HYPERLINK("https://kanzpp.ru/api/getInfo/image/9a5bbb73-1f2d-11ef-a25f-00155d82e908")</f>
        <v>https://kanzpp.ru/api/getInfo/image/9a5bbb73-1f2d-11ef-a25f-00155d82e908</v>
      </c>
      <c r="U2984" s="6"/>
      <c r="V2984" s="33" t="s">
        <v>35</v>
      </c>
    </row>
    <row r="2985" spans="2:22" ht="21" customHeight="1" outlineLevel="5" x14ac:dyDescent="0.2">
      <c r="B2985" s="69">
        <v>2226</v>
      </c>
      <c r="C2985" s="6" t="s">
        <v>9380</v>
      </c>
      <c r="D2985" s="6" t="s">
        <v>9381</v>
      </c>
      <c r="E2985" s="7" t="s">
        <v>9382</v>
      </c>
      <c r="F2985" s="13"/>
      <c r="G2985" s="14"/>
      <c r="H2985" s="15">
        <v>10</v>
      </c>
      <c r="I2985" s="14"/>
      <c r="J2985" s="15">
        <v>1</v>
      </c>
      <c r="K2985" s="5">
        <v>1</v>
      </c>
      <c r="L2985" s="16">
        <v>212</v>
      </c>
      <c r="M2985" s="12"/>
      <c r="N2985" s="14">
        <f>L2985*M2985</f>
        <v>0</v>
      </c>
      <c r="O2985" s="28">
        <f>0.57*M2985</f>
        <v>0</v>
      </c>
      <c r="P2985" s="24">
        <f>0.00082*M2985</f>
        <v>0</v>
      </c>
      <c r="Q2985" s="25"/>
      <c r="R2985" s="26"/>
      <c r="S2985" s="26" t="s">
        <v>93</v>
      </c>
      <c r="T2985" s="6"/>
      <c r="U2985" s="6"/>
      <c r="V2985" s="33" t="s">
        <v>35</v>
      </c>
    </row>
    <row r="2986" spans="2:22" ht="22.95" customHeight="1" outlineLevel="4" x14ac:dyDescent="0.2">
      <c r="B2986" s="82" t="s">
        <v>9383</v>
      </c>
      <c r="C2986" s="82"/>
      <c r="D2986" s="82"/>
      <c r="L2986">
        <v>0</v>
      </c>
    </row>
    <row r="2987" spans="2:22" ht="21" customHeight="1" outlineLevel="5" x14ac:dyDescent="0.2">
      <c r="B2987" s="69">
        <v>2227</v>
      </c>
      <c r="C2987" s="6" t="s">
        <v>9384</v>
      </c>
      <c r="D2987" s="6" t="s">
        <v>9385</v>
      </c>
      <c r="E2987" s="7" t="s">
        <v>9386</v>
      </c>
      <c r="F2987" s="13"/>
      <c r="G2987" s="14"/>
      <c r="H2987" s="14"/>
      <c r="I2987" s="15">
        <v>10</v>
      </c>
      <c r="J2987" s="14" t="s">
        <v>144</v>
      </c>
      <c r="K2987" s="5">
        <v>2</v>
      </c>
      <c r="L2987" s="16">
        <v>265.33333333333331</v>
      </c>
      <c r="M2987" s="12"/>
      <c r="N2987" s="14">
        <f>L2987*M2987</f>
        <v>0</v>
      </c>
      <c r="O2987" s="28">
        <f>0.69*M2987</f>
        <v>0</v>
      </c>
      <c r="P2987" s="24">
        <f>0.00093*M2987</f>
        <v>0</v>
      </c>
      <c r="Q2987" s="25"/>
      <c r="R2987" s="26" t="s">
        <v>9387</v>
      </c>
      <c r="S2987" s="26" t="s">
        <v>93</v>
      </c>
      <c r="T2987" s="6" t="str">
        <f>HYPERLINK("https://kanzpp.ru/api/getInfo/image/642f8c00-5117-11ed-a21d-ac1f6b442185")</f>
        <v>https://kanzpp.ru/api/getInfo/image/642f8c00-5117-11ed-a21d-ac1f6b442185</v>
      </c>
      <c r="U2987" s="6"/>
      <c r="V2987" s="33" t="s">
        <v>35</v>
      </c>
    </row>
    <row r="2988" spans="2:22" ht="21" customHeight="1" outlineLevel="5" x14ac:dyDescent="0.2">
      <c r="B2988" s="69">
        <v>2228</v>
      </c>
      <c r="C2988" s="6" t="s">
        <v>9388</v>
      </c>
      <c r="D2988" s="6" t="s">
        <v>9389</v>
      </c>
      <c r="E2988" s="7" t="s">
        <v>9390</v>
      </c>
      <c r="F2988" s="13"/>
      <c r="G2988" s="14"/>
      <c r="H2988" s="14"/>
      <c r="I2988" s="15">
        <v>10</v>
      </c>
      <c r="J2988" s="14" t="s">
        <v>144</v>
      </c>
      <c r="K2988" s="5">
        <v>2</v>
      </c>
      <c r="L2988" s="16">
        <v>265.33333333333331</v>
      </c>
      <c r="M2988" s="12"/>
      <c r="N2988" s="14">
        <f>L2988*M2988</f>
        <v>0</v>
      </c>
      <c r="O2988" s="23">
        <f>0.694*M2988</f>
        <v>0</v>
      </c>
      <c r="P2988" s="24">
        <f>0.00086*M2988</f>
        <v>0</v>
      </c>
      <c r="Q2988" s="25"/>
      <c r="R2988" s="26" t="s">
        <v>9391</v>
      </c>
      <c r="S2988" s="26" t="s">
        <v>93</v>
      </c>
      <c r="T2988" s="6" t="str">
        <f>HYPERLINK("https://kanzpp.ru/api/getInfo/image/1f2a184f-5117-11ed-a21d-ac1f6b442185")</f>
        <v>https://kanzpp.ru/api/getInfo/image/1f2a184f-5117-11ed-a21d-ac1f6b442185</v>
      </c>
      <c r="U2988" s="6"/>
      <c r="V2988" s="33" t="s">
        <v>35</v>
      </c>
    </row>
    <row r="2989" spans="2:22" ht="22.95" customHeight="1" outlineLevel="4" x14ac:dyDescent="0.2">
      <c r="B2989" s="82" t="s">
        <v>9392</v>
      </c>
      <c r="C2989" s="82"/>
      <c r="D2989" s="82"/>
      <c r="L2989">
        <v>0</v>
      </c>
    </row>
    <row r="2990" spans="2:22" ht="21" customHeight="1" outlineLevel="5" x14ac:dyDescent="0.2">
      <c r="B2990" s="69">
        <v>2229</v>
      </c>
      <c r="C2990" s="6" t="s">
        <v>9393</v>
      </c>
      <c r="D2990" s="6" t="s">
        <v>9394</v>
      </c>
      <c r="E2990" s="7" t="s">
        <v>9395</v>
      </c>
      <c r="F2990" s="13"/>
      <c r="G2990" s="14"/>
      <c r="H2990" s="14"/>
      <c r="I2990" s="15">
        <v>10</v>
      </c>
      <c r="J2990" s="14" t="s">
        <v>144</v>
      </c>
      <c r="K2990" s="5">
        <v>1</v>
      </c>
      <c r="L2990" s="16">
        <v>332</v>
      </c>
      <c r="M2990" s="12"/>
      <c r="N2990" s="14">
        <f>L2990*M2990</f>
        <v>0</v>
      </c>
      <c r="O2990" s="23">
        <f>0.819*M2990</f>
        <v>0</v>
      </c>
      <c r="P2990" s="24">
        <f>0.00104*M2990</f>
        <v>0</v>
      </c>
      <c r="Q2990" s="25"/>
      <c r="R2990" s="26" t="s">
        <v>9396</v>
      </c>
      <c r="S2990" s="26" t="s">
        <v>93</v>
      </c>
      <c r="T2990" s="6" t="str">
        <f>HYPERLINK("https://kanzpp.ru/api/getInfo/image/bb7c3804-f248-11ee-a25b-00155d82e908")</f>
        <v>https://kanzpp.ru/api/getInfo/image/bb7c3804-f248-11ee-a25b-00155d82e908</v>
      </c>
      <c r="U2990" s="6"/>
      <c r="V2990" s="33" t="s">
        <v>35</v>
      </c>
    </row>
    <row r="2991" spans="2:22" ht="21" customHeight="1" outlineLevel="5" x14ac:dyDescent="0.2">
      <c r="B2991" s="69">
        <v>2230</v>
      </c>
      <c r="C2991" s="6" t="s">
        <v>9397</v>
      </c>
      <c r="D2991" s="6" t="s">
        <v>9398</v>
      </c>
      <c r="E2991" s="7" t="s">
        <v>9399</v>
      </c>
      <c r="F2991" s="13"/>
      <c r="G2991" s="14"/>
      <c r="H2991" s="14"/>
      <c r="I2991" s="15">
        <v>10</v>
      </c>
      <c r="J2991" s="14" t="s">
        <v>144</v>
      </c>
      <c r="K2991" s="5">
        <v>1</v>
      </c>
      <c r="L2991" s="16">
        <v>332</v>
      </c>
      <c r="M2991" s="12"/>
      <c r="N2991" s="14">
        <f>L2991*M2991</f>
        <v>0</v>
      </c>
      <c r="O2991" s="28">
        <f>0.82*M2991</f>
        <v>0</v>
      </c>
      <c r="P2991" s="24">
        <f>0.00142*M2991</f>
        <v>0</v>
      </c>
      <c r="Q2991" s="25"/>
      <c r="R2991" s="26" t="s">
        <v>9400</v>
      </c>
      <c r="S2991" s="26" t="s">
        <v>93</v>
      </c>
      <c r="T2991" s="6" t="str">
        <f>HYPERLINK("https://kanzpp.ru/api/getInfo/image/274be75a-f249-11ee-a25b-00155d82e908")</f>
        <v>https://kanzpp.ru/api/getInfo/image/274be75a-f249-11ee-a25b-00155d82e908</v>
      </c>
      <c r="U2991" s="6"/>
      <c r="V2991" s="33" t="s">
        <v>35</v>
      </c>
    </row>
    <row r="2992" spans="2:22" ht="21" customHeight="1" outlineLevel="5" x14ac:dyDescent="0.2">
      <c r="B2992" s="69">
        <v>2231</v>
      </c>
      <c r="C2992" s="6" t="s">
        <v>9401</v>
      </c>
      <c r="D2992" s="6" t="s">
        <v>9402</v>
      </c>
      <c r="E2992" s="7" t="s">
        <v>9399</v>
      </c>
      <c r="F2992" s="13"/>
      <c r="G2992" s="14"/>
      <c r="H2992" s="15">
        <v>10</v>
      </c>
      <c r="I2992" s="14"/>
      <c r="J2992" s="15">
        <v>104</v>
      </c>
      <c r="K2992" s="5">
        <v>2</v>
      </c>
      <c r="L2992" s="16">
        <v>332</v>
      </c>
      <c r="M2992" s="12"/>
      <c r="N2992" s="14">
        <f>L2992*M2992</f>
        <v>0</v>
      </c>
      <c r="O2992" s="23">
        <f>0.822*M2992</f>
        <v>0</v>
      </c>
      <c r="P2992" s="24">
        <f>0.00105*M2992</f>
        <v>0</v>
      </c>
      <c r="Q2992" s="25"/>
      <c r="R2992" s="26"/>
      <c r="S2992" s="26" t="s">
        <v>93</v>
      </c>
      <c r="T2992" s="6" t="str">
        <f>HYPERLINK("https://kanzpp.ru/api/getInfo/image/586cfb8a-021d-11ef-a25d-00155d82e908")</f>
        <v>https://kanzpp.ru/api/getInfo/image/586cfb8a-021d-11ef-a25d-00155d82e908</v>
      </c>
      <c r="U2992" s="6" t="s">
        <v>9400</v>
      </c>
      <c r="V2992" s="33" t="s">
        <v>35</v>
      </c>
    </row>
    <row r="2993" spans="2:22" ht="21" customHeight="1" outlineLevel="5" x14ac:dyDescent="0.2">
      <c r="B2993" s="69">
        <v>2232</v>
      </c>
      <c r="C2993" s="6" t="s">
        <v>9403</v>
      </c>
      <c r="D2993" s="6" t="s">
        <v>9404</v>
      </c>
      <c r="E2993" s="7" t="s">
        <v>9405</v>
      </c>
      <c r="F2993" s="13"/>
      <c r="G2993" s="14"/>
      <c r="H2993" s="14"/>
      <c r="I2993" s="15">
        <v>10</v>
      </c>
      <c r="J2993" s="14" t="s">
        <v>144</v>
      </c>
      <c r="K2993" s="5">
        <v>1</v>
      </c>
      <c r="L2993" s="16">
        <v>332</v>
      </c>
      <c r="M2993" s="12"/>
      <c r="N2993" s="14">
        <f>L2993*M2993</f>
        <v>0</v>
      </c>
      <c r="O2993" s="23">
        <f>0.817*M2993</f>
        <v>0</v>
      </c>
      <c r="P2993" s="24">
        <f>0.00112*M2993</f>
        <v>0</v>
      </c>
      <c r="Q2993" s="25"/>
      <c r="R2993" s="26" t="s">
        <v>9406</v>
      </c>
      <c r="S2993" s="26" t="s">
        <v>93</v>
      </c>
      <c r="T2993" s="6" t="str">
        <f>HYPERLINK("https://kanzpp.ru/api/getInfo/image/de405198-5119-11ed-a21d-ac1f6b442185")</f>
        <v>https://kanzpp.ru/api/getInfo/image/de405198-5119-11ed-a21d-ac1f6b442185</v>
      </c>
      <c r="U2993" s="6"/>
      <c r="V2993" s="33" t="s">
        <v>35</v>
      </c>
    </row>
    <row r="2994" spans="2:22" ht="21" customHeight="1" outlineLevel="5" x14ac:dyDescent="0.2">
      <c r="B2994" s="69">
        <v>2233</v>
      </c>
      <c r="C2994" s="6" t="s">
        <v>9407</v>
      </c>
      <c r="D2994" s="6" t="s">
        <v>9408</v>
      </c>
      <c r="E2994" s="7" t="s">
        <v>9409</v>
      </c>
      <c r="F2994" s="13"/>
      <c r="G2994" s="14"/>
      <c r="H2994" s="14"/>
      <c r="I2994" s="15">
        <v>10</v>
      </c>
      <c r="J2994" s="14" t="s">
        <v>144</v>
      </c>
      <c r="K2994" s="5">
        <v>1</v>
      </c>
      <c r="L2994" s="16">
        <v>332</v>
      </c>
      <c r="M2994" s="12"/>
      <c r="N2994" s="14">
        <f>L2994*M2994</f>
        <v>0</v>
      </c>
      <c r="O2994" s="23">
        <f>0.821*M2994</f>
        <v>0</v>
      </c>
      <c r="P2994" s="24">
        <f>0.00128*M2994</f>
        <v>0</v>
      </c>
      <c r="Q2994" s="25"/>
      <c r="R2994" s="26" t="s">
        <v>9410</v>
      </c>
      <c r="S2994" s="26" t="s">
        <v>93</v>
      </c>
      <c r="T2994" s="6" t="str">
        <f>HYPERLINK("https://kanzpp.ru/api/getInfo/image/e67f8d65-5117-11ed-a21d-ac1f6b442185")</f>
        <v>https://kanzpp.ru/api/getInfo/image/e67f8d65-5117-11ed-a21d-ac1f6b442185</v>
      </c>
      <c r="U2994" s="6"/>
      <c r="V2994" s="33" t="s">
        <v>35</v>
      </c>
    </row>
    <row r="2995" spans="2:22" ht="22.95" customHeight="1" outlineLevel="3" x14ac:dyDescent="0.2">
      <c r="B2995" s="81" t="s">
        <v>9411</v>
      </c>
      <c r="C2995" s="81"/>
      <c r="D2995" s="81"/>
      <c r="L2995">
        <v>0</v>
      </c>
    </row>
    <row r="2996" spans="2:22" ht="22.95" customHeight="1" outlineLevel="4" x14ac:dyDescent="0.2">
      <c r="B2996" s="82" t="s">
        <v>9412</v>
      </c>
      <c r="C2996" s="82"/>
      <c r="D2996" s="82"/>
      <c r="L2996">
        <v>0</v>
      </c>
    </row>
    <row r="2997" spans="2:22" ht="22.95" customHeight="1" outlineLevel="5" x14ac:dyDescent="0.2">
      <c r="B2997" s="83" t="s">
        <v>9413</v>
      </c>
      <c r="C2997" s="83"/>
      <c r="D2997" s="83"/>
      <c r="L2997">
        <v>0</v>
      </c>
    </row>
    <row r="2998" spans="2:22" ht="21" customHeight="1" outlineLevel="6" x14ac:dyDescent="0.2">
      <c r="B2998" s="69">
        <v>2234</v>
      </c>
      <c r="C2998" s="6" t="s">
        <v>9414</v>
      </c>
      <c r="D2998" s="6" t="s">
        <v>9415</v>
      </c>
      <c r="E2998" s="7" t="s">
        <v>9416</v>
      </c>
      <c r="F2998" s="13"/>
      <c r="G2998" s="14"/>
      <c r="H2998" s="14"/>
      <c r="I2998" s="15">
        <v>20</v>
      </c>
      <c r="J2998" s="15">
        <v>650</v>
      </c>
      <c r="K2998" s="5">
        <v>5</v>
      </c>
      <c r="L2998" s="16">
        <v>78.666666666666671</v>
      </c>
      <c r="M2998" s="12"/>
      <c r="N2998" s="14">
        <f>L2998*M2998</f>
        <v>0</v>
      </c>
      <c r="O2998" s="23">
        <f>0.285*M2998</f>
        <v>0</v>
      </c>
      <c r="P2998" s="24">
        <f>0.00037*M2998</f>
        <v>0</v>
      </c>
      <c r="Q2998" s="25"/>
      <c r="R2998" s="26" t="s">
        <v>9417</v>
      </c>
      <c r="S2998" s="26" t="s">
        <v>93</v>
      </c>
      <c r="T2998" s="6" t="str">
        <f>HYPERLINK("https://kanzpp.ru/api/getInfo/image/312b4993-a5cb-11ec-a211-ac1f6b442185")</f>
        <v>https://kanzpp.ru/api/getInfo/image/312b4993-a5cb-11ec-a211-ac1f6b442185</v>
      </c>
      <c r="U2998" s="6"/>
      <c r="V2998" s="33" t="s">
        <v>35</v>
      </c>
    </row>
    <row r="2999" spans="2:22" ht="21" customHeight="1" outlineLevel="6" x14ac:dyDescent="0.2">
      <c r="B2999" s="69">
        <v>2235</v>
      </c>
      <c r="C2999" s="6" t="s">
        <v>9418</v>
      </c>
      <c r="D2999" s="6" t="s">
        <v>9419</v>
      </c>
      <c r="E2999" s="7" t="s">
        <v>9420</v>
      </c>
      <c r="F2999" s="13"/>
      <c r="G2999" s="14"/>
      <c r="H2999" s="14"/>
      <c r="I2999" s="15">
        <v>20</v>
      </c>
      <c r="J2999" s="17">
        <v>1729</v>
      </c>
      <c r="K2999" s="5">
        <v>5</v>
      </c>
      <c r="L2999" s="16">
        <v>65.333333333333329</v>
      </c>
      <c r="M2999" s="12"/>
      <c r="N2999" s="14">
        <f>L2999*M2999</f>
        <v>0</v>
      </c>
      <c r="O2999" s="23">
        <f>0.263*M2999</f>
        <v>0</v>
      </c>
      <c r="P2999" s="24">
        <f>0.00035*M2999</f>
        <v>0</v>
      </c>
      <c r="Q2999" s="25"/>
      <c r="R2999" s="26" t="s">
        <v>9421</v>
      </c>
      <c r="S2999" s="26" t="s">
        <v>93</v>
      </c>
      <c r="T2999" s="6" t="str">
        <f>HYPERLINK("https://kanzpp.ru/api/getInfo/image/2db78bb8-06b6-11ee-a23b-00155d82e902")</f>
        <v>https://kanzpp.ru/api/getInfo/image/2db78bb8-06b6-11ee-a23b-00155d82e902</v>
      </c>
      <c r="U2999" s="6"/>
      <c r="V2999" s="33" t="s">
        <v>35</v>
      </c>
    </row>
    <row r="3000" spans="2:22" ht="22.95" customHeight="1" outlineLevel="5" x14ac:dyDescent="0.2">
      <c r="B3000" s="83" t="s">
        <v>9422</v>
      </c>
      <c r="C3000" s="83"/>
      <c r="D3000" s="83"/>
      <c r="L3000">
        <v>0</v>
      </c>
    </row>
    <row r="3001" spans="2:22" ht="21" customHeight="1" outlineLevel="6" x14ac:dyDescent="0.2">
      <c r="B3001" s="69">
        <v>2236</v>
      </c>
      <c r="C3001" s="6" t="s">
        <v>9423</v>
      </c>
      <c r="D3001" s="6" t="s">
        <v>9424</v>
      </c>
      <c r="E3001" s="7" t="s">
        <v>9425</v>
      </c>
      <c r="F3001" s="13"/>
      <c r="G3001" s="14"/>
      <c r="H3001" s="14"/>
      <c r="I3001" s="15">
        <v>20</v>
      </c>
      <c r="J3001" s="14" t="s">
        <v>144</v>
      </c>
      <c r="K3001" s="5">
        <v>5</v>
      </c>
      <c r="L3001" s="16">
        <v>65.333333333333329</v>
      </c>
      <c r="M3001" s="12"/>
      <c r="N3001" s="14">
        <f>L3001*M3001</f>
        <v>0</v>
      </c>
      <c r="O3001" s="23">
        <f>0.269*M3001</f>
        <v>0</v>
      </c>
      <c r="P3001" s="24">
        <f>0.00037*M3001</f>
        <v>0</v>
      </c>
      <c r="Q3001" s="25"/>
      <c r="R3001" s="26" t="s">
        <v>9426</v>
      </c>
      <c r="S3001" s="26" t="s">
        <v>93</v>
      </c>
      <c r="T3001" s="6" t="str">
        <f>HYPERLINK("https://kanzpp.ru/api/getInfo/image/14011350-77d6-11e9-a226-ac1f6b442184")</f>
        <v>https://kanzpp.ru/api/getInfo/image/14011350-77d6-11e9-a226-ac1f6b442184</v>
      </c>
      <c r="U3001" s="6"/>
      <c r="V3001" s="33" t="s">
        <v>35</v>
      </c>
    </row>
    <row r="3002" spans="2:22" ht="22.95" customHeight="1" outlineLevel="3" x14ac:dyDescent="0.2">
      <c r="B3002" s="81" t="s">
        <v>9427</v>
      </c>
      <c r="C3002" s="81"/>
      <c r="D3002" s="81"/>
      <c r="L3002">
        <v>0</v>
      </c>
    </row>
    <row r="3003" spans="2:22" ht="22.95" customHeight="1" outlineLevel="4" x14ac:dyDescent="0.2">
      <c r="B3003" s="82" t="s">
        <v>9428</v>
      </c>
      <c r="C3003" s="82"/>
      <c r="D3003" s="82"/>
      <c r="L3003">
        <v>0</v>
      </c>
    </row>
    <row r="3004" spans="2:22" ht="22.95" customHeight="1" outlineLevel="5" x14ac:dyDescent="0.2">
      <c r="B3004" s="83" t="s">
        <v>9429</v>
      </c>
      <c r="C3004" s="83"/>
      <c r="D3004" s="83"/>
      <c r="L3004">
        <v>0</v>
      </c>
    </row>
    <row r="3005" spans="2:22" ht="21" customHeight="1" outlineLevel="6" x14ac:dyDescent="0.2">
      <c r="B3005" s="69">
        <v>2237</v>
      </c>
      <c r="C3005" s="6" t="s">
        <v>9430</v>
      </c>
      <c r="D3005" s="6" t="s">
        <v>9431</v>
      </c>
      <c r="E3005" s="7" t="s">
        <v>9432</v>
      </c>
      <c r="F3005" s="13"/>
      <c r="G3005" s="14"/>
      <c r="H3005" s="14"/>
      <c r="I3005" s="15">
        <v>20</v>
      </c>
      <c r="J3005" s="15">
        <v>128</v>
      </c>
      <c r="K3005" s="5">
        <v>10</v>
      </c>
      <c r="L3005" s="16">
        <v>53.199999999999996</v>
      </c>
      <c r="M3005" s="12"/>
      <c r="N3005" s="14">
        <f>L3005*M3005</f>
        <v>0</v>
      </c>
      <c r="O3005" s="23">
        <f>0.103*M3005</f>
        <v>0</v>
      </c>
      <c r="P3005" s="24">
        <f>0.00014*M3005</f>
        <v>0</v>
      </c>
      <c r="Q3005" s="25"/>
      <c r="R3005" s="26" t="s">
        <v>9433</v>
      </c>
      <c r="S3005" s="26" t="s">
        <v>93</v>
      </c>
      <c r="T3005" s="6" t="str">
        <f>HYPERLINK("https://kanzpp.ru/api/getInfo/image/f11df270-1f2c-11ef-a25f-00155d82e908")</f>
        <v>https://kanzpp.ru/api/getInfo/image/f11df270-1f2c-11ef-a25f-00155d82e908</v>
      </c>
      <c r="U3005" s="6"/>
      <c r="V3005" s="33" t="s">
        <v>35</v>
      </c>
    </row>
    <row r="3006" spans="2:22" ht="21" customHeight="1" outlineLevel="6" x14ac:dyDescent="0.2">
      <c r="B3006" s="69">
        <v>2238</v>
      </c>
      <c r="C3006" s="6" t="s">
        <v>9434</v>
      </c>
      <c r="D3006" s="6" t="s">
        <v>9435</v>
      </c>
      <c r="E3006" s="7" t="s">
        <v>9436</v>
      </c>
      <c r="F3006" s="13"/>
      <c r="G3006" s="14"/>
      <c r="H3006" s="14"/>
      <c r="I3006" s="15">
        <v>20</v>
      </c>
      <c r="J3006" s="15">
        <v>424</v>
      </c>
      <c r="K3006" s="5">
        <v>10</v>
      </c>
      <c r="L3006" s="16">
        <v>38.666666666666664</v>
      </c>
      <c r="M3006" s="12"/>
      <c r="N3006" s="14">
        <f>L3006*M3006</f>
        <v>0</v>
      </c>
      <c r="O3006" s="23">
        <f>0.118*M3006</f>
        <v>0</v>
      </c>
      <c r="P3006" s="24">
        <f>0.00014*M3006</f>
        <v>0</v>
      </c>
      <c r="Q3006" s="25"/>
      <c r="R3006" s="26" t="s">
        <v>9437</v>
      </c>
      <c r="S3006" s="26" t="s">
        <v>93</v>
      </c>
      <c r="T3006" s="6" t="str">
        <f>HYPERLINK("https://kanzpp.ru/api/getInfo/image/b21c7cb9-d44a-11ed-a231-00155d82e902")</f>
        <v>https://kanzpp.ru/api/getInfo/image/b21c7cb9-d44a-11ed-a231-00155d82e902</v>
      </c>
      <c r="U3006" s="6"/>
      <c r="V3006" s="33" t="s">
        <v>35</v>
      </c>
    </row>
    <row r="3007" spans="2:22" ht="21" customHeight="1" outlineLevel="6" x14ac:dyDescent="0.2">
      <c r="B3007" s="69">
        <v>2239</v>
      </c>
      <c r="C3007" s="6" t="s">
        <v>9438</v>
      </c>
      <c r="D3007" s="6" t="s">
        <v>9439</v>
      </c>
      <c r="E3007" s="7" t="s">
        <v>9440</v>
      </c>
      <c r="F3007" s="13"/>
      <c r="G3007" s="14"/>
      <c r="H3007" s="14"/>
      <c r="I3007" s="15">
        <v>20</v>
      </c>
      <c r="J3007" s="15">
        <v>624</v>
      </c>
      <c r="K3007" s="5">
        <v>10</v>
      </c>
      <c r="L3007" s="16">
        <v>38.666666666666664</v>
      </c>
      <c r="M3007" s="12"/>
      <c r="N3007" s="14">
        <f>L3007*M3007</f>
        <v>0</v>
      </c>
      <c r="O3007" s="23">
        <f>0.117*M3007</f>
        <v>0</v>
      </c>
      <c r="P3007" s="24">
        <f>0.00015*M3007</f>
        <v>0</v>
      </c>
      <c r="Q3007" s="25"/>
      <c r="R3007" s="26" t="s">
        <v>9441</v>
      </c>
      <c r="S3007" s="26" t="s">
        <v>93</v>
      </c>
      <c r="T3007" s="6" t="str">
        <f>HYPERLINK("https://kanzpp.ru/api/getInfo/image/63b7ead2-d448-11ed-a231-00155d82e902")</f>
        <v>https://kanzpp.ru/api/getInfo/image/63b7ead2-d448-11ed-a231-00155d82e902</v>
      </c>
      <c r="U3007" s="6"/>
      <c r="V3007" s="33" t="s">
        <v>35</v>
      </c>
    </row>
    <row r="3008" spans="2:22" ht="22.95" customHeight="1" outlineLevel="2" x14ac:dyDescent="0.2">
      <c r="B3008" s="80" t="s">
        <v>9442</v>
      </c>
      <c r="C3008" s="80"/>
      <c r="D3008" s="80"/>
      <c r="L3008">
        <v>0</v>
      </c>
    </row>
    <row r="3009" spans="2:22" ht="22.95" customHeight="1" outlineLevel="3" x14ac:dyDescent="0.2">
      <c r="B3009" s="81" t="s">
        <v>9443</v>
      </c>
      <c r="C3009" s="81"/>
      <c r="D3009" s="81"/>
      <c r="L3009">
        <v>0</v>
      </c>
    </row>
    <row r="3010" spans="2:22" ht="21" customHeight="1" outlineLevel="4" x14ac:dyDescent="0.2">
      <c r="B3010" s="69">
        <v>2240</v>
      </c>
      <c r="C3010" s="6" t="s">
        <v>9444</v>
      </c>
      <c r="D3010" s="6" t="s">
        <v>9445</v>
      </c>
      <c r="E3010" s="7" t="s">
        <v>9446</v>
      </c>
      <c r="F3010" s="13"/>
      <c r="G3010" s="14"/>
      <c r="H3010" s="15">
        <v>10</v>
      </c>
      <c r="I3010" s="14"/>
      <c r="J3010" s="15">
        <v>753</v>
      </c>
      <c r="K3010" s="5">
        <v>2</v>
      </c>
      <c r="L3010" s="16">
        <v>38.666666666666664</v>
      </c>
      <c r="M3010" s="12"/>
      <c r="N3010" s="14">
        <f t="shared" ref="N3010:N3018" si="137">L3010*M3010</f>
        <v>0</v>
      </c>
      <c r="O3010" s="23">
        <f>0.285*M3010</f>
        <v>0</v>
      </c>
      <c r="P3010" s="31">
        <f>0.0004*M3010</f>
        <v>0</v>
      </c>
      <c r="Q3010" s="25"/>
      <c r="R3010" s="26"/>
      <c r="S3010" s="26" t="s">
        <v>93</v>
      </c>
      <c r="T3010" s="6" t="str">
        <f>HYPERLINK("https://kanzpp.ru/api/getInfo/image/17748106-1651-11ee-a23b-00155d82e902")</f>
        <v>https://kanzpp.ru/api/getInfo/image/17748106-1651-11ee-a23b-00155d82e902</v>
      </c>
      <c r="U3010" s="6" t="s">
        <v>9447</v>
      </c>
      <c r="V3010" s="33" t="s">
        <v>35</v>
      </c>
    </row>
    <row r="3011" spans="2:22" ht="21" customHeight="1" outlineLevel="4" x14ac:dyDescent="0.2">
      <c r="B3011" s="69">
        <v>2241</v>
      </c>
      <c r="C3011" s="6" t="s">
        <v>9448</v>
      </c>
      <c r="D3011" s="6" t="s">
        <v>9449</v>
      </c>
      <c r="E3011" s="7" t="s">
        <v>9450</v>
      </c>
      <c r="F3011" s="13"/>
      <c r="G3011" s="14"/>
      <c r="H3011" s="15">
        <v>10</v>
      </c>
      <c r="I3011" s="14"/>
      <c r="J3011" s="15">
        <v>61</v>
      </c>
      <c r="K3011" s="5">
        <v>2</v>
      </c>
      <c r="L3011" s="16">
        <v>38.666666666666664</v>
      </c>
      <c r="M3011" s="12"/>
      <c r="N3011" s="14">
        <f t="shared" si="137"/>
        <v>0</v>
      </c>
      <c r="O3011" s="23">
        <f>0.294*M3011</f>
        <v>0</v>
      </c>
      <c r="P3011" s="31">
        <f>0.0004*M3011</f>
        <v>0</v>
      </c>
      <c r="Q3011" s="25"/>
      <c r="R3011" s="26"/>
      <c r="S3011" s="26" t="s">
        <v>93</v>
      </c>
      <c r="T3011" s="6" t="str">
        <f>HYPERLINK("https://kanzpp.ru/api/getInfo/image/d6822f0c-1651-11ee-a23b-00155d82e902")</f>
        <v>https://kanzpp.ru/api/getInfo/image/d6822f0c-1651-11ee-a23b-00155d82e902</v>
      </c>
      <c r="U3011" s="6" t="s">
        <v>9451</v>
      </c>
      <c r="V3011" s="33" t="s">
        <v>35</v>
      </c>
    </row>
    <row r="3012" spans="2:22" ht="21" customHeight="1" outlineLevel="4" x14ac:dyDescent="0.2">
      <c r="B3012" s="69">
        <v>2242</v>
      </c>
      <c r="C3012" s="6" t="s">
        <v>9452</v>
      </c>
      <c r="D3012" s="6" t="s">
        <v>9453</v>
      </c>
      <c r="E3012" s="7" t="s">
        <v>9454</v>
      </c>
      <c r="F3012" s="13"/>
      <c r="G3012" s="14"/>
      <c r="H3012" s="15">
        <v>10</v>
      </c>
      <c r="I3012" s="14"/>
      <c r="J3012" s="15">
        <v>588</v>
      </c>
      <c r="K3012" s="5">
        <v>2</v>
      </c>
      <c r="L3012" s="16">
        <v>38.666666666666664</v>
      </c>
      <c r="M3012" s="12"/>
      <c r="N3012" s="14">
        <f t="shared" si="137"/>
        <v>0</v>
      </c>
      <c r="O3012" s="23">
        <f>0.291*M3012</f>
        <v>0</v>
      </c>
      <c r="P3012" s="24">
        <f>0.00035*M3012</f>
        <v>0</v>
      </c>
      <c r="Q3012" s="25"/>
      <c r="R3012" s="26"/>
      <c r="S3012" s="26" t="s">
        <v>93</v>
      </c>
      <c r="T3012" s="6" t="str">
        <f>HYPERLINK("https://kanzpp.ru/api/getInfo/image/3657a935-1652-11ee-a23b-00155d82e902")</f>
        <v>https://kanzpp.ru/api/getInfo/image/3657a935-1652-11ee-a23b-00155d82e902</v>
      </c>
      <c r="U3012" s="6" t="s">
        <v>9455</v>
      </c>
      <c r="V3012" s="33" t="s">
        <v>35</v>
      </c>
    </row>
    <row r="3013" spans="2:22" ht="21" customHeight="1" outlineLevel="4" x14ac:dyDescent="0.2">
      <c r="B3013" s="69">
        <v>2243</v>
      </c>
      <c r="C3013" s="6" t="s">
        <v>9456</v>
      </c>
      <c r="D3013" s="6" t="s">
        <v>9457</v>
      </c>
      <c r="E3013" s="7" t="s">
        <v>9458</v>
      </c>
      <c r="F3013" s="13"/>
      <c r="G3013" s="14"/>
      <c r="H3013" s="15">
        <v>10</v>
      </c>
      <c r="I3013" s="14"/>
      <c r="J3013" s="15">
        <v>27</v>
      </c>
      <c r="K3013" s="5">
        <v>2</v>
      </c>
      <c r="L3013" s="16">
        <v>38.666666666666664</v>
      </c>
      <c r="M3013" s="12"/>
      <c r="N3013" s="14">
        <f t="shared" si="137"/>
        <v>0</v>
      </c>
      <c r="O3013" s="28">
        <f>0.29*M3013</f>
        <v>0</v>
      </c>
      <c r="P3013" s="31">
        <f>0.0004*M3013</f>
        <v>0</v>
      </c>
      <c r="Q3013" s="25"/>
      <c r="R3013" s="26"/>
      <c r="S3013" s="26" t="s">
        <v>93</v>
      </c>
      <c r="T3013" s="6" t="str">
        <f>HYPERLINK("https://kanzpp.ru/api/getInfo/image/9dbd0f3e-1652-11ee-a23b-00155d82e902")</f>
        <v>https://kanzpp.ru/api/getInfo/image/9dbd0f3e-1652-11ee-a23b-00155d82e902</v>
      </c>
      <c r="U3013" s="6" t="s">
        <v>9459</v>
      </c>
      <c r="V3013" s="33" t="s">
        <v>35</v>
      </c>
    </row>
    <row r="3014" spans="2:22" ht="21" customHeight="1" outlineLevel="4" x14ac:dyDescent="0.2">
      <c r="B3014" s="69">
        <v>2244</v>
      </c>
      <c r="C3014" s="6" t="s">
        <v>9460</v>
      </c>
      <c r="D3014" s="6" t="s">
        <v>9461</v>
      </c>
      <c r="E3014" s="7" t="s">
        <v>9462</v>
      </c>
      <c r="F3014" s="13"/>
      <c r="G3014" s="14"/>
      <c r="H3014" s="15">
        <v>20</v>
      </c>
      <c r="I3014" s="15">
        <v>4</v>
      </c>
      <c r="J3014" s="15">
        <v>4</v>
      </c>
      <c r="K3014" s="5">
        <v>4</v>
      </c>
      <c r="L3014" s="16">
        <v>38.666666666666664</v>
      </c>
      <c r="M3014" s="12"/>
      <c r="N3014" s="14">
        <f t="shared" si="137"/>
        <v>0</v>
      </c>
      <c r="O3014" s="23">
        <f>6.032*M3014</f>
        <v>0</v>
      </c>
      <c r="P3014" s="24">
        <f>0.01656*M3014</f>
        <v>0</v>
      </c>
      <c r="Q3014" s="25"/>
      <c r="R3014" s="26"/>
      <c r="S3014" s="26" t="s">
        <v>93</v>
      </c>
      <c r="T3014" s="6" t="str">
        <f>HYPERLINK("https://kanzpp.ru/api/getInfo/image/8de6c840-7bff-11ef-a265-00155d82e908")</f>
        <v>https://kanzpp.ru/api/getInfo/image/8de6c840-7bff-11ef-a265-00155d82e908</v>
      </c>
      <c r="U3014" s="6" t="s">
        <v>9447</v>
      </c>
      <c r="V3014" s="33" t="s">
        <v>35</v>
      </c>
    </row>
    <row r="3015" spans="2:22" ht="21" customHeight="1" outlineLevel="4" x14ac:dyDescent="0.2">
      <c r="B3015" s="69">
        <v>2245</v>
      </c>
      <c r="C3015" s="6" t="s">
        <v>9463</v>
      </c>
      <c r="D3015" s="6" t="s">
        <v>9464</v>
      </c>
      <c r="E3015" s="7" t="s">
        <v>9446</v>
      </c>
      <c r="F3015" s="13"/>
      <c r="G3015" s="14"/>
      <c r="H3015" s="14"/>
      <c r="I3015" s="15">
        <v>10</v>
      </c>
      <c r="J3015" s="15">
        <v>549</v>
      </c>
      <c r="K3015" s="5">
        <v>2</v>
      </c>
      <c r="L3015" s="16">
        <v>38.666666666666664</v>
      </c>
      <c r="M3015" s="12"/>
      <c r="N3015" s="14">
        <f t="shared" si="137"/>
        <v>0</v>
      </c>
      <c r="O3015" s="23">
        <f>0.285*M3015</f>
        <v>0</v>
      </c>
      <c r="P3015" s="31">
        <f>0.0004*M3015</f>
        <v>0</v>
      </c>
      <c r="Q3015" s="25"/>
      <c r="R3015" s="26" t="s">
        <v>9447</v>
      </c>
      <c r="S3015" s="26" t="s">
        <v>93</v>
      </c>
      <c r="T3015" s="6" t="str">
        <f>HYPERLINK("https://kanzpp.ru/api/getInfo/image/58d7990e-8201-11ed-a22a-00155d82e902")</f>
        <v>https://kanzpp.ru/api/getInfo/image/58d7990e-8201-11ed-a22a-00155d82e902</v>
      </c>
      <c r="U3015" s="6"/>
      <c r="V3015" s="33" t="s">
        <v>35</v>
      </c>
    </row>
    <row r="3016" spans="2:22" ht="21" customHeight="1" outlineLevel="4" x14ac:dyDescent="0.2">
      <c r="B3016" s="69">
        <v>2246</v>
      </c>
      <c r="C3016" s="6" t="s">
        <v>9465</v>
      </c>
      <c r="D3016" s="6" t="s">
        <v>9466</v>
      </c>
      <c r="E3016" s="7" t="s">
        <v>9450</v>
      </c>
      <c r="F3016" s="13"/>
      <c r="G3016" s="14"/>
      <c r="H3016" s="14"/>
      <c r="I3016" s="15">
        <v>10</v>
      </c>
      <c r="J3016" s="14" t="s">
        <v>144</v>
      </c>
      <c r="K3016" s="5">
        <v>2</v>
      </c>
      <c r="L3016" s="16">
        <v>38.666666666666664</v>
      </c>
      <c r="M3016" s="12"/>
      <c r="N3016" s="14">
        <f t="shared" si="137"/>
        <v>0</v>
      </c>
      <c r="O3016" s="23">
        <f>0.294*M3016</f>
        <v>0</v>
      </c>
      <c r="P3016" s="31">
        <f>0.0004*M3016</f>
        <v>0</v>
      </c>
      <c r="Q3016" s="25"/>
      <c r="R3016" s="26" t="s">
        <v>9451</v>
      </c>
      <c r="S3016" s="26" t="s">
        <v>93</v>
      </c>
      <c r="T3016" s="6" t="str">
        <f>HYPERLINK("https://kanzpp.ru/api/getInfo/image/f2dc8dd5-8200-11ed-a22a-00155d82e902")</f>
        <v>https://kanzpp.ru/api/getInfo/image/f2dc8dd5-8200-11ed-a22a-00155d82e902</v>
      </c>
      <c r="U3016" s="6"/>
      <c r="V3016" s="33" t="s">
        <v>35</v>
      </c>
    </row>
    <row r="3017" spans="2:22" ht="21" customHeight="1" outlineLevel="4" x14ac:dyDescent="0.2">
      <c r="B3017" s="69">
        <v>2247</v>
      </c>
      <c r="C3017" s="6" t="s">
        <v>9467</v>
      </c>
      <c r="D3017" s="6" t="s">
        <v>9468</v>
      </c>
      <c r="E3017" s="7" t="s">
        <v>9454</v>
      </c>
      <c r="F3017" s="13"/>
      <c r="G3017" s="14"/>
      <c r="H3017" s="14"/>
      <c r="I3017" s="15">
        <v>10</v>
      </c>
      <c r="J3017" s="15">
        <v>769</v>
      </c>
      <c r="K3017" s="5">
        <v>2</v>
      </c>
      <c r="L3017" s="16">
        <v>38.666666666666664</v>
      </c>
      <c r="M3017" s="12"/>
      <c r="N3017" s="14">
        <f t="shared" si="137"/>
        <v>0</v>
      </c>
      <c r="O3017" s="23">
        <f>0.291*M3017</f>
        <v>0</v>
      </c>
      <c r="P3017" s="24">
        <f>0.00035*M3017</f>
        <v>0</v>
      </c>
      <c r="Q3017" s="25"/>
      <c r="R3017" s="26" t="s">
        <v>9455</v>
      </c>
      <c r="S3017" s="26" t="s">
        <v>93</v>
      </c>
      <c r="T3017" s="6" t="str">
        <f>HYPERLINK("https://kanzpp.ru/api/getInfo/image/822cb11f-8201-11ed-a22a-00155d82e902")</f>
        <v>https://kanzpp.ru/api/getInfo/image/822cb11f-8201-11ed-a22a-00155d82e902</v>
      </c>
      <c r="U3017" s="6"/>
      <c r="V3017" s="33" t="s">
        <v>35</v>
      </c>
    </row>
    <row r="3018" spans="2:22" ht="21" customHeight="1" outlineLevel="4" x14ac:dyDescent="0.2">
      <c r="B3018" s="69">
        <v>2248</v>
      </c>
      <c r="C3018" s="6" t="s">
        <v>9469</v>
      </c>
      <c r="D3018" s="6" t="s">
        <v>9470</v>
      </c>
      <c r="E3018" s="7" t="s">
        <v>9458</v>
      </c>
      <c r="F3018" s="13"/>
      <c r="G3018" s="14"/>
      <c r="H3018" s="14"/>
      <c r="I3018" s="15">
        <v>10</v>
      </c>
      <c r="J3018" s="14" t="s">
        <v>144</v>
      </c>
      <c r="K3018" s="5">
        <v>2</v>
      </c>
      <c r="L3018" s="16">
        <v>38.666666666666664</v>
      </c>
      <c r="M3018" s="12"/>
      <c r="N3018" s="14">
        <f t="shared" si="137"/>
        <v>0</v>
      </c>
      <c r="O3018" s="28">
        <f>0.29*M3018</f>
        <v>0</v>
      </c>
      <c r="P3018" s="31">
        <f>0.0004*M3018</f>
        <v>0</v>
      </c>
      <c r="Q3018" s="25"/>
      <c r="R3018" s="26" t="s">
        <v>9459</v>
      </c>
      <c r="S3018" s="26" t="s">
        <v>93</v>
      </c>
      <c r="T3018" s="6" t="str">
        <f>HYPERLINK("https://kanzpp.ru/api/getInfo/image/ab298db0-8201-11ed-a22a-00155d82e902")</f>
        <v>https://kanzpp.ru/api/getInfo/image/ab298db0-8201-11ed-a22a-00155d82e902</v>
      </c>
      <c r="U3018" s="6"/>
      <c r="V3018" s="33" t="s">
        <v>35</v>
      </c>
    </row>
    <row r="3019" spans="2:22" ht="22.95" customHeight="1" outlineLevel="1" x14ac:dyDescent="0.2">
      <c r="B3019" s="79" t="s">
        <v>9471</v>
      </c>
      <c r="C3019" s="79"/>
      <c r="D3019" s="79"/>
      <c r="L3019">
        <v>0</v>
      </c>
    </row>
    <row r="3020" spans="2:22" ht="22.95" customHeight="1" outlineLevel="2" x14ac:dyDescent="0.2">
      <c r="B3020" s="80" t="s">
        <v>9472</v>
      </c>
      <c r="C3020" s="80"/>
      <c r="D3020" s="80"/>
      <c r="L3020">
        <v>0</v>
      </c>
    </row>
    <row r="3021" spans="2:22" ht="21" customHeight="1" outlineLevel="3" x14ac:dyDescent="0.2">
      <c r="B3021" s="69">
        <v>2249</v>
      </c>
      <c r="C3021" s="6" t="s">
        <v>9473</v>
      </c>
      <c r="D3021" s="6" t="s">
        <v>9474</v>
      </c>
      <c r="E3021" s="7" t="s">
        <v>9475</v>
      </c>
      <c r="F3021" s="13"/>
      <c r="G3021" s="14"/>
      <c r="H3021" s="14"/>
      <c r="I3021" s="15">
        <v>20</v>
      </c>
      <c r="J3021" s="15">
        <v>2</v>
      </c>
      <c r="K3021" s="5">
        <v>2</v>
      </c>
      <c r="L3021" s="16">
        <v>6.5333333333333341</v>
      </c>
      <c r="M3021" s="12"/>
      <c r="N3021" s="14">
        <f>L3021*M3021</f>
        <v>0</v>
      </c>
      <c r="O3021" s="23">
        <f>0.101*M3021</f>
        <v>0</v>
      </c>
      <c r="P3021" s="24">
        <f>0.00031*M3021</f>
        <v>0</v>
      </c>
      <c r="Q3021" s="25"/>
      <c r="R3021" s="26" t="s">
        <v>9476</v>
      </c>
      <c r="S3021" s="26" t="s">
        <v>93</v>
      </c>
      <c r="T3021" s="6" t="str">
        <f>HYPERLINK("https://kanzpp.ru/api/getInfo/image/91bd6606-e40c-11ed-a233-00155d82e902")</f>
        <v>https://kanzpp.ru/api/getInfo/image/91bd6606-e40c-11ed-a233-00155d82e902</v>
      </c>
      <c r="U3021" s="6"/>
      <c r="V3021" s="33" t="s">
        <v>35</v>
      </c>
    </row>
    <row r="3022" spans="2:22" ht="21" customHeight="1" outlineLevel="3" x14ac:dyDescent="0.2">
      <c r="B3022" s="69">
        <v>2250</v>
      </c>
      <c r="C3022" s="6" t="s">
        <v>9477</v>
      </c>
      <c r="D3022" s="6" t="s">
        <v>9478</v>
      </c>
      <c r="E3022" s="7" t="s">
        <v>9479</v>
      </c>
      <c r="F3022" s="13"/>
      <c r="G3022" s="14"/>
      <c r="H3022" s="14"/>
      <c r="I3022" s="15">
        <v>20</v>
      </c>
      <c r="J3022" s="14" t="s">
        <v>144</v>
      </c>
      <c r="K3022" s="5">
        <v>10</v>
      </c>
      <c r="L3022" s="16">
        <v>6.5333333333333341</v>
      </c>
      <c r="M3022" s="12"/>
      <c r="N3022" s="14">
        <f>L3022*M3022</f>
        <v>0</v>
      </c>
      <c r="O3022" s="23">
        <f>0.104*M3022</f>
        <v>0</v>
      </c>
      <c r="P3022" s="24">
        <f>0.00009*M3022</f>
        <v>0</v>
      </c>
      <c r="Q3022" s="25"/>
      <c r="R3022" s="26" t="s">
        <v>9480</v>
      </c>
      <c r="S3022" s="26" t="s">
        <v>93</v>
      </c>
      <c r="T3022" s="6" t="str">
        <f>HYPERLINK("https://kanzpp.ru/api/getInfo/image/223e5367-e40d-11ed-a233-00155d82e902")</f>
        <v>https://kanzpp.ru/api/getInfo/image/223e5367-e40d-11ed-a233-00155d82e902</v>
      </c>
      <c r="U3022" s="6"/>
      <c r="V3022" s="33" t="s">
        <v>35</v>
      </c>
    </row>
    <row r="3023" spans="2:22" ht="21" customHeight="1" outlineLevel="3" x14ac:dyDescent="0.2">
      <c r="B3023" s="69">
        <v>2251</v>
      </c>
      <c r="C3023" s="6" t="s">
        <v>9481</v>
      </c>
      <c r="D3023" s="6" t="s">
        <v>9482</v>
      </c>
      <c r="E3023" s="7" t="s">
        <v>9483</v>
      </c>
      <c r="F3023" s="13"/>
      <c r="G3023" s="14"/>
      <c r="H3023" s="14"/>
      <c r="I3023" s="15">
        <v>20</v>
      </c>
      <c r="J3023" s="14" t="s">
        <v>144</v>
      </c>
      <c r="K3023" s="5">
        <v>10</v>
      </c>
      <c r="L3023" s="16">
        <v>6.5333333333333341</v>
      </c>
      <c r="M3023" s="12"/>
      <c r="N3023" s="14">
        <f>L3023*M3023</f>
        <v>0</v>
      </c>
      <c r="O3023" s="23">
        <f>0.108*M3023</f>
        <v>0</v>
      </c>
      <c r="P3023" s="31">
        <f>0.0001*M3023</f>
        <v>0</v>
      </c>
      <c r="Q3023" s="25"/>
      <c r="R3023" s="26" t="s">
        <v>9484</v>
      </c>
      <c r="S3023" s="26" t="s">
        <v>93</v>
      </c>
      <c r="T3023" s="6" t="str">
        <f>HYPERLINK("https://kanzpp.ru/api/getInfo/image/fbf02bee-e40c-11ed-a233-00155d82e902")</f>
        <v>https://kanzpp.ru/api/getInfo/image/fbf02bee-e40c-11ed-a233-00155d82e902</v>
      </c>
      <c r="U3023" s="6"/>
      <c r="V3023" s="33" t="s">
        <v>35</v>
      </c>
    </row>
    <row r="3024" spans="2:22" ht="22.95" customHeight="1" outlineLevel="2" x14ac:dyDescent="0.2">
      <c r="B3024" s="80" t="s">
        <v>9485</v>
      </c>
      <c r="C3024" s="80"/>
      <c r="D3024" s="80"/>
      <c r="L3024">
        <v>0</v>
      </c>
    </row>
    <row r="3025" spans="2:22" ht="22.95" customHeight="1" outlineLevel="3" x14ac:dyDescent="0.2">
      <c r="B3025" s="81" t="s">
        <v>9486</v>
      </c>
      <c r="C3025" s="81"/>
      <c r="D3025" s="81"/>
      <c r="L3025">
        <v>0</v>
      </c>
    </row>
    <row r="3026" spans="2:22" ht="21" customHeight="1" outlineLevel="4" x14ac:dyDescent="0.2">
      <c r="B3026" s="70">
        <v>2252</v>
      </c>
      <c r="C3026" s="3" t="s">
        <v>9487</v>
      </c>
      <c r="D3026" s="3" t="s">
        <v>95</v>
      </c>
      <c r="E3026" s="4" t="s">
        <v>96</v>
      </c>
      <c r="F3026" s="8"/>
      <c r="G3026" s="9"/>
      <c r="H3026" s="9"/>
      <c r="I3026" s="10">
        <v>24</v>
      </c>
      <c r="J3026" s="10">
        <v>5</v>
      </c>
      <c r="K3026" s="2">
        <v>2</v>
      </c>
      <c r="L3026" s="18">
        <v>36.28</v>
      </c>
      <c r="M3026" s="12"/>
      <c r="N3026" s="9">
        <f>L3026*M3026</f>
        <v>0</v>
      </c>
      <c r="O3026" s="29">
        <f>0.172*M3026</f>
        <v>0</v>
      </c>
      <c r="P3026" s="30">
        <f>0.00016*M3026</f>
        <v>0</v>
      </c>
      <c r="Q3026" s="21"/>
      <c r="R3026" s="22" t="s">
        <v>97</v>
      </c>
      <c r="S3026" s="22" t="s">
        <v>93</v>
      </c>
      <c r="T3026" s="3" t="str">
        <f>HYPERLINK("https://kanzpp.ru/api/getInfo/image/de1efc44-ea33-11eb-a20d-ac1f6b442185")</f>
        <v>https://kanzpp.ru/api/getInfo/image/de1efc44-ea33-11eb-a20d-ac1f6b442185</v>
      </c>
      <c r="U3026" s="3"/>
      <c r="V3026" s="32" t="s">
        <v>30</v>
      </c>
    </row>
    <row r="3027" spans="2:22" ht="22.95" customHeight="1" outlineLevel="2" x14ac:dyDescent="0.2">
      <c r="B3027" s="80" t="s">
        <v>9488</v>
      </c>
      <c r="C3027" s="80"/>
      <c r="D3027" s="80"/>
      <c r="L3027">
        <v>0</v>
      </c>
    </row>
    <row r="3028" spans="2:22" ht="22.95" customHeight="1" outlineLevel="3" x14ac:dyDescent="0.2">
      <c r="B3028" s="81" t="s">
        <v>9489</v>
      </c>
      <c r="C3028" s="81"/>
      <c r="D3028" s="81"/>
      <c r="L3028">
        <v>0</v>
      </c>
    </row>
    <row r="3029" spans="2:22" ht="21" customHeight="1" outlineLevel="4" x14ac:dyDescent="0.2">
      <c r="B3029" s="69">
        <v>2253</v>
      </c>
      <c r="C3029" s="6" t="s">
        <v>9490</v>
      </c>
      <c r="D3029" s="6" t="s">
        <v>9491</v>
      </c>
      <c r="E3029" s="7" t="s">
        <v>9492</v>
      </c>
      <c r="F3029" s="13"/>
      <c r="G3029" s="14"/>
      <c r="H3029" s="15">
        <v>16</v>
      </c>
      <c r="I3029" s="15">
        <v>16</v>
      </c>
      <c r="J3029" s="15">
        <v>254</v>
      </c>
      <c r="K3029" s="5">
        <v>3</v>
      </c>
      <c r="L3029" s="16">
        <v>19.866666666666667</v>
      </c>
      <c r="M3029" s="12"/>
      <c r="N3029" s="14">
        <f>L3029*M3029</f>
        <v>0</v>
      </c>
      <c r="O3029" s="28">
        <f>0.23*M3029</f>
        <v>0</v>
      </c>
      <c r="P3029" s="24">
        <f>0.00032*M3029</f>
        <v>0</v>
      </c>
      <c r="Q3029" s="25"/>
      <c r="R3029" s="26" t="s">
        <v>9493</v>
      </c>
      <c r="S3029" s="26" t="s">
        <v>93</v>
      </c>
      <c r="T3029" s="6" t="str">
        <f>HYPERLINK("https://kanzpp.ru/api/getInfo/image/ac7103ee-2014-11ea-a237-ac1f6b442184")</f>
        <v>https://kanzpp.ru/api/getInfo/image/ac7103ee-2014-11ea-a237-ac1f6b442184</v>
      </c>
      <c r="U3029" s="6"/>
      <c r="V3029" s="33" t="s">
        <v>35</v>
      </c>
    </row>
    <row r="3030" spans="2:22" ht="22.95" customHeight="1" outlineLevel="2" x14ac:dyDescent="0.2">
      <c r="B3030" s="80" t="s">
        <v>9494</v>
      </c>
      <c r="C3030" s="80"/>
      <c r="D3030" s="80"/>
      <c r="L3030">
        <v>0</v>
      </c>
    </row>
    <row r="3031" spans="2:22" ht="21" customHeight="1" outlineLevel="3" x14ac:dyDescent="0.2">
      <c r="B3031" s="69">
        <v>2254</v>
      </c>
      <c r="C3031" s="6" t="s">
        <v>9495</v>
      </c>
      <c r="D3031" s="6" t="s">
        <v>9496</v>
      </c>
      <c r="E3031" s="7" t="s">
        <v>355</v>
      </c>
      <c r="F3031" s="13"/>
      <c r="G3031" s="14"/>
      <c r="H3031" s="14"/>
      <c r="I3031" s="15">
        <v>10</v>
      </c>
      <c r="J3031" s="14" t="s">
        <v>144</v>
      </c>
      <c r="K3031" s="5">
        <v>2</v>
      </c>
      <c r="L3031" s="16">
        <v>39.866666666666667</v>
      </c>
      <c r="M3031" s="12"/>
      <c r="N3031" s="14">
        <f>L3031*M3031</f>
        <v>0</v>
      </c>
      <c r="O3031" s="23">
        <f>0.263*M3031</f>
        <v>0</v>
      </c>
      <c r="P3031" s="24">
        <f>0.00034*M3031</f>
        <v>0</v>
      </c>
      <c r="Q3031" s="25"/>
      <c r="R3031" s="26" t="s">
        <v>356</v>
      </c>
      <c r="S3031" s="26" t="s">
        <v>29</v>
      </c>
      <c r="T3031" s="6" t="str">
        <f>HYPERLINK("https://kanzpp.ru/api/getInfo/image/4903d368-b737-11ed-a230-00155d82e902")</f>
        <v>https://kanzpp.ru/api/getInfo/image/4903d368-b737-11ed-a230-00155d82e902</v>
      </c>
      <c r="U3031" s="6"/>
      <c r="V3031" s="33" t="s">
        <v>35</v>
      </c>
    </row>
    <row r="3032" spans="2:22" ht="21" customHeight="1" outlineLevel="3" x14ac:dyDescent="0.2">
      <c r="B3032" s="69">
        <v>2255</v>
      </c>
      <c r="C3032" s="6" t="s">
        <v>9497</v>
      </c>
      <c r="D3032" s="6" t="s">
        <v>9498</v>
      </c>
      <c r="E3032" s="7" t="s">
        <v>359</v>
      </c>
      <c r="F3032" s="13"/>
      <c r="G3032" s="14"/>
      <c r="H3032" s="14"/>
      <c r="I3032" s="15">
        <v>10</v>
      </c>
      <c r="J3032" s="14" t="s">
        <v>144</v>
      </c>
      <c r="K3032" s="5">
        <v>2</v>
      </c>
      <c r="L3032" s="16">
        <v>39.866666666666667</v>
      </c>
      <c r="M3032" s="12"/>
      <c r="N3032" s="14">
        <f>L3032*M3032</f>
        <v>0</v>
      </c>
      <c r="O3032" s="23">
        <f>0.265*M3032</f>
        <v>0</v>
      </c>
      <c r="P3032" s="24">
        <f>0.00061*M3032</f>
        <v>0</v>
      </c>
      <c r="Q3032" s="25"/>
      <c r="R3032" s="26" t="s">
        <v>360</v>
      </c>
      <c r="S3032" s="26" t="s">
        <v>29</v>
      </c>
      <c r="T3032" s="6" t="str">
        <f>HYPERLINK("https://kanzpp.ru/api/getInfo/image/077ec197-b737-11ed-a230-00155d82e902")</f>
        <v>https://kanzpp.ru/api/getInfo/image/077ec197-b737-11ed-a230-00155d82e902</v>
      </c>
      <c r="U3032" s="6"/>
      <c r="V3032" s="33" t="s">
        <v>35</v>
      </c>
    </row>
    <row r="3033" spans="2:22" ht="21" customHeight="1" outlineLevel="3" x14ac:dyDescent="0.2">
      <c r="B3033" s="69">
        <v>2256</v>
      </c>
      <c r="C3033" s="6" t="s">
        <v>9499</v>
      </c>
      <c r="D3033" s="6" t="s">
        <v>9500</v>
      </c>
      <c r="E3033" s="7" t="s">
        <v>363</v>
      </c>
      <c r="F3033" s="13"/>
      <c r="G3033" s="14"/>
      <c r="H3033" s="14"/>
      <c r="I3033" s="15">
        <v>10</v>
      </c>
      <c r="J3033" s="14" t="s">
        <v>144</v>
      </c>
      <c r="K3033" s="5">
        <v>2</v>
      </c>
      <c r="L3033" s="16">
        <v>39.866666666666667</v>
      </c>
      <c r="M3033" s="12"/>
      <c r="N3033" s="14">
        <f>L3033*M3033</f>
        <v>0</v>
      </c>
      <c r="O3033" s="23">
        <f>0.261*M3033</f>
        <v>0</v>
      </c>
      <c r="P3033" s="24">
        <f>0.00035*M3033</f>
        <v>0</v>
      </c>
      <c r="Q3033" s="25"/>
      <c r="R3033" s="26" t="s">
        <v>364</v>
      </c>
      <c r="S3033" s="26" t="s">
        <v>29</v>
      </c>
      <c r="T3033" s="6" t="str">
        <f>HYPERLINK("https://kanzpp.ru/api/getInfo/image/e981895c-b736-11ed-a230-00155d82e902")</f>
        <v>https://kanzpp.ru/api/getInfo/image/e981895c-b736-11ed-a230-00155d82e902</v>
      </c>
      <c r="U3033" s="6"/>
      <c r="V3033" s="33" t="s">
        <v>35</v>
      </c>
    </row>
    <row r="3034" spans="2:22" ht="21" customHeight="1" outlineLevel="3" x14ac:dyDescent="0.2">
      <c r="B3034" s="69">
        <v>2257</v>
      </c>
      <c r="C3034" s="6" t="s">
        <v>9501</v>
      </c>
      <c r="D3034" s="6" t="s">
        <v>366</v>
      </c>
      <c r="E3034" s="7" t="s">
        <v>367</v>
      </c>
      <c r="F3034" s="13"/>
      <c r="G3034" s="14"/>
      <c r="H3034" s="14"/>
      <c r="I3034" s="15">
        <v>10</v>
      </c>
      <c r="J3034" s="14" t="s">
        <v>144</v>
      </c>
      <c r="K3034" s="5">
        <v>2</v>
      </c>
      <c r="L3034" s="16">
        <v>39.866666666666667</v>
      </c>
      <c r="M3034" s="12"/>
      <c r="N3034" s="14">
        <f>L3034*M3034</f>
        <v>0</v>
      </c>
      <c r="O3034" s="23">
        <f>0.263*M3034</f>
        <v>0</v>
      </c>
      <c r="P3034" s="24">
        <f>0.00035*M3034</f>
        <v>0</v>
      </c>
      <c r="Q3034" s="25"/>
      <c r="R3034" s="26" t="s">
        <v>368</v>
      </c>
      <c r="S3034" s="26" t="s">
        <v>29</v>
      </c>
      <c r="T3034" s="6" t="str">
        <f>HYPERLINK("https://kanzpp.ru/api/getInfo/image/94fca119-b736-11ed-a230-00155d82e902")</f>
        <v>https://kanzpp.ru/api/getInfo/image/94fca119-b736-11ed-a230-00155d82e902</v>
      </c>
      <c r="U3034" s="6"/>
      <c r="V3034" s="33" t="s">
        <v>35</v>
      </c>
    </row>
    <row r="3035" spans="2:22" ht="22.95" customHeight="1" outlineLevel="1" x14ac:dyDescent="0.2">
      <c r="B3035" s="79" t="s">
        <v>9502</v>
      </c>
      <c r="C3035" s="79"/>
      <c r="D3035" s="79"/>
      <c r="L3035">
        <v>0</v>
      </c>
    </row>
    <row r="3036" spans="2:22" ht="22.95" customHeight="1" outlineLevel="2" x14ac:dyDescent="0.2">
      <c r="B3036" s="80" t="s">
        <v>9503</v>
      </c>
      <c r="C3036" s="80"/>
      <c r="D3036" s="80"/>
      <c r="L3036">
        <v>0</v>
      </c>
    </row>
    <row r="3037" spans="2:22" ht="22.95" customHeight="1" outlineLevel="3" x14ac:dyDescent="0.2">
      <c r="B3037" s="81" t="s">
        <v>9504</v>
      </c>
      <c r="C3037" s="81"/>
      <c r="D3037" s="81"/>
      <c r="L3037">
        <v>0</v>
      </c>
    </row>
    <row r="3038" spans="2:22" ht="21" customHeight="1" outlineLevel="4" x14ac:dyDescent="0.2">
      <c r="B3038" s="71">
        <v>2258</v>
      </c>
      <c r="C3038" s="37" t="s">
        <v>9505</v>
      </c>
      <c r="D3038" s="37" t="s">
        <v>9506</v>
      </c>
      <c r="E3038" s="38" t="s">
        <v>9507</v>
      </c>
      <c r="F3038" s="39"/>
      <c r="G3038" s="40"/>
      <c r="H3038" s="41">
        <v>40</v>
      </c>
      <c r="I3038" s="40"/>
      <c r="J3038" s="41">
        <v>828</v>
      </c>
      <c r="K3038" s="36">
        <v>10</v>
      </c>
      <c r="L3038" s="42">
        <f>(59.99*(1-O3/100))/0.75</f>
        <v>79.986666666666665</v>
      </c>
      <c r="M3038" s="12"/>
      <c r="N3038" s="40">
        <f>L3038*M3038</f>
        <v>0</v>
      </c>
      <c r="O3038" s="43">
        <f>0.175*M3038</f>
        <v>0</v>
      </c>
      <c r="P3038" s="47">
        <f>0.00028*M3038</f>
        <v>0</v>
      </c>
      <c r="Q3038" s="44"/>
      <c r="R3038" s="45" t="s">
        <v>9508</v>
      </c>
      <c r="S3038" s="45" t="s">
        <v>93</v>
      </c>
      <c r="T3038" s="37" t="str">
        <f>HYPERLINK("https://kanzpp.ru/api/getInfo/image/77b6e778-a527-11e4-bc0b-5cf3fc4a2490")</f>
        <v>https://kanzpp.ru/api/getInfo/image/77b6e778-a527-11e4-bc0b-5cf3fc4a2490</v>
      </c>
      <c r="U3038" s="37"/>
    </row>
    <row r="3039" spans="2:22" ht="21" customHeight="1" outlineLevel="4" x14ac:dyDescent="0.2">
      <c r="B3039" s="71">
        <v>2259</v>
      </c>
      <c r="C3039" s="37" t="s">
        <v>9509</v>
      </c>
      <c r="D3039" s="37" t="s">
        <v>9510</v>
      </c>
      <c r="E3039" s="38" t="s">
        <v>9511</v>
      </c>
      <c r="F3039" s="39"/>
      <c r="G3039" s="40"/>
      <c r="H3039" s="41">
        <v>40</v>
      </c>
      <c r="I3039" s="40"/>
      <c r="J3039" s="41">
        <v>46</v>
      </c>
      <c r="K3039" s="36">
        <v>10</v>
      </c>
      <c r="L3039" s="42">
        <f>(59.99*(1-O3/100))/0.75</f>
        <v>79.986666666666665</v>
      </c>
      <c r="M3039" s="12"/>
      <c r="N3039" s="40">
        <f>L3039*M3039</f>
        <v>0</v>
      </c>
      <c r="O3039" s="43">
        <f>0.175*M3039</f>
        <v>0</v>
      </c>
      <c r="P3039" s="47">
        <f>0.00028*M3039</f>
        <v>0</v>
      </c>
      <c r="Q3039" s="44"/>
      <c r="R3039" s="45" t="s">
        <v>9512</v>
      </c>
      <c r="S3039" s="45" t="s">
        <v>93</v>
      </c>
      <c r="T3039" s="37" t="str">
        <f>HYPERLINK("https://kanzpp.ru/api/getInfo/image/f0663f3d-a88a-11e5-9e78-5cf3fc4a2490")</f>
        <v>https://kanzpp.ru/api/getInfo/image/f0663f3d-a88a-11e5-9e78-5cf3fc4a2490</v>
      </c>
      <c r="U3039" s="37"/>
    </row>
    <row r="3040" spans="2:22" ht="21" customHeight="1" outlineLevel="4" x14ac:dyDescent="0.2">
      <c r="B3040" s="71">
        <v>2260</v>
      </c>
      <c r="C3040" s="37" t="s">
        <v>9513</v>
      </c>
      <c r="D3040" s="37" t="s">
        <v>9514</v>
      </c>
      <c r="E3040" s="38" t="s">
        <v>9515</v>
      </c>
      <c r="F3040" s="39"/>
      <c r="G3040" s="40"/>
      <c r="H3040" s="41">
        <v>40</v>
      </c>
      <c r="I3040" s="40"/>
      <c r="J3040" s="41">
        <v>13</v>
      </c>
      <c r="K3040" s="36">
        <v>10</v>
      </c>
      <c r="L3040" s="42">
        <f>(59.99*(1-O3/100))/0.75</f>
        <v>79.986666666666665</v>
      </c>
      <c r="M3040" s="12"/>
      <c r="N3040" s="40">
        <f>L3040*M3040</f>
        <v>0</v>
      </c>
      <c r="O3040" s="43">
        <f>0.175*M3040</f>
        <v>0</v>
      </c>
      <c r="P3040" s="47">
        <f>0.00028*M3040</f>
        <v>0</v>
      </c>
      <c r="Q3040" s="44"/>
      <c r="R3040" s="45" t="s">
        <v>9516</v>
      </c>
      <c r="S3040" s="45" t="s">
        <v>93</v>
      </c>
      <c r="T3040" s="37" t="str">
        <f>HYPERLINK("https://kanzpp.ru/api/getInfo/image/6193833e-a88a-11e5-9e78-5cf3fc4a2490")</f>
        <v>https://kanzpp.ru/api/getInfo/image/6193833e-a88a-11e5-9e78-5cf3fc4a2490</v>
      </c>
      <c r="U3040" s="37"/>
    </row>
    <row r="3041" spans="2:22" ht="22.95" customHeight="1" outlineLevel="3" x14ac:dyDescent="0.2">
      <c r="B3041" s="81" t="s">
        <v>9517</v>
      </c>
      <c r="C3041" s="81"/>
      <c r="D3041" s="81"/>
      <c r="L3041">
        <v>0</v>
      </c>
    </row>
    <row r="3042" spans="2:22" ht="21" customHeight="1" outlineLevel="4" x14ac:dyDescent="0.2">
      <c r="B3042" s="71">
        <v>2261</v>
      </c>
      <c r="C3042" s="37" t="s">
        <v>9518</v>
      </c>
      <c r="D3042" s="37" t="s">
        <v>9519</v>
      </c>
      <c r="E3042" s="38" t="s">
        <v>9520</v>
      </c>
      <c r="F3042" s="39"/>
      <c r="G3042" s="40"/>
      <c r="H3042" s="41">
        <v>30</v>
      </c>
      <c r="I3042" s="40"/>
      <c r="J3042" s="41">
        <v>454</v>
      </c>
      <c r="K3042" s="36">
        <v>6</v>
      </c>
      <c r="L3042" s="42">
        <f>(107.55*(1-O3/100))/0.75</f>
        <v>143.4</v>
      </c>
      <c r="M3042" s="12"/>
      <c r="N3042" s="40">
        <f>L3042*M3042</f>
        <v>0</v>
      </c>
      <c r="O3042" s="43">
        <f>0.318*M3042</f>
        <v>0</v>
      </c>
      <c r="P3042" s="47">
        <f>0.00055*M3042</f>
        <v>0</v>
      </c>
      <c r="Q3042" s="44"/>
      <c r="R3042" s="45" t="s">
        <v>9521</v>
      </c>
      <c r="S3042" s="45" t="s">
        <v>93</v>
      </c>
      <c r="T3042" s="37" t="str">
        <f>HYPERLINK("https://kanzpp.ru/api/getInfo/image/aadd285e-a527-11e4-bc0b-5cf3fc4a2490")</f>
        <v>https://kanzpp.ru/api/getInfo/image/aadd285e-a527-11e4-bc0b-5cf3fc4a2490</v>
      </c>
      <c r="U3042" s="37"/>
    </row>
    <row r="3043" spans="2:22" ht="21" customHeight="1" outlineLevel="4" x14ac:dyDescent="0.2">
      <c r="B3043" s="71">
        <v>2262</v>
      </c>
      <c r="C3043" s="37" t="s">
        <v>9522</v>
      </c>
      <c r="D3043" s="37" t="s">
        <v>9523</v>
      </c>
      <c r="E3043" s="38" t="s">
        <v>9524</v>
      </c>
      <c r="F3043" s="39"/>
      <c r="G3043" s="40"/>
      <c r="H3043" s="41">
        <v>30</v>
      </c>
      <c r="I3043" s="40"/>
      <c r="J3043" s="40" t="s">
        <v>144</v>
      </c>
      <c r="K3043" s="36">
        <v>6</v>
      </c>
      <c r="L3043" s="42">
        <f>(107.55*(1-O3/100))/0.75</f>
        <v>143.4</v>
      </c>
      <c r="M3043" s="12"/>
      <c r="N3043" s="40">
        <f>L3043*M3043</f>
        <v>0</v>
      </c>
      <c r="O3043" s="48">
        <f>0.34*M3043</f>
        <v>0</v>
      </c>
      <c r="P3043" s="47">
        <f>0.00057*M3043</f>
        <v>0</v>
      </c>
      <c r="Q3043" s="44"/>
      <c r="R3043" s="45" t="s">
        <v>9525</v>
      </c>
      <c r="S3043" s="45" t="s">
        <v>93</v>
      </c>
      <c r="T3043" s="37" t="str">
        <f>HYPERLINK("https://kanzpp.ru/api/getInfo/image/8ac8ca2d-6868-11f0-a283-00155d82e908")</f>
        <v>https://kanzpp.ru/api/getInfo/image/8ac8ca2d-6868-11f0-a283-00155d82e908</v>
      </c>
      <c r="U3043" s="37"/>
    </row>
    <row r="3044" spans="2:22" ht="21" customHeight="1" outlineLevel="4" x14ac:dyDescent="0.2">
      <c r="B3044" s="71">
        <v>2263</v>
      </c>
      <c r="C3044" s="37" t="s">
        <v>9526</v>
      </c>
      <c r="D3044" s="37" t="s">
        <v>9527</v>
      </c>
      <c r="E3044" s="38" t="s">
        <v>9528</v>
      </c>
      <c r="F3044" s="39"/>
      <c r="G3044" s="40"/>
      <c r="H3044" s="41">
        <v>30</v>
      </c>
      <c r="I3044" s="40"/>
      <c r="J3044" s="41">
        <v>559</v>
      </c>
      <c r="K3044" s="36">
        <v>6</v>
      </c>
      <c r="L3044" s="42">
        <f>(107.55*(1-O3/100))/0.75</f>
        <v>143.4</v>
      </c>
      <c r="M3044" s="12"/>
      <c r="N3044" s="40">
        <f>L3044*M3044</f>
        <v>0</v>
      </c>
      <c r="O3044" s="48">
        <f>0.34*M3044</f>
        <v>0</v>
      </c>
      <c r="P3044" s="47">
        <f>0.00057*M3044</f>
        <v>0</v>
      </c>
      <c r="Q3044" s="44"/>
      <c r="R3044" s="45" t="s">
        <v>9529</v>
      </c>
      <c r="S3044" s="45" t="s">
        <v>93</v>
      </c>
      <c r="T3044" s="37" t="str">
        <f>HYPERLINK("https://kanzpp.ru/api/getInfo/image/f242ff3e-6868-11f0-a283-00155d82e908")</f>
        <v>https://kanzpp.ru/api/getInfo/image/f242ff3e-6868-11f0-a283-00155d82e908</v>
      </c>
      <c r="U3044" s="37"/>
    </row>
    <row r="3045" spans="2:22" ht="21" customHeight="1" outlineLevel="4" x14ac:dyDescent="0.2">
      <c r="B3045" s="71">
        <v>2264</v>
      </c>
      <c r="C3045" s="37" t="s">
        <v>9530</v>
      </c>
      <c r="D3045" s="37" t="s">
        <v>9531</v>
      </c>
      <c r="E3045" s="38" t="s">
        <v>9532</v>
      </c>
      <c r="F3045" s="39"/>
      <c r="G3045" s="40"/>
      <c r="H3045" s="41">
        <v>30</v>
      </c>
      <c r="I3045" s="40"/>
      <c r="J3045" s="40" t="s">
        <v>144</v>
      </c>
      <c r="K3045" s="36">
        <v>6</v>
      </c>
      <c r="L3045" s="42">
        <f>(107.55*(1-O3/100))/0.75</f>
        <v>143.4</v>
      </c>
      <c r="M3045" s="12"/>
      <c r="N3045" s="40">
        <f>L3045*M3045</f>
        <v>0</v>
      </c>
      <c r="O3045" s="48">
        <f>0.34*M3045</f>
        <v>0</v>
      </c>
      <c r="P3045" s="47">
        <f>0.00057*M3045</f>
        <v>0</v>
      </c>
      <c r="Q3045" s="44"/>
      <c r="R3045" s="45" t="s">
        <v>9533</v>
      </c>
      <c r="S3045" s="45" t="s">
        <v>93</v>
      </c>
      <c r="T3045" s="37" t="str">
        <f>HYPERLINK("https://kanzpp.ru/api/getInfo/image/2ae2754c-6868-11f0-a283-00155d82e908")</f>
        <v>https://kanzpp.ru/api/getInfo/image/2ae2754c-6868-11f0-a283-00155d82e908</v>
      </c>
      <c r="U3045" s="37"/>
    </row>
    <row r="3046" spans="2:22" ht="21" customHeight="1" outlineLevel="4" x14ac:dyDescent="0.2">
      <c r="B3046" s="71">
        <v>2265</v>
      </c>
      <c r="C3046" s="37" t="s">
        <v>9534</v>
      </c>
      <c r="D3046" s="37" t="s">
        <v>9535</v>
      </c>
      <c r="E3046" s="38" t="s">
        <v>9536</v>
      </c>
      <c r="F3046" s="39"/>
      <c r="G3046" s="40"/>
      <c r="H3046" s="41">
        <v>30</v>
      </c>
      <c r="I3046" s="40"/>
      <c r="J3046" s="41">
        <v>6</v>
      </c>
      <c r="K3046" s="36">
        <v>6</v>
      </c>
      <c r="L3046" s="42">
        <f>(107.55*(1-O3/100))/0.75</f>
        <v>143.4</v>
      </c>
      <c r="M3046" s="12"/>
      <c r="N3046" s="40">
        <f>L3046*M3046</f>
        <v>0</v>
      </c>
      <c r="O3046" s="43">
        <f>0.318*M3046</f>
        <v>0</v>
      </c>
      <c r="P3046" s="47">
        <f>0.00055*M3046</f>
        <v>0</v>
      </c>
      <c r="Q3046" s="44"/>
      <c r="R3046" s="45" t="s">
        <v>9537</v>
      </c>
      <c r="S3046" s="45" t="s">
        <v>93</v>
      </c>
      <c r="T3046" s="37" t="str">
        <f>HYPERLINK("https://kanzpp.ru/api/getInfo/image/9467f643-a7bb-11e5-9e78-5cf3fc4a2490")</f>
        <v>https://kanzpp.ru/api/getInfo/image/9467f643-a7bb-11e5-9e78-5cf3fc4a2490</v>
      </c>
      <c r="U3046" s="37"/>
    </row>
    <row r="3047" spans="2:22" ht="22.95" customHeight="1" outlineLevel="2" x14ac:dyDescent="0.2">
      <c r="B3047" s="80" t="s">
        <v>9538</v>
      </c>
      <c r="C3047" s="80"/>
      <c r="D3047" s="80"/>
      <c r="L3047">
        <v>0</v>
      </c>
    </row>
    <row r="3048" spans="2:22" ht="22.95" customHeight="1" outlineLevel="3" x14ac:dyDescent="0.2">
      <c r="B3048" s="81" t="s">
        <v>9539</v>
      </c>
      <c r="C3048" s="81"/>
      <c r="D3048" s="81"/>
      <c r="L3048">
        <v>0</v>
      </c>
    </row>
    <row r="3049" spans="2:22" ht="21" customHeight="1" outlineLevel="4" x14ac:dyDescent="0.2">
      <c r="B3049" s="71">
        <v>2266</v>
      </c>
      <c r="C3049" s="37" t="s">
        <v>9540</v>
      </c>
      <c r="D3049" s="37" t="s">
        <v>9541</v>
      </c>
      <c r="E3049" s="38" t="s">
        <v>9542</v>
      </c>
      <c r="F3049" s="39"/>
      <c r="G3049" s="40"/>
      <c r="H3049" s="40"/>
      <c r="I3049" s="41">
        <v>14</v>
      </c>
      <c r="J3049" s="40" t="s">
        <v>144</v>
      </c>
      <c r="K3049" s="36">
        <v>4</v>
      </c>
      <c r="L3049" s="42">
        <f>(158.47*(1-O3/100))/0.75</f>
        <v>211.29333333333332</v>
      </c>
      <c r="M3049" s="12"/>
      <c r="N3049" s="40">
        <f>L3049*M3049</f>
        <v>0</v>
      </c>
      <c r="O3049" s="49">
        <f>0.4*M3049</f>
        <v>0</v>
      </c>
      <c r="P3049" s="47">
        <f>0.00063*M3049</f>
        <v>0</v>
      </c>
      <c r="Q3049" s="44"/>
      <c r="R3049" s="45" t="s">
        <v>9543</v>
      </c>
      <c r="S3049" s="45" t="s">
        <v>93</v>
      </c>
      <c r="T3049" s="37" t="str">
        <f>HYPERLINK("https://kanzpp.ru/api/getInfo/image/8a785e64-e703-11e3-98b8-5cf3fc4a2490")</f>
        <v>https://kanzpp.ru/api/getInfo/image/8a785e64-e703-11e3-98b8-5cf3fc4a2490</v>
      </c>
      <c r="U3049" s="37"/>
    </row>
    <row r="3050" spans="2:22" ht="21" customHeight="1" outlineLevel="4" x14ac:dyDescent="0.2">
      <c r="B3050" s="69">
        <v>2267</v>
      </c>
      <c r="C3050" s="6" t="s">
        <v>9544</v>
      </c>
      <c r="D3050" s="6" t="s">
        <v>9545</v>
      </c>
      <c r="E3050" s="7" t="s">
        <v>9546</v>
      </c>
      <c r="F3050" s="13"/>
      <c r="G3050" s="14"/>
      <c r="H3050" s="14"/>
      <c r="I3050" s="15">
        <v>14</v>
      </c>
      <c r="J3050" s="15">
        <v>699</v>
      </c>
      <c r="K3050" s="5">
        <v>4</v>
      </c>
      <c r="L3050" s="16">
        <v>138.78666666666666</v>
      </c>
      <c r="M3050" s="12"/>
      <c r="N3050" s="14">
        <f>L3050*M3050</f>
        <v>0</v>
      </c>
      <c r="O3050" s="23">
        <f>0.353*M3050</f>
        <v>0</v>
      </c>
      <c r="P3050" s="24">
        <f>0.00062*M3050</f>
        <v>0</v>
      </c>
      <c r="Q3050" s="25"/>
      <c r="R3050" s="26" t="s">
        <v>9547</v>
      </c>
      <c r="S3050" s="26" t="s">
        <v>93</v>
      </c>
      <c r="T3050" s="6" t="str">
        <f>HYPERLINK("https://kanzpp.ru/api/getInfo/image/5a3c7f90-779e-11ec-a210-ac1f6b442185")</f>
        <v>https://kanzpp.ru/api/getInfo/image/5a3c7f90-779e-11ec-a210-ac1f6b442185</v>
      </c>
      <c r="U3050" s="6"/>
      <c r="V3050" s="33" t="s">
        <v>35</v>
      </c>
    </row>
    <row r="3051" spans="2:22" ht="21" customHeight="1" outlineLevel="4" x14ac:dyDescent="0.2">
      <c r="B3051" s="71">
        <v>2268</v>
      </c>
      <c r="C3051" s="37" t="s">
        <v>9548</v>
      </c>
      <c r="D3051" s="37" t="s">
        <v>9549</v>
      </c>
      <c r="E3051" s="38" t="s">
        <v>9550</v>
      </c>
      <c r="F3051" s="39"/>
      <c r="G3051" s="40"/>
      <c r="H3051" s="40"/>
      <c r="I3051" s="41">
        <v>14</v>
      </c>
      <c r="J3051" s="50">
        <v>1162</v>
      </c>
      <c r="K3051" s="36">
        <v>4</v>
      </c>
      <c r="L3051" s="42">
        <f>(158.47*(1-O3/100))/0.75</f>
        <v>211.29333333333332</v>
      </c>
      <c r="M3051" s="12"/>
      <c r="N3051" s="40">
        <f>L3051*M3051</f>
        <v>0</v>
      </c>
      <c r="O3051" s="43">
        <f>0.353*M3051</f>
        <v>0</v>
      </c>
      <c r="P3051" s="47">
        <f>0.00062*M3051</f>
        <v>0</v>
      </c>
      <c r="Q3051" s="44"/>
      <c r="R3051" s="45" t="s">
        <v>9551</v>
      </c>
      <c r="S3051" s="45" t="s">
        <v>93</v>
      </c>
      <c r="T3051" s="37" t="str">
        <f>HYPERLINK("https://kanzpp.ru/api/getInfo/image/f4e132c6-779d-11ec-a210-ac1f6b442185")</f>
        <v>https://kanzpp.ru/api/getInfo/image/f4e132c6-779d-11ec-a210-ac1f6b442185</v>
      </c>
      <c r="U3051" s="37"/>
    </row>
    <row r="3052" spans="2:22" ht="21" customHeight="1" outlineLevel="4" x14ac:dyDescent="0.2">
      <c r="B3052" s="71">
        <v>2269</v>
      </c>
      <c r="C3052" s="37" t="s">
        <v>9552</v>
      </c>
      <c r="D3052" s="37" t="s">
        <v>9553</v>
      </c>
      <c r="E3052" s="38" t="s">
        <v>9554</v>
      </c>
      <c r="F3052" s="39"/>
      <c r="G3052" s="40"/>
      <c r="H3052" s="40"/>
      <c r="I3052" s="41">
        <v>14</v>
      </c>
      <c r="J3052" s="40" t="s">
        <v>144</v>
      </c>
      <c r="K3052" s="36">
        <v>4</v>
      </c>
      <c r="L3052" s="42">
        <f>(158.47*(1-O3/100))/0.75</f>
        <v>211.29333333333332</v>
      </c>
      <c r="M3052" s="12"/>
      <c r="N3052" s="40">
        <f>L3052*M3052</f>
        <v>0</v>
      </c>
      <c r="O3052" s="43">
        <f>0.353*M3052</f>
        <v>0</v>
      </c>
      <c r="P3052" s="47">
        <f>0.00062*M3052</f>
        <v>0</v>
      </c>
      <c r="Q3052" s="44"/>
      <c r="R3052" s="45" t="s">
        <v>9555</v>
      </c>
      <c r="S3052" s="45" t="s">
        <v>93</v>
      </c>
      <c r="T3052" s="37" t="str">
        <f>HYPERLINK("https://kanzpp.ru/api/getInfo/image/1b9485e7-f6ed-11e3-98b8-5cf3fc4a2490")</f>
        <v>https://kanzpp.ru/api/getInfo/image/1b9485e7-f6ed-11e3-98b8-5cf3fc4a2490</v>
      </c>
      <c r="U3052" s="37"/>
    </row>
    <row r="3053" spans="2:22" ht="21" customHeight="1" outlineLevel="4" x14ac:dyDescent="0.2">
      <c r="B3053" s="71">
        <v>2270</v>
      </c>
      <c r="C3053" s="37" t="s">
        <v>9556</v>
      </c>
      <c r="D3053" s="37" t="s">
        <v>9557</v>
      </c>
      <c r="E3053" s="38" t="s">
        <v>9558</v>
      </c>
      <c r="F3053" s="39"/>
      <c r="G3053" s="40"/>
      <c r="H3053" s="40"/>
      <c r="I3053" s="41">
        <v>10</v>
      </c>
      <c r="J3053" s="50">
        <v>1181</v>
      </c>
      <c r="K3053" s="36">
        <v>4</v>
      </c>
      <c r="L3053" s="42">
        <f>(158.47*(1-O3/100))/0.75</f>
        <v>211.29333333333332</v>
      </c>
      <c r="M3053" s="12"/>
      <c r="N3053" s="40">
        <f>L3053*M3053</f>
        <v>0</v>
      </c>
      <c r="O3053" s="43">
        <f>0.401*M3053</f>
        <v>0</v>
      </c>
      <c r="P3053" s="47">
        <f>0.00076*M3053</f>
        <v>0</v>
      </c>
      <c r="Q3053" s="44"/>
      <c r="R3053" s="45" t="s">
        <v>9559</v>
      </c>
      <c r="S3053" s="45" t="s">
        <v>93</v>
      </c>
      <c r="T3053" s="37" t="str">
        <f>HYPERLINK("https://kanzpp.ru/api/getInfo/image/d78bde52-8738-11f0-a284-00155d82e908")</f>
        <v>https://kanzpp.ru/api/getInfo/image/d78bde52-8738-11f0-a284-00155d82e908</v>
      </c>
      <c r="U3053" s="37"/>
    </row>
    <row r="3054" spans="2:22" ht="22.95" customHeight="1" outlineLevel="3" x14ac:dyDescent="0.2">
      <c r="B3054" s="81" t="s">
        <v>9560</v>
      </c>
      <c r="C3054" s="81"/>
      <c r="D3054" s="81"/>
      <c r="L3054">
        <v>0</v>
      </c>
    </row>
    <row r="3055" spans="2:22" ht="21" customHeight="1" outlineLevel="4" x14ac:dyDescent="0.2">
      <c r="B3055" s="71">
        <v>2271</v>
      </c>
      <c r="C3055" s="37" t="s">
        <v>9561</v>
      </c>
      <c r="D3055" s="37" t="s">
        <v>9562</v>
      </c>
      <c r="E3055" s="38" t="s">
        <v>9563</v>
      </c>
      <c r="F3055" s="39"/>
      <c r="G3055" s="40"/>
      <c r="H3055" s="40"/>
      <c r="I3055" s="41">
        <v>10</v>
      </c>
      <c r="J3055" s="41">
        <v>784</v>
      </c>
      <c r="K3055" s="36">
        <v>4</v>
      </c>
      <c r="L3055" s="42">
        <f>(161.72*(1-O3/100))/0.75</f>
        <v>215.62666666666667</v>
      </c>
      <c r="M3055" s="12"/>
      <c r="N3055" s="40">
        <f t="shared" ref="N3055:N3064" si="138">L3055*M3055</f>
        <v>0</v>
      </c>
      <c r="O3055" s="43">
        <f>0.413*M3055</f>
        <v>0</v>
      </c>
      <c r="P3055" s="46">
        <f>0.0006*M3055</f>
        <v>0</v>
      </c>
      <c r="Q3055" s="44"/>
      <c r="R3055" s="45" t="s">
        <v>9564</v>
      </c>
      <c r="S3055" s="45" t="s">
        <v>93</v>
      </c>
      <c r="T3055" s="37" t="str">
        <f>HYPERLINK("https://kanzpp.ru/api/getInfo/image/6044e098-c338-11e5-9e79-5cf3fc4a2490")</f>
        <v>https://kanzpp.ru/api/getInfo/image/6044e098-c338-11e5-9e79-5cf3fc4a2490</v>
      </c>
      <c r="U3055" s="37"/>
    </row>
    <row r="3056" spans="2:22" ht="21" customHeight="1" outlineLevel="4" x14ac:dyDescent="0.2">
      <c r="B3056" s="71">
        <v>2272</v>
      </c>
      <c r="C3056" s="37" t="s">
        <v>9565</v>
      </c>
      <c r="D3056" s="37" t="s">
        <v>9566</v>
      </c>
      <c r="E3056" s="38" t="s">
        <v>9567</v>
      </c>
      <c r="F3056" s="39"/>
      <c r="G3056" s="40"/>
      <c r="H3056" s="40"/>
      <c r="I3056" s="41">
        <v>10</v>
      </c>
      <c r="J3056" s="50">
        <v>1949</v>
      </c>
      <c r="K3056" s="36">
        <v>4</v>
      </c>
      <c r="L3056" s="42">
        <f>(161.72*(1-O3/100))/0.75</f>
        <v>215.62666666666667</v>
      </c>
      <c r="M3056" s="12"/>
      <c r="N3056" s="40">
        <f t="shared" si="138"/>
        <v>0</v>
      </c>
      <c r="O3056" s="43">
        <f>0.494*M3056</f>
        <v>0</v>
      </c>
      <c r="P3056" s="46">
        <f>0.0006*M3056</f>
        <v>0</v>
      </c>
      <c r="Q3056" s="44"/>
      <c r="R3056" s="45" t="s">
        <v>9568</v>
      </c>
      <c r="S3056" s="45" t="s">
        <v>93</v>
      </c>
      <c r="T3056" s="37" t="str">
        <f>HYPERLINK("https://kanzpp.ru/api/getInfo/image/d2d88353-8cd5-11e4-9a91-5cf3fc4a2490")</f>
        <v>https://kanzpp.ru/api/getInfo/image/d2d88353-8cd5-11e4-9a91-5cf3fc4a2490</v>
      </c>
      <c r="U3056" s="37"/>
    </row>
    <row r="3057" spans="2:21" ht="21" customHeight="1" outlineLevel="4" x14ac:dyDescent="0.2">
      <c r="B3057" s="71">
        <v>2273</v>
      </c>
      <c r="C3057" s="37" t="s">
        <v>9569</v>
      </c>
      <c r="D3057" s="37" t="s">
        <v>9570</v>
      </c>
      <c r="E3057" s="38" t="s">
        <v>9571</v>
      </c>
      <c r="F3057" s="39"/>
      <c r="G3057" s="40"/>
      <c r="H3057" s="40"/>
      <c r="I3057" s="41">
        <v>10</v>
      </c>
      <c r="J3057" s="41">
        <v>354</v>
      </c>
      <c r="K3057" s="36">
        <v>4</v>
      </c>
      <c r="L3057" s="42">
        <f>(161.72*(1-O3/100))/0.75</f>
        <v>215.62666666666667</v>
      </c>
      <c r="M3057" s="12"/>
      <c r="N3057" s="40">
        <f t="shared" si="138"/>
        <v>0</v>
      </c>
      <c r="O3057" s="43">
        <f>0.494*M3057</f>
        <v>0</v>
      </c>
      <c r="P3057" s="46">
        <f>0.0006*M3057</f>
        <v>0</v>
      </c>
      <c r="Q3057" s="44"/>
      <c r="R3057" s="45" t="s">
        <v>9572</v>
      </c>
      <c r="S3057" s="45" t="s">
        <v>93</v>
      </c>
      <c r="T3057" s="37" t="str">
        <f>HYPERLINK("https://kanzpp.ru/api/getInfo/image/cb2481ac-779f-11ec-a210-ac1f6b442185")</f>
        <v>https://kanzpp.ru/api/getInfo/image/cb2481ac-779f-11ec-a210-ac1f6b442185</v>
      </c>
      <c r="U3057" s="37"/>
    </row>
    <row r="3058" spans="2:21" ht="21" customHeight="1" outlineLevel="4" x14ac:dyDescent="0.2">
      <c r="B3058" s="71">
        <v>2274</v>
      </c>
      <c r="C3058" s="37" t="s">
        <v>9573</v>
      </c>
      <c r="D3058" s="37" t="s">
        <v>9574</v>
      </c>
      <c r="E3058" s="38" t="s">
        <v>9575</v>
      </c>
      <c r="F3058" s="39"/>
      <c r="G3058" s="40"/>
      <c r="H3058" s="40"/>
      <c r="I3058" s="41">
        <v>10</v>
      </c>
      <c r="J3058" s="41">
        <v>76</v>
      </c>
      <c r="K3058" s="36">
        <v>4</v>
      </c>
      <c r="L3058" s="42">
        <f>(161.72*(1-O3/100))/0.75</f>
        <v>215.62666666666667</v>
      </c>
      <c r="M3058" s="12"/>
      <c r="N3058" s="40">
        <f t="shared" si="138"/>
        <v>0</v>
      </c>
      <c r="O3058" s="43">
        <f>0.456*M3058</f>
        <v>0</v>
      </c>
      <c r="P3058" s="47">
        <f>0.00076*M3058</f>
        <v>0</v>
      </c>
      <c r="Q3058" s="44"/>
      <c r="R3058" s="45" t="s">
        <v>9576</v>
      </c>
      <c r="S3058" s="45" t="s">
        <v>93</v>
      </c>
      <c r="T3058" s="37" t="str">
        <f>HYPERLINK("https://kanzpp.ru/api/getInfo/image/43984879-4d00-11f0-a27e-00155d82e908")</f>
        <v>https://kanzpp.ru/api/getInfo/image/43984879-4d00-11f0-a27e-00155d82e908</v>
      </c>
      <c r="U3058" s="37"/>
    </row>
    <row r="3059" spans="2:21" ht="21" customHeight="1" outlineLevel="4" x14ac:dyDescent="0.2">
      <c r="B3059" s="71">
        <v>2275</v>
      </c>
      <c r="C3059" s="37" t="s">
        <v>9577</v>
      </c>
      <c r="D3059" s="37" t="s">
        <v>9578</v>
      </c>
      <c r="E3059" s="38" t="s">
        <v>9579</v>
      </c>
      <c r="F3059" s="39"/>
      <c r="G3059" s="40"/>
      <c r="H3059" s="40"/>
      <c r="I3059" s="41">
        <v>10</v>
      </c>
      <c r="J3059" s="41">
        <v>148</v>
      </c>
      <c r="K3059" s="36">
        <v>4</v>
      </c>
      <c r="L3059" s="42">
        <f>(161.72*(1-O3/100))/0.75</f>
        <v>215.62666666666667</v>
      </c>
      <c r="M3059" s="12"/>
      <c r="N3059" s="40">
        <f t="shared" si="138"/>
        <v>0</v>
      </c>
      <c r="O3059" s="43">
        <f>0.456*M3059</f>
        <v>0</v>
      </c>
      <c r="P3059" s="47">
        <f>0.00076*M3059</f>
        <v>0</v>
      </c>
      <c r="Q3059" s="44"/>
      <c r="R3059" s="45" t="s">
        <v>9580</v>
      </c>
      <c r="S3059" s="45" t="s">
        <v>93</v>
      </c>
      <c r="T3059" s="37" t="str">
        <f>HYPERLINK("https://kanzpp.ru/api/getInfo/image/a8b77153-873a-11f0-a284-00155d82e908")</f>
        <v>https://kanzpp.ru/api/getInfo/image/a8b77153-873a-11f0-a284-00155d82e908</v>
      </c>
      <c r="U3059" s="37"/>
    </row>
    <row r="3060" spans="2:21" ht="21" customHeight="1" outlineLevel="4" x14ac:dyDescent="0.2">
      <c r="B3060" s="71">
        <v>2276</v>
      </c>
      <c r="C3060" s="37" t="s">
        <v>9581</v>
      </c>
      <c r="D3060" s="37" t="s">
        <v>9582</v>
      </c>
      <c r="E3060" s="38" t="s">
        <v>9583</v>
      </c>
      <c r="F3060" s="39"/>
      <c r="G3060" s="40"/>
      <c r="H3060" s="40"/>
      <c r="I3060" s="41">
        <v>10</v>
      </c>
      <c r="J3060" s="50">
        <v>1909</v>
      </c>
      <c r="K3060" s="36">
        <v>4</v>
      </c>
      <c r="L3060" s="42">
        <f>(161.72*(1-O3/100))/0.75</f>
        <v>215.62666666666667</v>
      </c>
      <c r="M3060" s="12"/>
      <c r="N3060" s="40">
        <f t="shared" si="138"/>
        <v>0</v>
      </c>
      <c r="O3060" s="43">
        <f>0.494*M3060</f>
        <v>0</v>
      </c>
      <c r="P3060" s="46">
        <f>0.0006*M3060</f>
        <v>0</v>
      </c>
      <c r="Q3060" s="44"/>
      <c r="R3060" s="45" t="s">
        <v>9584</v>
      </c>
      <c r="S3060" s="45" t="s">
        <v>93</v>
      </c>
      <c r="T3060" s="37" t="str">
        <f>HYPERLINK("https://kanzpp.ru/api/getInfo/image/19b911d1-8ccd-11e4-9a91-5cf3fc4a2490")</f>
        <v>https://kanzpp.ru/api/getInfo/image/19b911d1-8ccd-11e4-9a91-5cf3fc4a2490</v>
      </c>
      <c r="U3060" s="37"/>
    </row>
    <row r="3061" spans="2:21" ht="21" customHeight="1" outlineLevel="4" x14ac:dyDescent="0.2">
      <c r="B3061" s="71">
        <v>2277</v>
      </c>
      <c r="C3061" s="37" t="s">
        <v>9585</v>
      </c>
      <c r="D3061" s="37" t="s">
        <v>9586</v>
      </c>
      <c r="E3061" s="38" t="s">
        <v>9587</v>
      </c>
      <c r="F3061" s="39"/>
      <c r="G3061" s="40"/>
      <c r="H3061" s="40"/>
      <c r="I3061" s="41">
        <v>10</v>
      </c>
      <c r="J3061" s="41">
        <v>664</v>
      </c>
      <c r="K3061" s="36">
        <v>4</v>
      </c>
      <c r="L3061" s="42">
        <f>(161.72*(1-O3/100))/0.75</f>
        <v>215.62666666666667</v>
      </c>
      <c r="M3061" s="12"/>
      <c r="N3061" s="40">
        <f t="shared" si="138"/>
        <v>0</v>
      </c>
      <c r="O3061" s="43">
        <f>0.494*M3061</f>
        <v>0</v>
      </c>
      <c r="P3061" s="46">
        <f>0.0006*M3061</f>
        <v>0</v>
      </c>
      <c r="Q3061" s="44"/>
      <c r="R3061" s="45" t="s">
        <v>9588</v>
      </c>
      <c r="S3061" s="45" t="s">
        <v>93</v>
      </c>
      <c r="T3061" s="37" t="str">
        <f>HYPERLINK("https://kanzpp.ru/api/getInfo/image/7c5f5772-779f-11ec-a210-ac1f6b442185")</f>
        <v>https://kanzpp.ru/api/getInfo/image/7c5f5772-779f-11ec-a210-ac1f6b442185</v>
      </c>
      <c r="U3061" s="37"/>
    </row>
    <row r="3062" spans="2:21" ht="21" customHeight="1" outlineLevel="4" x14ac:dyDescent="0.2">
      <c r="B3062" s="71">
        <v>2278</v>
      </c>
      <c r="C3062" s="37" t="s">
        <v>9589</v>
      </c>
      <c r="D3062" s="37" t="s">
        <v>9590</v>
      </c>
      <c r="E3062" s="38" t="s">
        <v>9591</v>
      </c>
      <c r="F3062" s="39"/>
      <c r="G3062" s="40"/>
      <c r="H3062" s="40"/>
      <c r="I3062" s="41">
        <v>10</v>
      </c>
      <c r="J3062" s="41">
        <v>331</v>
      </c>
      <c r="K3062" s="36">
        <v>4</v>
      </c>
      <c r="L3062" s="42">
        <f>(161.72*(1-O3/100))/0.75</f>
        <v>215.62666666666667</v>
      </c>
      <c r="M3062" s="12"/>
      <c r="N3062" s="40">
        <f t="shared" si="138"/>
        <v>0</v>
      </c>
      <c r="O3062" s="43">
        <f>0.442*M3062</f>
        <v>0</v>
      </c>
      <c r="P3062" s="47">
        <f>0.00076*M3062</f>
        <v>0</v>
      </c>
      <c r="Q3062" s="44"/>
      <c r="R3062" s="45" t="s">
        <v>9592</v>
      </c>
      <c r="S3062" s="45" t="s">
        <v>93</v>
      </c>
      <c r="T3062" s="37" t="str">
        <f>HYPERLINK("https://kanzpp.ru/api/getInfo/image/23294b14-779f-11ec-a210-ac1f6b442185")</f>
        <v>https://kanzpp.ru/api/getInfo/image/23294b14-779f-11ec-a210-ac1f6b442185</v>
      </c>
      <c r="U3062" s="37"/>
    </row>
    <row r="3063" spans="2:21" ht="21" customHeight="1" outlineLevel="4" x14ac:dyDescent="0.2">
      <c r="B3063" s="71">
        <v>2279</v>
      </c>
      <c r="C3063" s="37" t="s">
        <v>9593</v>
      </c>
      <c r="D3063" s="37" t="s">
        <v>9594</v>
      </c>
      <c r="E3063" s="38" t="s">
        <v>9595</v>
      </c>
      <c r="F3063" s="39"/>
      <c r="G3063" s="40"/>
      <c r="H3063" s="40"/>
      <c r="I3063" s="41">
        <v>10</v>
      </c>
      <c r="J3063" s="50">
        <v>1022</v>
      </c>
      <c r="K3063" s="36">
        <v>4</v>
      </c>
      <c r="L3063" s="42">
        <f>(161.72*(1-O3/100))/0.75</f>
        <v>215.62666666666667</v>
      </c>
      <c r="M3063" s="12"/>
      <c r="N3063" s="40">
        <f t="shared" si="138"/>
        <v>0</v>
      </c>
      <c r="O3063" s="43">
        <f>0.494*M3063</f>
        <v>0</v>
      </c>
      <c r="P3063" s="46">
        <f>0.0006*M3063</f>
        <v>0</v>
      </c>
      <c r="Q3063" s="44"/>
      <c r="R3063" s="45" t="s">
        <v>9596</v>
      </c>
      <c r="S3063" s="45" t="s">
        <v>93</v>
      </c>
      <c r="T3063" s="37" t="str">
        <f>HYPERLINK("https://kanzpp.ru/api/getInfo/image/fb13a6cd-f520-11e3-98b8-5cf3fc4a2490")</f>
        <v>https://kanzpp.ru/api/getInfo/image/fb13a6cd-f520-11e3-98b8-5cf3fc4a2490</v>
      </c>
      <c r="U3063" s="37"/>
    </row>
    <row r="3064" spans="2:21" ht="21" customHeight="1" outlineLevel="4" x14ac:dyDescent="0.2">
      <c r="B3064" s="71">
        <v>2280</v>
      </c>
      <c r="C3064" s="37" t="s">
        <v>9597</v>
      </c>
      <c r="D3064" s="37" t="s">
        <v>9598</v>
      </c>
      <c r="E3064" s="38" t="s">
        <v>9599</v>
      </c>
      <c r="F3064" s="39"/>
      <c r="G3064" s="40"/>
      <c r="H3064" s="40"/>
      <c r="I3064" s="41">
        <v>10</v>
      </c>
      <c r="J3064" s="41">
        <v>913</v>
      </c>
      <c r="K3064" s="36">
        <v>4</v>
      </c>
      <c r="L3064" s="42">
        <f>(161.72*(1-O3/100))/0.75</f>
        <v>215.62666666666667</v>
      </c>
      <c r="M3064" s="12"/>
      <c r="N3064" s="40">
        <f t="shared" si="138"/>
        <v>0</v>
      </c>
      <c r="O3064" s="48">
        <f>0.45*M3064</f>
        <v>0</v>
      </c>
      <c r="P3064" s="47">
        <f>0.00065*M3064</f>
        <v>0</v>
      </c>
      <c r="Q3064" s="44"/>
      <c r="R3064" s="45" t="s">
        <v>9600</v>
      </c>
      <c r="S3064" s="45" t="s">
        <v>93</v>
      </c>
      <c r="T3064" s="37" t="str">
        <f>HYPERLINK("https://kanzpp.ru/api/getInfo/image/857cafcd-8739-11f0-a284-00155d82e908")</f>
        <v>https://kanzpp.ru/api/getInfo/image/857cafcd-8739-11f0-a284-00155d82e908</v>
      </c>
      <c r="U3064" s="37"/>
    </row>
    <row r="3065" spans="2:21" ht="22.95" customHeight="1" outlineLevel="3" x14ac:dyDescent="0.2">
      <c r="B3065" s="81" t="s">
        <v>9601</v>
      </c>
      <c r="C3065" s="81"/>
      <c r="D3065" s="81"/>
      <c r="L3065">
        <v>0</v>
      </c>
    </row>
    <row r="3066" spans="2:21" ht="21" customHeight="1" outlineLevel="4" x14ac:dyDescent="0.2">
      <c r="B3066" s="71">
        <v>2281</v>
      </c>
      <c r="C3066" s="37" t="s">
        <v>9602</v>
      </c>
      <c r="D3066" s="37" t="s">
        <v>9603</v>
      </c>
      <c r="E3066" s="38" t="s">
        <v>9604</v>
      </c>
      <c r="F3066" s="39"/>
      <c r="G3066" s="40"/>
      <c r="H3066" s="40"/>
      <c r="I3066" s="41">
        <v>10</v>
      </c>
      <c r="J3066" s="41">
        <v>912</v>
      </c>
      <c r="K3066" s="36">
        <v>3</v>
      </c>
      <c r="L3066" s="42">
        <f>(215.45*(1-O3/100))/0.75</f>
        <v>287.26666666666665</v>
      </c>
      <c r="M3066" s="12"/>
      <c r="N3066" s="40">
        <f>L3066*M3066</f>
        <v>0</v>
      </c>
      <c r="O3066" s="43">
        <f>0.582*M3066</f>
        <v>0</v>
      </c>
      <c r="P3066" s="47">
        <f>0.00074*M3066</f>
        <v>0</v>
      </c>
      <c r="Q3066" s="44"/>
      <c r="R3066" s="45" t="s">
        <v>9605</v>
      </c>
      <c r="S3066" s="45" t="s">
        <v>93</v>
      </c>
      <c r="T3066" s="37" t="str">
        <f>HYPERLINK("https://kanzpp.ru/api/getInfo/image/309f9400-0387-11e5-aad1-5cf3fc4a2490")</f>
        <v>https://kanzpp.ru/api/getInfo/image/309f9400-0387-11e5-aad1-5cf3fc4a2490</v>
      </c>
      <c r="U3066" s="37"/>
    </row>
    <row r="3067" spans="2:21" ht="21" customHeight="1" outlineLevel="4" x14ac:dyDescent="0.2">
      <c r="B3067" s="71">
        <v>2282</v>
      </c>
      <c r="C3067" s="37" t="s">
        <v>9606</v>
      </c>
      <c r="D3067" s="37" t="s">
        <v>9607</v>
      </c>
      <c r="E3067" s="38" t="s">
        <v>9608</v>
      </c>
      <c r="F3067" s="39"/>
      <c r="G3067" s="40"/>
      <c r="H3067" s="40"/>
      <c r="I3067" s="41">
        <v>10</v>
      </c>
      <c r="J3067" s="40" t="s">
        <v>144</v>
      </c>
      <c r="K3067" s="36">
        <v>3</v>
      </c>
      <c r="L3067" s="42">
        <f>(215.45*(1-O3/100))/0.75</f>
        <v>287.26666666666665</v>
      </c>
      <c r="M3067" s="12"/>
      <c r="N3067" s="40">
        <f>L3067*M3067</f>
        <v>0</v>
      </c>
      <c r="O3067" s="43">
        <f>0.582*M3067</f>
        <v>0</v>
      </c>
      <c r="P3067" s="47">
        <f>0.00074*M3067</f>
        <v>0</v>
      </c>
      <c r="Q3067" s="44"/>
      <c r="R3067" s="45" t="s">
        <v>9609</v>
      </c>
      <c r="S3067" s="45" t="s">
        <v>93</v>
      </c>
      <c r="T3067" s="37" t="str">
        <f>HYPERLINK("https://kanzpp.ru/api/getInfo/image/5f00cb04-0387-11e5-aad1-5cf3fc4a2490")</f>
        <v>https://kanzpp.ru/api/getInfo/image/5f00cb04-0387-11e5-aad1-5cf3fc4a2490</v>
      </c>
      <c r="U3067" s="37"/>
    </row>
    <row r="3068" spans="2:21" ht="21" customHeight="1" outlineLevel="4" x14ac:dyDescent="0.2">
      <c r="B3068" s="71">
        <v>2283</v>
      </c>
      <c r="C3068" s="37" t="s">
        <v>9610</v>
      </c>
      <c r="D3068" s="37" t="s">
        <v>9611</v>
      </c>
      <c r="E3068" s="38" t="s">
        <v>9612</v>
      </c>
      <c r="F3068" s="39"/>
      <c r="G3068" s="40"/>
      <c r="H3068" s="40"/>
      <c r="I3068" s="41">
        <v>10</v>
      </c>
      <c r="J3068" s="41">
        <v>631</v>
      </c>
      <c r="K3068" s="36">
        <v>3</v>
      </c>
      <c r="L3068" s="42">
        <f>(215.45*(1-O3/100))/0.75</f>
        <v>287.26666666666665</v>
      </c>
      <c r="M3068" s="12"/>
      <c r="N3068" s="40">
        <f>L3068*M3068</f>
        <v>0</v>
      </c>
      <c r="O3068" s="43">
        <f>5.172*M3068</f>
        <v>0</v>
      </c>
      <c r="P3068" s="47">
        <f>0.00822*M3068</f>
        <v>0</v>
      </c>
      <c r="Q3068" s="44"/>
      <c r="R3068" s="45" t="s">
        <v>9613</v>
      </c>
      <c r="S3068" s="45" t="s">
        <v>93</v>
      </c>
      <c r="T3068" s="37" t="str">
        <f>HYPERLINK("https://kanzpp.ru/api/getInfo/image/2a5e1051-f521-11e3-98b8-5cf3fc4a2490")</f>
        <v>https://kanzpp.ru/api/getInfo/image/2a5e1051-f521-11e3-98b8-5cf3fc4a2490</v>
      </c>
      <c r="U3068" s="37"/>
    </row>
    <row r="3069" spans="2:21" ht="21" customHeight="1" outlineLevel="4" x14ac:dyDescent="0.2">
      <c r="B3069" s="71">
        <v>2284</v>
      </c>
      <c r="C3069" s="37" t="s">
        <v>9614</v>
      </c>
      <c r="D3069" s="37" t="s">
        <v>9615</v>
      </c>
      <c r="E3069" s="38" t="s">
        <v>9616</v>
      </c>
      <c r="F3069" s="39"/>
      <c r="G3069" s="40"/>
      <c r="H3069" s="40"/>
      <c r="I3069" s="41">
        <v>10</v>
      </c>
      <c r="J3069" s="41">
        <v>447</v>
      </c>
      <c r="K3069" s="36">
        <v>3</v>
      </c>
      <c r="L3069" s="42">
        <f>(215.45*(1-O3/100))/0.75</f>
        <v>287.26666666666665</v>
      </c>
      <c r="M3069" s="12"/>
      <c r="N3069" s="40">
        <f>L3069*M3069</f>
        <v>0</v>
      </c>
      <c r="O3069" s="43">
        <f>0.582*M3069</f>
        <v>0</v>
      </c>
      <c r="P3069" s="47">
        <f>0.00074*M3069</f>
        <v>0</v>
      </c>
      <c r="Q3069" s="44"/>
      <c r="R3069" s="45" t="s">
        <v>9617</v>
      </c>
      <c r="S3069" s="45" t="s">
        <v>93</v>
      </c>
      <c r="T3069" s="37" t="str">
        <f>HYPERLINK("https://kanzpp.ru/api/getInfo/image/6d036cc2-77a0-11ec-a210-ac1f6b442185")</f>
        <v>https://kanzpp.ru/api/getInfo/image/6d036cc2-77a0-11ec-a210-ac1f6b442185</v>
      </c>
      <c r="U3069" s="37"/>
    </row>
    <row r="3070" spans="2:21" ht="21" customHeight="1" outlineLevel="4" x14ac:dyDescent="0.2">
      <c r="B3070" s="71">
        <v>2285</v>
      </c>
      <c r="C3070" s="37" t="s">
        <v>9618</v>
      </c>
      <c r="D3070" s="37" t="s">
        <v>9619</v>
      </c>
      <c r="E3070" s="38" t="s">
        <v>9620</v>
      </c>
      <c r="F3070" s="39"/>
      <c r="G3070" s="40"/>
      <c r="H3070" s="40"/>
      <c r="I3070" s="41">
        <v>10</v>
      </c>
      <c r="J3070" s="50">
        <v>1671</v>
      </c>
      <c r="K3070" s="36">
        <v>3</v>
      </c>
      <c r="L3070" s="42">
        <f>(215.45*(1-O3/100))/0.75</f>
        <v>287.26666666666665</v>
      </c>
      <c r="M3070" s="12"/>
      <c r="N3070" s="40">
        <f>L3070*M3070</f>
        <v>0</v>
      </c>
      <c r="O3070" s="43">
        <f>0.528*M3070</f>
        <v>0</v>
      </c>
      <c r="P3070" s="47">
        <f>0.00083*M3070</f>
        <v>0</v>
      </c>
      <c r="Q3070" s="44"/>
      <c r="R3070" s="45" t="s">
        <v>9621</v>
      </c>
      <c r="S3070" s="45" t="s">
        <v>93</v>
      </c>
      <c r="T3070" s="37" t="str">
        <f>HYPERLINK("https://kanzpp.ru/api/getInfo/image/74828091-873b-11f0-a284-00155d82e908")</f>
        <v>https://kanzpp.ru/api/getInfo/image/74828091-873b-11f0-a284-00155d82e908</v>
      </c>
      <c r="U3070" s="37"/>
    </row>
    <row r="3071" spans="2:21" ht="22.95" customHeight="1" outlineLevel="3" x14ac:dyDescent="0.2">
      <c r="B3071" s="81" t="s">
        <v>9622</v>
      </c>
      <c r="C3071" s="81"/>
      <c r="D3071" s="81"/>
      <c r="L3071">
        <v>0</v>
      </c>
    </row>
    <row r="3072" spans="2:21" ht="21" customHeight="1" outlineLevel="4" x14ac:dyDescent="0.2">
      <c r="B3072" s="71">
        <v>2286</v>
      </c>
      <c r="C3072" s="37" t="s">
        <v>9623</v>
      </c>
      <c r="D3072" s="37" t="s">
        <v>9624</v>
      </c>
      <c r="E3072" s="38" t="s">
        <v>9625</v>
      </c>
      <c r="F3072" s="39"/>
      <c r="G3072" s="40"/>
      <c r="H3072" s="40"/>
      <c r="I3072" s="41">
        <v>10</v>
      </c>
      <c r="J3072" s="50">
        <v>1381</v>
      </c>
      <c r="K3072" s="36">
        <v>3</v>
      </c>
      <c r="L3072" s="42">
        <f>(246.09*(1-O3/100))/0.75</f>
        <v>328.12</v>
      </c>
      <c r="M3072" s="12"/>
      <c r="N3072" s="40">
        <f>L3072*M3072</f>
        <v>0</v>
      </c>
      <c r="O3072" s="43">
        <f>0.648*M3072</f>
        <v>0</v>
      </c>
      <c r="P3072" s="47">
        <f>0.00101*M3072</f>
        <v>0</v>
      </c>
      <c r="Q3072" s="44"/>
      <c r="R3072" s="45" t="s">
        <v>9626</v>
      </c>
      <c r="S3072" s="45" t="s">
        <v>93</v>
      </c>
      <c r="T3072" s="37" t="str">
        <f>HYPERLINK("https://kanzpp.ru/api/getInfo/image/126ff24d-873c-11f0-a284-00155d82e908")</f>
        <v>https://kanzpp.ru/api/getInfo/image/126ff24d-873c-11f0-a284-00155d82e908</v>
      </c>
      <c r="U3072" s="37"/>
    </row>
    <row r="3073" spans="2:22" ht="21" customHeight="1" outlineLevel="4" x14ac:dyDescent="0.2">
      <c r="B3073" s="71">
        <v>2287</v>
      </c>
      <c r="C3073" s="37" t="s">
        <v>9627</v>
      </c>
      <c r="D3073" s="37" t="s">
        <v>9628</v>
      </c>
      <c r="E3073" s="38" t="s">
        <v>9629</v>
      </c>
      <c r="F3073" s="39"/>
      <c r="G3073" s="40"/>
      <c r="H3073" s="40"/>
      <c r="I3073" s="41">
        <v>10</v>
      </c>
      <c r="J3073" s="40" t="s">
        <v>144</v>
      </c>
      <c r="K3073" s="36">
        <v>3</v>
      </c>
      <c r="L3073" s="42">
        <f>(246.09*(1-O3/100))/0.75</f>
        <v>328.12</v>
      </c>
      <c r="M3073" s="12"/>
      <c r="N3073" s="40">
        <f>L3073*M3073</f>
        <v>0</v>
      </c>
      <c r="O3073" s="43">
        <f>0.664*M3073</f>
        <v>0</v>
      </c>
      <c r="P3073" s="47">
        <f>0.00092*M3073</f>
        <v>0</v>
      </c>
      <c r="Q3073" s="44"/>
      <c r="R3073" s="45" t="s">
        <v>9630</v>
      </c>
      <c r="S3073" s="45" t="s">
        <v>93</v>
      </c>
      <c r="T3073" s="37" t="str">
        <f>HYPERLINK("https://kanzpp.ru/api/getInfo/image/46d36a86-f6ed-11e3-98b8-5cf3fc4a2490")</f>
        <v>https://kanzpp.ru/api/getInfo/image/46d36a86-f6ed-11e3-98b8-5cf3fc4a2490</v>
      </c>
      <c r="U3073" s="37"/>
    </row>
    <row r="3074" spans="2:22" ht="21" customHeight="1" outlineLevel="4" x14ac:dyDescent="0.2">
      <c r="B3074" s="71">
        <v>2288</v>
      </c>
      <c r="C3074" s="37" t="s">
        <v>9631</v>
      </c>
      <c r="D3074" s="37" t="s">
        <v>9632</v>
      </c>
      <c r="E3074" s="38" t="s">
        <v>9633</v>
      </c>
      <c r="F3074" s="39"/>
      <c r="G3074" s="40"/>
      <c r="H3074" s="40"/>
      <c r="I3074" s="41">
        <v>10</v>
      </c>
      <c r="J3074" s="50">
        <v>1123</v>
      </c>
      <c r="K3074" s="36">
        <v>3</v>
      </c>
      <c r="L3074" s="42">
        <f>(246.09*(1-O3/100))/0.75</f>
        <v>328.12</v>
      </c>
      <c r="M3074" s="12"/>
      <c r="N3074" s="40">
        <f>L3074*M3074</f>
        <v>0</v>
      </c>
      <c r="O3074" s="43">
        <f>0.648*M3074</f>
        <v>0</v>
      </c>
      <c r="P3074" s="47">
        <f>0.00101*M3074</f>
        <v>0</v>
      </c>
      <c r="Q3074" s="44"/>
      <c r="R3074" s="45" t="s">
        <v>9634</v>
      </c>
      <c r="S3074" s="45" t="s">
        <v>93</v>
      </c>
      <c r="T3074" s="37" t="str">
        <f>HYPERLINK("https://kanzpp.ru/api/getInfo/image/bfca2b5a-873b-11f0-a284-00155d82e908")</f>
        <v>https://kanzpp.ru/api/getInfo/image/bfca2b5a-873b-11f0-a284-00155d82e908</v>
      </c>
      <c r="U3074" s="37"/>
    </row>
    <row r="3075" spans="2:22" ht="22.95" customHeight="1" outlineLevel="3" x14ac:dyDescent="0.2">
      <c r="B3075" s="81" t="s">
        <v>9635</v>
      </c>
      <c r="C3075" s="81"/>
      <c r="D3075" s="81"/>
      <c r="L3075">
        <v>0</v>
      </c>
    </row>
    <row r="3076" spans="2:22" ht="21" customHeight="1" outlineLevel="4" x14ac:dyDescent="0.2">
      <c r="B3076" s="71">
        <v>2289</v>
      </c>
      <c r="C3076" s="37" t="s">
        <v>9636</v>
      </c>
      <c r="D3076" s="37" t="s">
        <v>9637</v>
      </c>
      <c r="E3076" s="38" t="s">
        <v>9638</v>
      </c>
      <c r="F3076" s="39"/>
      <c r="G3076" s="40"/>
      <c r="H3076" s="40"/>
      <c r="I3076" s="41">
        <v>8</v>
      </c>
      <c r="J3076" s="41">
        <v>43</v>
      </c>
      <c r="K3076" s="36">
        <v>2</v>
      </c>
      <c r="L3076" s="42">
        <f>(289.83*(1-O3/100))/0.75</f>
        <v>386.44</v>
      </c>
      <c r="M3076" s="12"/>
      <c r="N3076" s="40">
        <f t="shared" ref="N3076:N3084" si="139">L3076*M3076</f>
        <v>0</v>
      </c>
      <c r="O3076" s="43">
        <f>0.859*M3076</f>
        <v>0</v>
      </c>
      <c r="P3076" s="47">
        <f>0.00106*M3076</f>
        <v>0</v>
      </c>
      <c r="Q3076" s="44"/>
      <c r="R3076" s="45" t="s">
        <v>9639</v>
      </c>
      <c r="S3076" s="45" t="s">
        <v>93</v>
      </c>
      <c r="T3076" s="37" t="str">
        <f>HYPERLINK("https://kanzpp.ru/api/getInfo/image/0b773a6a-77a2-11ec-a210-ac1f6b442185")</f>
        <v>https://kanzpp.ru/api/getInfo/image/0b773a6a-77a2-11ec-a210-ac1f6b442185</v>
      </c>
      <c r="U3076" s="37"/>
    </row>
    <row r="3077" spans="2:22" ht="21" customHeight="1" outlineLevel="4" x14ac:dyDescent="0.2">
      <c r="B3077" s="71">
        <v>2290</v>
      </c>
      <c r="C3077" s="37" t="s">
        <v>9640</v>
      </c>
      <c r="D3077" s="37" t="s">
        <v>9641</v>
      </c>
      <c r="E3077" s="38" t="s">
        <v>9642</v>
      </c>
      <c r="F3077" s="39"/>
      <c r="G3077" s="40"/>
      <c r="H3077" s="40"/>
      <c r="I3077" s="41">
        <v>8</v>
      </c>
      <c r="J3077" s="40" t="s">
        <v>144</v>
      </c>
      <c r="K3077" s="36">
        <v>2</v>
      </c>
      <c r="L3077" s="42">
        <f>(289.83*(1-O3/100))/0.75</f>
        <v>386.44</v>
      </c>
      <c r="M3077" s="12"/>
      <c r="N3077" s="40">
        <f t="shared" si="139"/>
        <v>0</v>
      </c>
      <c r="O3077" s="43">
        <f>0.748*M3077</f>
        <v>0</v>
      </c>
      <c r="P3077" s="47">
        <f>0.00102*M3077</f>
        <v>0</v>
      </c>
      <c r="Q3077" s="44"/>
      <c r="R3077" s="45" t="s">
        <v>9643</v>
      </c>
      <c r="S3077" s="45" t="s">
        <v>93</v>
      </c>
      <c r="T3077" s="37" t="str">
        <f>HYPERLINK("https://kanzpp.ru/api/getInfo/image/e6d38975-ab03-11e6-a48a-5cf3fc4a2490")</f>
        <v>https://kanzpp.ru/api/getInfo/image/e6d38975-ab03-11e6-a48a-5cf3fc4a2490</v>
      </c>
      <c r="U3077" s="37"/>
    </row>
    <row r="3078" spans="2:22" ht="21" customHeight="1" outlineLevel="4" x14ac:dyDescent="0.2">
      <c r="B3078" s="71">
        <v>2291</v>
      </c>
      <c r="C3078" s="37" t="s">
        <v>9644</v>
      </c>
      <c r="D3078" s="37" t="s">
        <v>9645</v>
      </c>
      <c r="E3078" s="38" t="s">
        <v>9646</v>
      </c>
      <c r="F3078" s="39"/>
      <c r="G3078" s="40"/>
      <c r="H3078" s="40"/>
      <c r="I3078" s="41">
        <v>8</v>
      </c>
      <c r="J3078" s="50">
        <v>1128</v>
      </c>
      <c r="K3078" s="36">
        <v>2</v>
      </c>
      <c r="L3078" s="42">
        <f>(289.83*(1-O3/100))/0.75</f>
        <v>386.44</v>
      </c>
      <c r="M3078" s="12"/>
      <c r="N3078" s="40">
        <f t="shared" si="139"/>
        <v>0</v>
      </c>
      <c r="O3078" s="49">
        <f>0.8*M3078</f>
        <v>0</v>
      </c>
      <c r="P3078" s="47">
        <f>0.00122*M3078</f>
        <v>0</v>
      </c>
      <c r="Q3078" s="44"/>
      <c r="R3078" s="45" t="s">
        <v>9647</v>
      </c>
      <c r="S3078" s="45" t="s">
        <v>93</v>
      </c>
      <c r="T3078" s="37" t="str">
        <f>HYPERLINK("https://kanzpp.ru/api/getInfo/image/a0e98066-873c-11f0-a284-00155d82e908")</f>
        <v>https://kanzpp.ru/api/getInfo/image/a0e98066-873c-11f0-a284-00155d82e908</v>
      </c>
      <c r="U3078" s="37"/>
    </row>
    <row r="3079" spans="2:22" ht="21" customHeight="1" outlineLevel="4" x14ac:dyDescent="0.2">
      <c r="B3079" s="71">
        <v>2292</v>
      </c>
      <c r="C3079" s="37" t="s">
        <v>9648</v>
      </c>
      <c r="D3079" s="37" t="s">
        <v>9649</v>
      </c>
      <c r="E3079" s="38" t="s">
        <v>9650</v>
      </c>
      <c r="F3079" s="39"/>
      <c r="G3079" s="40"/>
      <c r="H3079" s="40"/>
      <c r="I3079" s="41">
        <v>8</v>
      </c>
      <c r="J3079" s="41">
        <v>177</v>
      </c>
      <c r="K3079" s="36">
        <v>2</v>
      </c>
      <c r="L3079" s="42">
        <f>(289.83*(1-O3/100))/0.75</f>
        <v>386.44</v>
      </c>
      <c r="M3079" s="12"/>
      <c r="N3079" s="40">
        <f t="shared" si="139"/>
        <v>0</v>
      </c>
      <c r="O3079" s="43">
        <f>0.748*M3079</f>
        <v>0</v>
      </c>
      <c r="P3079" s="47">
        <f>0.00102*M3079</f>
        <v>0</v>
      </c>
      <c r="Q3079" s="44"/>
      <c r="R3079" s="45" t="s">
        <v>9651</v>
      </c>
      <c r="S3079" s="45" t="s">
        <v>93</v>
      </c>
      <c r="T3079" s="37" t="str">
        <f>HYPERLINK("https://kanzpp.ru/api/getInfo/image/a47dba52-8ccd-11e4-9a91-5cf3fc4a2490")</f>
        <v>https://kanzpp.ru/api/getInfo/image/a47dba52-8ccd-11e4-9a91-5cf3fc4a2490</v>
      </c>
      <c r="U3079" s="37"/>
    </row>
    <row r="3080" spans="2:22" ht="21" customHeight="1" outlineLevel="4" x14ac:dyDescent="0.2">
      <c r="B3080" s="71">
        <v>2293</v>
      </c>
      <c r="C3080" s="37" t="s">
        <v>9652</v>
      </c>
      <c r="D3080" s="37" t="s">
        <v>9653</v>
      </c>
      <c r="E3080" s="38" t="s">
        <v>9654</v>
      </c>
      <c r="F3080" s="39"/>
      <c r="G3080" s="40"/>
      <c r="H3080" s="40"/>
      <c r="I3080" s="41">
        <v>8</v>
      </c>
      <c r="J3080" s="41">
        <v>495</v>
      </c>
      <c r="K3080" s="36">
        <v>2</v>
      </c>
      <c r="L3080" s="42">
        <f>(289.83*(1-O3/100))/0.75</f>
        <v>386.44</v>
      </c>
      <c r="M3080" s="12"/>
      <c r="N3080" s="40">
        <f t="shared" si="139"/>
        <v>0</v>
      </c>
      <c r="O3080" s="43">
        <f>0.859*M3080</f>
        <v>0</v>
      </c>
      <c r="P3080" s="47">
        <f>0.00106*M3080</f>
        <v>0</v>
      </c>
      <c r="Q3080" s="44"/>
      <c r="R3080" s="45" t="s">
        <v>9655</v>
      </c>
      <c r="S3080" s="45" t="s">
        <v>93</v>
      </c>
      <c r="T3080" s="37" t="str">
        <f>HYPERLINK("https://kanzpp.ru/api/getInfo/image/194220f5-781c-11ec-a210-ac1f6b442185")</f>
        <v>https://kanzpp.ru/api/getInfo/image/194220f5-781c-11ec-a210-ac1f6b442185</v>
      </c>
      <c r="U3080" s="37"/>
    </row>
    <row r="3081" spans="2:22" ht="21" customHeight="1" outlineLevel="4" x14ac:dyDescent="0.2">
      <c r="B3081" s="71">
        <v>2294</v>
      </c>
      <c r="C3081" s="37" t="s">
        <v>9656</v>
      </c>
      <c r="D3081" s="37" t="s">
        <v>9657</v>
      </c>
      <c r="E3081" s="38" t="s">
        <v>9658</v>
      </c>
      <c r="F3081" s="39"/>
      <c r="G3081" s="40"/>
      <c r="H3081" s="40"/>
      <c r="I3081" s="41">
        <v>8</v>
      </c>
      <c r="J3081" s="41">
        <v>444</v>
      </c>
      <c r="K3081" s="36">
        <v>2</v>
      </c>
      <c r="L3081" s="42">
        <f>(289.83*(1-O3/100))/0.75</f>
        <v>386.44</v>
      </c>
      <c r="M3081" s="12"/>
      <c r="N3081" s="40">
        <f t="shared" si="139"/>
        <v>0</v>
      </c>
      <c r="O3081" s="43">
        <f>0.778*M3081</f>
        <v>0</v>
      </c>
      <c r="P3081" s="43">
        <f>0.001*M3081</f>
        <v>0</v>
      </c>
      <c r="Q3081" s="44"/>
      <c r="R3081" s="45" t="s">
        <v>9659</v>
      </c>
      <c r="S3081" s="45" t="s">
        <v>93</v>
      </c>
      <c r="T3081" s="37" t="str">
        <f>HYPERLINK("https://kanzpp.ru/api/getInfo/image/4f61f133-7edf-11ee-a248-00155d82e902")</f>
        <v>https://kanzpp.ru/api/getInfo/image/4f61f133-7edf-11ee-a248-00155d82e902</v>
      </c>
      <c r="U3081" s="37"/>
    </row>
    <row r="3082" spans="2:22" ht="21" customHeight="1" outlineLevel="4" x14ac:dyDescent="0.2">
      <c r="B3082" s="71">
        <v>2295</v>
      </c>
      <c r="C3082" s="37" t="s">
        <v>9660</v>
      </c>
      <c r="D3082" s="37" t="s">
        <v>9661</v>
      </c>
      <c r="E3082" s="38" t="s">
        <v>9662</v>
      </c>
      <c r="F3082" s="39"/>
      <c r="G3082" s="40"/>
      <c r="H3082" s="40"/>
      <c r="I3082" s="41">
        <v>8</v>
      </c>
      <c r="J3082" s="50">
        <v>1352</v>
      </c>
      <c r="K3082" s="36">
        <v>2</v>
      </c>
      <c r="L3082" s="42">
        <f>(289.83*(1-O3/100))/0.75</f>
        <v>386.44</v>
      </c>
      <c r="M3082" s="12"/>
      <c r="N3082" s="40">
        <f t="shared" si="139"/>
        <v>0</v>
      </c>
      <c r="O3082" s="43">
        <f>0.696*M3082</f>
        <v>0</v>
      </c>
      <c r="P3082" s="47">
        <f>0.00117*M3082</f>
        <v>0</v>
      </c>
      <c r="Q3082" s="44"/>
      <c r="R3082" s="45" t="s">
        <v>9663</v>
      </c>
      <c r="S3082" s="45" t="s">
        <v>93</v>
      </c>
      <c r="T3082" s="37" t="str">
        <f>HYPERLINK("https://kanzpp.ru/api/getInfo/image/3236299a-fe2b-11e4-aad1-5cf3fc4a2490")</f>
        <v>https://kanzpp.ru/api/getInfo/image/3236299a-fe2b-11e4-aad1-5cf3fc4a2490</v>
      </c>
      <c r="U3082" s="37"/>
    </row>
    <row r="3083" spans="2:22" ht="21" customHeight="1" outlineLevel="4" x14ac:dyDescent="0.2">
      <c r="B3083" s="69">
        <v>2296</v>
      </c>
      <c r="C3083" s="6" t="s">
        <v>9664</v>
      </c>
      <c r="D3083" s="6" t="s">
        <v>9665</v>
      </c>
      <c r="E3083" s="7" t="s">
        <v>9666</v>
      </c>
      <c r="F3083" s="13"/>
      <c r="G3083" s="14"/>
      <c r="H3083" s="14"/>
      <c r="I3083" s="15">
        <v>8</v>
      </c>
      <c r="J3083" s="15">
        <v>694</v>
      </c>
      <c r="K3083" s="5">
        <v>2</v>
      </c>
      <c r="L3083" s="16">
        <v>243.37333333333333</v>
      </c>
      <c r="M3083" s="12"/>
      <c r="N3083" s="14">
        <f t="shared" si="139"/>
        <v>0</v>
      </c>
      <c r="O3083" s="23">
        <f>0.778*M3083</f>
        <v>0</v>
      </c>
      <c r="P3083" s="23">
        <f>0.001*M3083</f>
        <v>0</v>
      </c>
      <c r="Q3083" s="25"/>
      <c r="R3083" s="26" t="s">
        <v>9667</v>
      </c>
      <c r="S3083" s="26" t="s">
        <v>93</v>
      </c>
      <c r="T3083" s="6" t="str">
        <f>HYPERLINK("https://kanzpp.ru/api/getInfo/image/2504315e-7edf-11ee-a248-00155d82e902")</f>
        <v>https://kanzpp.ru/api/getInfo/image/2504315e-7edf-11ee-a248-00155d82e902</v>
      </c>
      <c r="U3083" s="6"/>
      <c r="V3083" s="33" t="s">
        <v>35</v>
      </c>
    </row>
    <row r="3084" spans="2:22" ht="21" customHeight="1" outlineLevel="4" x14ac:dyDescent="0.2">
      <c r="B3084" s="71">
        <v>2297</v>
      </c>
      <c r="C3084" s="37" t="s">
        <v>9668</v>
      </c>
      <c r="D3084" s="37" t="s">
        <v>9669</v>
      </c>
      <c r="E3084" s="38" t="s">
        <v>9670</v>
      </c>
      <c r="F3084" s="39"/>
      <c r="G3084" s="40"/>
      <c r="H3084" s="40"/>
      <c r="I3084" s="41">
        <v>8</v>
      </c>
      <c r="J3084" s="41">
        <v>925</v>
      </c>
      <c r="K3084" s="36">
        <v>2</v>
      </c>
      <c r="L3084" s="42">
        <f>(289.83*(1-O3/100))/0.75</f>
        <v>386.44</v>
      </c>
      <c r="M3084" s="12"/>
      <c r="N3084" s="40">
        <f t="shared" si="139"/>
        <v>0</v>
      </c>
      <c r="O3084" s="43">
        <f>0.749*M3084</f>
        <v>0</v>
      </c>
      <c r="P3084" s="47">
        <f>0.00106*M3084</f>
        <v>0</v>
      </c>
      <c r="Q3084" s="44"/>
      <c r="R3084" s="45" t="s">
        <v>9671</v>
      </c>
      <c r="S3084" s="45" t="s">
        <v>93</v>
      </c>
      <c r="T3084" s="37" t="str">
        <f>HYPERLINK("https://kanzpp.ru/api/getInfo/image/69f1f82d-873c-11f0-a284-00155d82e908")</f>
        <v>https://kanzpp.ru/api/getInfo/image/69f1f82d-873c-11f0-a284-00155d82e908</v>
      </c>
      <c r="U3084" s="37"/>
    </row>
    <row r="3085" spans="2:22" ht="22.95" customHeight="1" outlineLevel="2" x14ac:dyDescent="0.2">
      <c r="B3085" s="80" t="s">
        <v>9672</v>
      </c>
      <c r="C3085" s="80"/>
      <c r="D3085" s="80"/>
      <c r="L3085">
        <v>0</v>
      </c>
    </row>
    <row r="3086" spans="2:22" ht="21" customHeight="1" outlineLevel="3" x14ac:dyDescent="0.2">
      <c r="B3086" s="69">
        <v>2298</v>
      </c>
      <c r="C3086" s="6" t="s">
        <v>9673</v>
      </c>
      <c r="D3086" s="6" t="s">
        <v>9674</v>
      </c>
      <c r="E3086" s="7" t="s">
        <v>9675</v>
      </c>
      <c r="F3086" s="13"/>
      <c r="G3086" s="14"/>
      <c r="H3086" s="14"/>
      <c r="I3086" s="15">
        <v>10</v>
      </c>
      <c r="J3086" s="17">
        <v>1155</v>
      </c>
      <c r="K3086" s="5">
        <v>4</v>
      </c>
      <c r="L3086" s="16">
        <v>180</v>
      </c>
      <c r="M3086" s="12"/>
      <c r="N3086" s="14">
        <f>L3086*M3086</f>
        <v>0</v>
      </c>
      <c r="O3086" s="28">
        <f>0.47*M3086</f>
        <v>0</v>
      </c>
      <c r="P3086" s="24">
        <f>0.00076*M3086</f>
        <v>0</v>
      </c>
      <c r="Q3086" s="25"/>
      <c r="R3086" s="26" t="s">
        <v>9676</v>
      </c>
      <c r="S3086" s="26" t="s">
        <v>93</v>
      </c>
      <c r="T3086" s="6" t="str">
        <f>HYPERLINK("https://kanzpp.ru/api/getInfo/image/e25a4f35-8736-11f0-a284-00155d82e908")</f>
        <v>https://kanzpp.ru/api/getInfo/image/e25a4f35-8736-11f0-a284-00155d82e908</v>
      </c>
      <c r="U3086" s="6"/>
      <c r="V3086" s="33" t="s">
        <v>35</v>
      </c>
    </row>
    <row r="3087" spans="2:22" ht="21" customHeight="1" outlineLevel="3" x14ac:dyDescent="0.2">
      <c r="B3087" s="69">
        <v>2299</v>
      </c>
      <c r="C3087" s="6" t="s">
        <v>9677</v>
      </c>
      <c r="D3087" s="6" t="s">
        <v>9678</v>
      </c>
      <c r="E3087" s="7" t="s">
        <v>9679</v>
      </c>
      <c r="F3087" s="13"/>
      <c r="G3087" s="14"/>
      <c r="H3087" s="14"/>
      <c r="I3087" s="15">
        <v>10</v>
      </c>
      <c r="J3087" s="15">
        <v>114</v>
      </c>
      <c r="K3087" s="5">
        <v>4</v>
      </c>
      <c r="L3087" s="16">
        <v>180</v>
      </c>
      <c r="M3087" s="12"/>
      <c r="N3087" s="14">
        <f>L3087*M3087</f>
        <v>0</v>
      </c>
      <c r="O3087" s="23">
        <f>0.466*M3087</f>
        <v>0</v>
      </c>
      <c r="P3087" s="24">
        <f>0.00076*M3087</f>
        <v>0</v>
      </c>
      <c r="Q3087" s="25"/>
      <c r="R3087" s="26" t="s">
        <v>9680</v>
      </c>
      <c r="S3087" s="26" t="s">
        <v>93</v>
      </c>
      <c r="T3087" s="6"/>
      <c r="U3087" s="6"/>
      <c r="V3087" s="33" t="s">
        <v>35</v>
      </c>
    </row>
    <row r="3088" spans="2:22" ht="22.95" customHeight="1" outlineLevel="2" x14ac:dyDescent="0.2">
      <c r="B3088" s="80" t="s">
        <v>9681</v>
      </c>
      <c r="C3088" s="80"/>
      <c r="D3088" s="80"/>
      <c r="L3088">
        <v>0</v>
      </c>
    </row>
    <row r="3089" spans="2:22" ht="22.95" customHeight="1" outlineLevel="3" x14ac:dyDescent="0.2">
      <c r="B3089" s="81" t="s">
        <v>9682</v>
      </c>
      <c r="C3089" s="81"/>
      <c r="D3089" s="81"/>
      <c r="L3089">
        <v>0</v>
      </c>
    </row>
    <row r="3090" spans="2:22" ht="22.95" customHeight="1" outlineLevel="4" x14ac:dyDescent="0.2">
      <c r="B3090" s="82" t="s">
        <v>9683</v>
      </c>
      <c r="C3090" s="82"/>
      <c r="D3090" s="82"/>
      <c r="L3090">
        <v>0</v>
      </c>
    </row>
    <row r="3091" spans="2:22" ht="21" customHeight="1" outlineLevel="5" x14ac:dyDescent="0.2">
      <c r="B3091" s="71">
        <v>2300</v>
      </c>
      <c r="C3091" s="37" t="s">
        <v>9684</v>
      </c>
      <c r="D3091" s="37" t="s">
        <v>9685</v>
      </c>
      <c r="E3091" s="38" t="s">
        <v>9686</v>
      </c>
      <c r="F3091" s="39"/>
      <c r="G3091" s="40"/>
      <c r="H3091" s="40"/>
      <c r="I3091" s="41">
        <v>20</v>
      </c>
      <c r="J3091" s="40" t="s">
        <v>144</v>
      </c>
      <c r="K3091" s="36">
        <v>20</v>
      </c>
      <c r="L3091" s="42">
        <f>(45.22*(1-O3/100))/0.75</f>
        <v>60.293333333333329</v>
      </c>
      <c r="M3091" s="12"/>
      <c r="N3091" s="40">
        <f>L3091*M3091</f>
        <v>0</v>
      </c>
      <c r="O3091" s="43">
        <f>0.054*M3091</f>
        <v>0</v>
      </c>
      <c r="P3091" s="47">
        <f>0.00006*M3091</f>
        <v>0</v>
      </c>
      <c r="Q3091" s="44"/>
      <c r="R3091" s="45" t="s">
        <v>9687</v>
      </c>
      <c r="S3091" s="45" t="s">
        <v>93</v>
      </c>
      <c r="T3091" s="37" t="str">
        <f>HYPERLINK("https://kanzpp.ru/api/getInfo/image/50d47f96-5ba8-11e5-a57f-5cf3fc4a2490")</f>
        <v>https://kanzpp.ru/api/getInfo/image/50d47f96-5ba8-11e5-a57f-5cf3fc4a2490</v>
      </c>
      <c r="U3091" s="37"/>
    </row>
    <row r="3092" spans="2:22" ht="21" customHeight="1" outlineLevel="5" x14ac:dyDescent="0.2">
      <c r="B3092" s="71">
        <v>2301</v>
      </c>
      <c r="C3092" s="37" t="s">
        <v>9688</v>
      </c>
      <c r="D3092" s="37" t="s">
        <v>9689</v>
      </c>
      <c r="E3092" s="38" t="s">
        <v>9690</v>
      </c>
      <c r="F3092" s="39"/>
      <c r="G3092" s="40"/>
      <c r="H3092" s="40"/>
      <c r="I3092" s="41">
        <v>20</v>
      </c>
      <c r="J3092" s="41">
        <v>738</v>
      </c>
      <c r="K3092" s="36">
        <v>20</v>
      </c>
      <c r="L3092" s="42">
        <f>(45.22*(1-O3/100))/0.75</f>
        <v>60.293333333333329</v>
      </c>
      <c r="M3092" s="12"/>
      <c r="N3092" s="40">
        <f>L3092*M3092</f>
        <v>0</v>
      </c>
      <c r="O3092" s="43">
        <f>0.054*M3092</f>
        <v>0</v>
      </c>
      <c r="P3092" s="47">
        <f>0.00006*M3092</f>
        <v>0</v>
      </c>
      <c r="Q3092" s="44"/>
      <c r="R3092" s="45" t="s">
        <v>9691</v>
      </c>
      <c r="S3092" s="45" t="s">
        <v>93</v>
      </c>
      <c r="T3092" s="37" t="str">
        <f>HYPERLINK("https://kanzpp.ru/api/getInfo/image/11519296-5bb2-11e5-a57f-5cf3fc4a2490")</f>
        <v>https://kanzpp.ru/api/getInfo/image/11519296-5bb2-11e5-a57f-5cf3fc4a2490</v>
      </c>
      <c r="U3092" s="37"/>
    </row>
    <row r="3093" spans="2:22" ht="22.95" customHeight="1" outlineLevel="3" x14ac:dyDescent="0.2">
      <c r="B3093" s="81" t="s">
        <v>9692</v>
      </c>
      <c r="C3093" s="81"/>
      <c r="D3093" s="81"/>
      <c r="L3093">
        <v>0</v>
      </c>
    </row>
    <row r="3094" spans="2:22" ht="22.95" customHeight="1" outlineLevel="4" x14ac:dyDescent="0.2">
      <c r="B3094" s="82" t="s">
        <v>9693</v>
      </c>
      <c r="C3094" s="82"/>
      <c r="D3094" s="82"/>
      <c r="L3094">
        <v>0</v>
      </c>
    </row>
    <row r="3095" spans="2:22" ht="21" customHeight="1" outlineLevel="5" x14ac:dyDescent="0.2">
      <c r="B3095" s="72">
        <v>2302</v>
      </c>
      <c r="C3095" s="56" t="s">
        <v>9694</v>
      </c>
      <c r="D3095" s="56" t="s">
        <v>9695</v>
      </c>
      <c r="E3095" s="57" t="s">
        <v>9696</v>
      </c>
      <c r="F3095" s="58"/>
      <c r="G3095" s="59"/>
      <c r="H3095" s="59"/>
      <c r="I3095" s="60">
        <v>20</v>
      </c>
      <c r="J3095" s="59" t="s">
        <v>144</v>
      </c>
      <c r="K3095" s="55">
        <v>4</v>
      </c>
      <c r="L3095" s="61">
        <f>(171.02*(1-O3/100))/0.75</f>
        <v>228.02666666666667</v>
      </c>
      <c r="M3095" s="12"/>
      <c r="N3095" s="59">
        <f>L3095*M3095</f>
        <v>0</v>
      </c>
      <c r="O3095" s="62">
        <f>0.273*M3095</f>
        <v>0</v>
      </c>
      <c r="P3095" s="63">
        <f>0.00041*M3095</f>
        <v>0</v>
      </c>
      <c r="Q3095" s="64" t="s">
        <v>344</v>
      </c>
      <c r="R3095" s="65" t="s">
        <v>9697</v>
      </c>
      <c r="S3095" s="65" t="s">
        <v>93</v>
      </c>
      <c r="T3095" s="56" t="str">
        <f>HYPERLINK("https://kanzpp.ru/api/getInfo/image/ad257eab-3256-11f1-a292-00155d82e908")</f>
        <v>https://kanzpp.ru/api/getInfo/image/ad257eab-3256-11f1-a292-00155d82e908</v>
      </c>
      <c r="U3095" s="56"/>
      <c r="V3095" s="66"/>
    </row>
    <row r="3096" spans="2:22" ht="21" customHeight="1" outlineLevel="5" x14ac:dyDescent="0.2">
      <c r="B3096" s="72">
        <v>2303</v>
      </c>
      <c r="C3096" s="56" t="s">
        <v>9698</v>
      </c>
      <c r="D3096" s="56" t="s">
        <v>9699</v>
      </c>
      <c r="E3096" s="57" t="s">
        <v>9700</v>
      </c>
      <c r="F3096" s="58"/>
      <c r="G3096" s="59"/>
      <c r="H3096" s="59"/>
      <c r="I3096" s="60">
        <v>20</v>
      </c>
      <c r="J3096" s="59" t="s">
        <v>144</v>
      </c>
      <c r="K3096" s="55">
        <v>4</v>
      </c>
      <c r="L3096" s="61">
        <f>(171.02*(1-O3/100))/0.75</f>
        <v>228.02666666666667</v>
      </c>
      <c r="M3096" s="12"/>
      <c r="N3096" s="59">
        <f>L3096*M3096</f>
        <v>0</v>
      </c>
      <c r="O3096" s="62">
        <f>0.273*M3096</f>
        <v>0</v>
      </c>
      <c r="P3096" s="63">
        <f>0.00041*M3096</f>
        <v>0</v>
      </c>
      <c r="Q3096" s="64" t="s">
        <v>344</v>
      </c>
      <c r="R3096" s="65" t="s">
        <v>9701</v>
      </c>
      <c r="S3096" s="65" t="s">
        <v>93</v>
      </c>
      <c r="T3096" s="56" t="str">
        <f>HYPERLINK("https://kanzpp.ru/api/getInfo/image/09b57b38-3258-11f1-a292-00155d82e908")</f>
        <v>https://kanzpp.ru/api/getInfo/image/09b57b38-3258-11f1-a292-00155d82e908</v>
      </c>
      <c r="U3096" s="56"/>
      <c r="V3096" s="66"/>
    </row>
    <row r="3097" spans="2:22" ht="21" customHeight="1" outlineLevel="5" x14ac:dyDescent="0.2">
      <c r="B3097" s="72">
        <v>2304</v>
      </c>
      <c r="C3097" s="56" t="s">
        <v>9702</v>
      </c>
      <c r="D3097" s="56" t="s">
        <v>9703</v>
      </c>
      <c r="E3097" s="57" t="s">
        <v>9704</v>
      </c>
      <c r="F3097" s="58"/>
      <c r="G3097" s="59"/>
      <c r="H3097" s="59"/>
      <c r="I3097" s="60">
        <v>20</v>
      </c>
      <c r="J3097" s="59" t="s">
        <v>144</v>
      </c>
      <c r="K3097" s="55">
        <v>4</v>
      </c>
      <c r="L3097" s="61">
        <f>(171.02*(1-O3/100))/0.75</f>
        <v>228.02666666666667</v>
      </c>
      <c r="M3097" s="12"/>
      <c r="N3097" s="59">
        <f>L3097*M3097</f>
        <v>0</v>
      </c>
      <c r="O3097" s="62">
        <f>0.283*M3097</f>
        <v>0</v>
      </c>
      <c r="P3097" s="63">
        <f>0.00041*M3097</f>
        <v>0</v>
      </c>
      <c r="Q3097" s="64" t="s">
        <v>344</v>
      </c>
      <c r="R3097" s="65" t="s">
        <v>9705</v>
      </c>
      <c r="S3097" s="65" t="s">
        <v>93</v>
      </c>
      <c r="T3097" s="56" t="str">
        <f>HYPERLINK("https://kanzpp.ru/api/getInfo/image/60eae88a-3257-11f1-a292-00155d82e908")</f>
        <v>https://kanzpp.ru/api/getInfo/image/60eae88a-3257-11f1-a292-00155d82e908</v>
      </c>
      <c r="U3097" s="56"/>
      <c r="V3097" s="66"/>
    </row>
    <row r="3098" spans="2:22" ht="22.95" customHeight="1" outlineLevel="4" x14ac:dyDescent="0.2">
      <c r="B3098" s="82" t="s">
        <v>9706</v>
      </c>
      <c r="C3098" s="82"/>
      <c r="D3098" s="82"/>
      <c r="L3098">
        <v>0</v>
      </c>
    </row>
    <row r="3099" spans="2:22" ht="21" customHeight="1" outlineLevel="5" x14ac:dyDescent="0.2">
      <c r="B3099" s="71">
        <v>2305</v>
      </c>
      <c r="C3099" s="37" t="s">
        <v>9707</v>
      </c>
      <c r="D3099" s="37" t="s">
        <v>9708</v>
      </c>
      <c r="E3099" s="38" t="s">
        <v>9709</v>
      </c>
      <c r="F3099" s="39"/>
      <c r="G3099" s="40"/>
      <c r="H3099" s="40"/>
      <c r="I3099" s="41">
        <v>20</v>
      </c>
      <c r="J3099" s="40" t="s">
        <v>144</v>
      </c>
      <c r="K3099" s="36">
        <v>3</v>
      </c>
      <c r="L3099" s="42">
        <f>(200.14*(1-O3/100))/0.75</f>
        <v>266.8533333333333</v>
      </c>
      <c r="M3099" s="12"/>
      <c r="N3099" s="40">
        <f t="shared" ref="N3099:N3111" si="140">L3099*M3099</f>
        <v>0</v>
      </c>
      <c r="O3099" s="43">
        <f>0.351*M3099</f>
        <v>0</v>
      </c>
      <c r="P3099" s="47">
        <f>0.00052*M3099</f>
        <v>0</v>
      </c>
      <c r="Q3099" s="44"/>
      <c r="R3099" s="45" t="s">
        <v>9710</v>
      </c>
      <c r="S3099" s="45" t="s">
        <v>93</v>
      </c>
      <c r="T3099" s="37" t="str">
        <f>HYPERLINK("https://kanzpp.ru/api/getInfo/image/2269b9b3-8cd7-11e4-9a91-5cf3fc4a2490")</f>
        <v>https://kanzpp.ru/api/getInfo/image/2269b9b3-8cd7-11e4-9a91-5cf3fc4a2490</v>
      </c>
      <c r="U3099" s="37"/>
    </row>
    <row r="3100" spans="2:22" ht="21" customHeight="1" outlineLevel="5" x14ac:dyDescent="0.2">
      <c r="B3100" s="71">
        <v>2306</v>
      </c>
      <c r="C3100" s="37" t="s">
        <v>9711</v>
      </c>
      <c r="D3100" s="37" t="s">
        <v>9712</v>
      </c>
      <c r="E3100" s="38" t="s">
        <v>9713</v>
      </c>
      <c r="F3100" s="39"/>
      <c r="G3100" s="40"/>
      <c r="H3100" s="40"/>
      <c r="I3100" s="41">
        <v>20</v>
      </c>
      <c r="J3100" s="41">
        <v>8</v>
      </c>
      <c r="K3100" s="36">
        <v>3</v>
      </c>
      <c r="L3100" s="42">
        <f>(239.71*(1-O3/100))/0.75</f>
        <v>319.61333333333334</v>
      </c>
      <c r="M3100" s="12"/>
      <c r="N3100" s="40">
        <f t="shared" si="140"/>
        <v>0</v>
      </c>
      <c r="O3100" s="48">
        <f>0.35*M3100</f>
        <v>0</v>
      </c>
      <c r="P3100" s="47">
        <f>0.00045*M3100</f>
        <v>0</v>
      </c>
      <c r="Q3100" s="44"/>
      <c r="R3100" s="45" t="s">
        <v>9714</v>
      </c>
      <c r="S3100" s="45" t="s">
        <v>93</v>
      </c>
      <c r="T3100" s="37" t="str">
        <f>HYPERLINK("https://kanzpp.ru/api/getInfo/image/b745895f-a564-11ea-a248-ac1f6b442184")</f>
        <v>https://kanzpp.ru/api/getInfo/image/b745895f-a564-11ea-a248-ac1f6b442184</v>
      </c>
      <c r="U3100" s="37"/>
    </row>
    <row r="3101" spans="2:22" ht="21" customHeight="1" outlineLevel="5" x14ac:dyDescent="0.2">
      <c r="B3101" s="71">
        <v>2307</v>
      </c>
      <c r="C3101" s="37" t="s">
        <v>9715</v>
      </c>
      <c r="D3101" s="37" t="s">
        <v>9716</v>
      </c>
      <c r="E3101" s="38" t="s">
        <v>9717</v>
      </c>
      <c r="F3101" s="39"/>
      <c r="G3101" s="40"/>
      <c r="H3101" s="40"/>
      <c r="I3101" s="41">
        <v>20</v>
      </c>
      <c r="J3101" s="41">
        <v>9</v>
      </c>
      <c r="K3101" s="36">
        <v>3</v>
      </c>
      <c r="L3101" s="42">
        <f>(239.71*(1-O3/100))/0.75</f>
        <v>319.61333333333334</v>
      </c>
      <c r="M3101" s="12"/>
      <c r="N3101" s="40">
        <f t="shared" si="140"/>
        <v>0</v>
      </c>
      <c r="O3101" s="43">
        <f>0.353*M3101</f>
        <v>0</v>
      </c>
      <c r="P3101" s="47">
        <f>0.00049*M3101</f>
        <v>0</v>
      </c>
      <c r="Q3101" s="44"/>
      <c r="R3101" s="45" t="s">
        <v>9718</v>
      </c>
      <c r="S3101" s="45" t="s">
        <v>93</v>
      </c>
      <c r="T3101" s="37" t="str">
        <f>HYPERLINK("https://kanzpp.ru/api/getInfo/image/6475a541-148e-11ed-a215-ac1f6b442185")</f>
        <v>https://kanzpp.ru/api/getInfo/image/6475a541-148e-11ed-a215-ac1f6b442185</v>
      </c>
      <c r="U3101" s="37"/>
    </row>
    <row r="3102" spans="2:22" ht="21" customHeight="1" outlineLevel="5" x14ac:dyDescent="0.2">
      <c r="B3102" s="71">
        <v>2308</v>
      </c>
      <c r="C3102" s="37" t="s">
        <v>9719</v>
      </c>
      <c r="D3102" s="37" t="s">
        <v>9720</v>
      </c>
      <c r="E3102" s="38" t="s">
        <v>9721</v>
      </c>
      <c r="F3102" s="39"/>
      <c r="G3102" s="40"/>
      <c r="H3102" s="40"/>
      <c r="I3102" s="41">
        <v>20</v>
      </c>
      <c r="J3102" s="41">
        <v>4</v>
      </c>
      <c r="K3102" s="36">
        <v>3</v>
      </c>
      <c r="L3102" s="42">
        <f>(239.71*(1-O3/100))/0.75</f>
        <v>319.61333333333334</v>
      </c>
      <c r="M3102" s="12"/>
      <c r="N3102" s="40">
        <f t="shared" si="140"/>
        <v>0</v>
      </c>
      <c r="O3102" s="43">
        <f>0.346*M3102</f>
        <v>0</v>
      </c>
      <c r="P3102" s="47">
        <f>0.00049*M3102</f>
        <v>0</v>
      </c>
      <c r="Q3102" s="44"/>
      <c r="R3102" s="45" t="s">
        <v>9722</v>
      </c>
      <c r="S3102" s="45" t="s">
        <v>93</v>
      </c>
      <c r="T3102" s="37" t="str">
        <f>HYPERLINK("https://kanzpp.ru/api/getInfo/image/8d79b862-148e-11ed-a215-ac1f6b442185")</f>
        <v>https://kanzpp.ru/api/getInfo/image/8d79b862-148e-11ed-a215-ac1f6b442185</v>
      </c>
      <c r="U3102" s="37"/>
    </row>
    <row r="3103" spans="2:22" ht="21" customHeight="1" outlineLevel="5" x14ac:dyDescent="0.2">
      <c r="B3103" s="71">
        <v>2309</v>
      </c>
      <c r="C3103" s="37" t="s">
        <v>9723</v>
      </c>
      <c r="D3103" s="37" t="s">
        <v>9724</v>
      </c>
      <c r="E3103" s="38" t="s">
        <v>9725</v>
      </c>
      <c r="F3103" s="39"/>
      <c r="G3103" s="40"/>
      <c r="H3103" s="40"/>
      <c r="I3103" s="41">
        <v>20</v>
      </c>
      <c r="J3103" s="41">
        <v>5</v>
      </c>
      <c r="K3103" s="36">
        <v>3</v>
      </c>
      <c r="L3103" s="42">
        <f>(239.71*(1-O3/100))/0.75</f>
        <v>319.61333333333334</v>
      </c>
      <c r="M3103" s="12"/>
      <c r="N3103" s="40">
        <f t="shared" si="140"/>
        <v>0</v>
      </c>
      <c r="O3103" s="43">
        <f>0.347*M3103</f>
        <v>0</v>
      </c>
      <c r="P3103" s="47">
        <f>0.00049*M3103</f>
        <v>0</v>
      </c>
      <c r="Q3103" s="44"/>
      <c r="R3103" s="45" t="s">
        <v>9726</v>
      </c>
      <c r="S3103" s="45" t="s">
        <v>93</v>
      </c>
      <c r="T3103" s="37" t="str">
        <f>HYPERLINK("https://kanzpp.ru/api/getInfo/image/fc2eead0-a565-11ea-a248-ac1f6b442184")</f>
        <v>https://kanzpp.ru/api/getInfo/image/fc2eead0-a565-11ea-a248-ac1f6b442184</v>
      </c>
      <c r="U3103" s="37"/>
    </row>
    <row r="3104" spans="2:22" ht="21" customHeight="1" outlineLevel="5" x14ac:dyDescent="0.2">
      <c r="B3104" s="71">
        <v>2310</v>
      </c>
      <c r="C3104" s="37" t="s">
        <v>9727</v>
      </c>
      <c r="D3104" s="37" t="s">
        <v>9728</v>
      </c>
      <c r="E3104" s="38" t="s">
        <v>9729</v>
      </c>
      <c r="F3104" s="39"/>
      <c r="G3104" s="40"/>
      <c r="H3104" s="40"/>
      <c r="I3104" s="41">
        <v>20</v>
      </c>
      <c r="J3104" s="41">
        <v>939</v>
      </c>
      <c r="K3104" s="36">
        <v>3</v>
      </c>
      <c r="L3104" s="42">
        <f>(200.14*(1-O3/100))/0.75</f>
        <v>266.8533333333333</v>
      </c>
      <c r="M3104" s="12"/>
      <c r="N3104" s="40">
        <f t="shared" si="140"/>
        <v>0</v>
      </c>
      <c r="O3104" s="48">
        <f>0.35*M3104</f>
        <v>0</v>
      </c>
      <c r="P3104" s="47">
        <f>0.00056*M3104</f>
        <v>0</v>
      </c>
      <c r="Q3104" s="44"/>
      <c r="R3104" s="45" t="s">
        <v>9730</v>
      </c>
      <c r="S3104" s="45" t="s">
        <v>93</v>
      </c>
      <c r="T3104" s="37" t="str">
        <f>HYPERLINK("https://kanzpp.ru/api/getInfo/image/c6132bf9-af0f-11ea-a248-ac1f6b442184")</f>
        <v>https://kanzpp.ru/api/getInfo/image/c6132bf9-af0f-11ea-a248-ac1f6b442184</v>
      </c>
      <c r="U3104" s="37"/>
    </row>
    <row r="3105" spans="2:22" ht="21" customHeight="1" outlineLevel="5" x14ac:dyDescent="0.2">
      <c r="B3105" s="72">
        <v>2311</v>
      </c>
      <c r="C3105" s="56" t="s">
        <v>9731</v>
      </c>
      <c r="D3105" s="56" t="s">
        <v>9732</v>
      </c>
      <c r="E3105" s="57" t="s">
        <v>9733</v>
      </c>
      <c r="F3105" s="58"/>
      <c r="G3105" s="59"/>
      <c r="H3105" s="59"/>
      <c r="I3105" s="60">
        <v>20</v>
      </c>
      <c r="J3105" s="59" t="s">
        <v>144</v>
      </c>
      <c r="K3105" s="55">
        <v>3</v>
      </c>
      <c r="L3105" s="61">
        <f>(200.14*(1-O3/100))/0.75</f>
        <v>266.8533333333333</v>
      </c>
      <c r="M3105" s="12"/>
      <c r="N3105" s="59">
        <f t="shared" si="140"/>
        <v>0</v>
      </c>
      <c r="O3105" s="62">
        <f>0.361*M3105</f>
        <v>0</v>
      </c>
      <c r="P3105" s="63">
        <f>0.00049*M3105</f>
        <v>0</v>
      </c>
      <c r="Q3105" s="64" t="s">
        <v>344</v>
      </c>
      <c r="R3105" s="65" t="s">
        <v>9734</v>
      </c>
      <c r="S3105" s="65" t="s">
        <v>93</v>
      </c>
      <c r="T3105" s="56" t="str">
        <f>HYPERLINK("https://kanzpp.ru/api/getInfo/image/898338dd-47b8-11f1-a294-00155d82e908")</f>
        <v>https://kanzpp.ru/api/getInfo/image/898338dd-47b8-11f1-a294-00155d82e908</v>
      </c>
      <c r="U3105" s="56"/>
      <c r="V3105" s="66"/>
    </row>
    <row r="3106" spans="2:22" ht="21" customHeight="1" outlineLevel="5" x14ac:dyDescent="0.2">
      <c r="B3106" s="72">
        <v>2312</v>
      </c>
      <c r="C3106" s="56" t="s">
        <v>9735</v>
      </c>
      <c r="D3106" s="56" t="s">
        <v>9736</v>
      </c>
      <c r="E3106" s="57" t="s">
        <v>9737</v>
      </c>
      <c r="F3106" s="58"/>
      <c r="G3106" s="59"/>
      <c r="H3106" s="59"/>
      <c r="I3106" s="60">
        <v>20</v>
      </c>
      <c r="J3106" s="59" t="s">
        <v>144</v>
      </c>
      <c r="K3106" s="55">
        <v>3</v>
      </c>
      <c r="L3106" s="61">
        <f>(239.71*(1-O3/100))/0.75</f>
        <v>319.61333333333334</v>
      </c>
      <c r="M3106" s="12"/>
      <c r="N3106" s="59">
        <f t="shared" si="140"/>
        <v>0</v>
      </c>
      <c r="O3106" s="62">
        <f>0.363*M3106</f>
        <v>0</v>
      </c>
      <c r="P3106" s="63">
        <f>0.00054*M3106</f>
        <v>0</v>
      </c>
      <c r="Q3106" s="64" t="s">
        <v>344</v>
      </c>
      <c r="R3106" s="65" t="s">
        <v>9738</v>
      </c>
      <c r="S3106" s="65" t="s">
        <v>93</v>
      </c>
      <c r="T3106" s="56" t="str">
        <f>HYPERLINK("https://kanzpp.ru/api/getInfo/image/278adc9b-3259-11f1-a292-00155d82e908")</f>
        <v>https://kanzpp.ru/api/getInfo/image/278adc9b-3259-11f1-a292-00155d82e908</v>
      </c>
      <c r="U3106" s="56"/>
      <c r="V3106" s="66"/>
    </row>
    <row r="3107" spans="2:22" ht="21" customHeight="1" outlineLevel="5" x14ac:dyDescent="0.2">
      <c r="B3107" s="72">
        <v>2313</v>
      </c>
      <c r="C3107" s="56" t="s">
        <v>9739</v>
      </c>
      <c r="D3107" s="56" t="s">
        <v>9740</v>
      </c>
      <c r="E3107" s="57" t="s">
        <v>9741</v>
      </c>
      <c r="F3107" s="58"/>
      <c r="G3107" s="59"/>
      <c r="H3107" s="59"/>
      <c r="I3107" s="60">
        <v>20</v>
      </c>
      <c r="J3107" s="59" t="s">
        <v>144</v>
      </c>
      <c r="K3107" s="55">
        <v>3</v>
      </c>
      <c r="L3107" s="61">
        <f>(239.71*(1-O3/100))/0.75</f>
        <v>319.61333333333334</v>
      </c>
      <c r="M3107" s="12"/>
      <c r="N3107" s="59">
        <f t="shared" si="140"/>
        <v>0</v>
      </c>
      <c r="O3107" s="62">
        <f>0.273*M3107</f>
        <v>0</v>
      </c>
      <c r="P3107" s="63">
        <f>0.00041*M3107</f>
        <v>0</v>
      </c>
      <c r="Q3107" s="64" t="s">
        <v>344</v>
      </c>
      <c r="R3107" s="65" t="s">
        <v>9742</v>
      </c>
      <c r="S3107" s="65" t="s">
        <v>93</v>
      </c>
      <c r="T3107" s="56" t="str">
        <f>HYPERLINK("https://kanzpp.ru/api/getInfo/image/330e1f4c-08c0-11f1-a28f-00155d82e908")</f>
        <v>https://kanzpp.ru/api/getInfo/image/330e1f4c-08c0-11f1-a28f-00155d82e908</v>
      </c>
      <c r="U3107" s="56"/>
      <c r="V3107" s="66"/>
    </row>
    <row r="3108" spans="2:22" ht="21" customHeight="1" outlineLevel="5" x14ac:dyDescent="0.2">
      <c r="B3108" s="72">
        <v>2314</v>
      </c>
      <c r="C3108" s="56" t="s">
        <v>9743</v>
      </c>
      <c r="D3108" s="56" t="s">
        <v>9744</v>
      </c>
      <c r="E3108" s="57" t="s">
        <v>9745</v>
      </c>
      <c r="F3108" s="58"/>
      <c r="G3108" s="59"/>
      <c r="H3108" s="59"/>
      <c r="I3108" s="60">
        <v>20</v>
      </c>
      <c r="J3108" s="59" t="s">
        <v>144</v>
      </c>
      <c r="K3108" s="55">
        <v>3</v>
      </c>
      <c r="L3108" s="61">
        <f>(239.71*(1-O3/100))/0.75</f>
        <v>319.61333333333334</v>
      </c>
      <c r="M3108" s="12"/>
      <c r="N3108" s="59">
        <f t="shared" si="140"/>
        <v>0</v>
      </c>
      <c r="O3108" s="62">
        <f>0.273*M3108</f>
        <v>0</v>
      </c>
      <c r="P3108" s="63">
        <f>0.00041*M3108</f>
        <v>0</v>
      </c>
      <c r="Q3108" s="64" t="s">
        <v>344</v>
      </c>
      <c r="R3108" s="65" t="s">
        <v>9746</v>
      </c>
      <c r="S3108" s="65" t="s">
        <v>93</v>
      </c>
      <c r="T3108" s="56" t="str">
        <f>HYPERLINK("https://kanzpp.ru/api/getInfo/image/6882bb3f-08c0-11f1-a28f-00155d82e908")</f>
        <v>https://kanzpp.ru/api/getInfo/image/6882bb3f-08c0-11f1-a28f-00155d82e908</v>
      </c>
      <c r="U3108" s="56"/>
      <c r="V3108" s="66"/>
    </row>
    <row r="3109" spans="2:22" ht="21" customHeight="1" outlineLevel="5" x14ac:dyDescent="0.2">
      <c r="B3109" s="72">
        <v>2315</v>
      </c>
      <c r="C3109" s="56" t="s">
        <v>9747</v>
      </c>
      <c r="D3109" s="56" t="s">
        <v>9748</v>
      </c>
      <c r="E3109" s="57" t="s">
        <v>9749</v>
      </c>
      <c r="F3109" s="58"/>
      <c r="G3109" s="59"/>
      <c r="H3109" s="59"/>
      <c r="I3109" s="60">
        <v>20</v>
      </c>
      <c r="J3109" s="59" t="s">
        <v>144</v>
      </c>
      <c r="K3109" s="55">
        <v>3</v>
      </c>
      <c r="L3109" s="61">
        <f>(239.71*(1-O3/100))/0.75</f>
        <v>319.61333333333334</v>
      </c>
      <c r="M3109" s="12"/>
      <c r="N3109" s="59">
        <f t="shared" si="140"/>
        <v>0</v>
      </c>
      <c r="O3109" s="62">
        <f>0.363*M3109</f>
        <v>0</v>
      </c>
      <c r="P3109" s="63">
        <f>0.00053*M3109</f>
        <v>0</v>
      </c>
      <c r="Q3109" s="64" t="s">
        <v>344</v>
      </c>
      <c r="R3109" s="65" t="s">
        <v>9750</v>
      </c>
      <c r="S3109" s="65" t="s">
        <v>93</v>
      </c>
      <c r="T3109" s="56" t="str">
        <f>HYPERLINK("https://kanzpp.ru/api/getInfo/image/5662d27e-3259-11f1-a292-00155d82e908")</f>
        <v>https://kanzpp.ru/api/getInfo/image/5662d27e-3259-11f1-a292-00155d82e908</v>
      </c>
      <c r="U3109" s="56"/>
      <c r="V3109" s="66"/>
    </row>
    <row r="3110" spans="2:22" ht="21" customHeight="1" outlineLevel="5" x14ac:dyDescent="0.2">
      <c r="B3110" s="69">
        <v>2316</v>
      </c>
      <c r="C3110" s="6" t="s">
        <v>9751</v>
      </c>
      <c r="D3110" s="6" t="s">
        <v>9752</v>
      </c>
      <c r="E3110" s="7" t="s">
        <v>9725</v>
      </c>
      <c r="F3110" s="13"/>
      <c r="G3110" s="14"/>
      <c r="H3110" s="15">
        <v>20</v>
      </c>
      <c r="I3110" s="14"/>
      <c r="J3110" s="15">
        <v>15</v>
      </c>
      <c r="K3110" s="5">
        <v>3</v>
      </c>
      <c r="L3110" s="16">
        <v>239.70666666666668</v>
      </c>
      <c r="M3110" s="12"/>
      <c r="N3110" s="14">
        <f t="shared" si="140"/>
        <v>0</v>
      </c>
      <c r="O3110" s="23">
        <f>0.376*M3110</f>
        <v>0</v>
      </c>
      <c r="P3110" s="24">
        <f>0.00025*M3110</f>
        <v>0</v>
      </c>
      <c r="Q3110" s="25"/>
      <c r="R3110" s="26" t="s">
        <v>9753</v>
      </c>
      <c r="S3110" s="26" t="s">
        <v>93</v>
      </c>
      <c r="T3110" s="6"/>
      <c r="U3110" s="6"/>
      <c r="V3110" s="33" t="s">
        <v>35</v>
      </c>
    </row>
    <row r="3111" spans="2:22" ht="21" customHeight="1" outlineLevel="5" x14ac:dyDescent="0.2">
      <c r="B3111" s="72">
        <v>2317</v>
      </c>
      <c r="C3111" s="56" t="s">
        <v>9754</v>
      </c>
      <c r="D3111" s="56" t="s">
        <v>9755</v>
      </c>
      <c r="E3111" s="57" t="s">
        <v>9756</v>
      </c>
      <c r="F3111" s="58"/>
      <c r="G3111" s="59"/>
      <c r="H3111" s="59"/>
      <c r="I3111" s="60">
        <v>20</v>
      </c>
      <c r="J3111" s="59" t="s">
        <v>144</v>
      </c>
      <c r="K3111" s="55">
        <v>3</v>
      </c>
      <c r="L3111" s="61">
        <f>(239.71*(1-O3/100))/0.75</f>
        <v>319.61333333333334</v>
      </c>
      <c r="M3111" s="12"/>
      <c r="N3111" s="59">
        <f t="shared" si="140"/>
        <v>0</v>
      </c>
      <c r="O3111" s="73">
        <f>0.36*M3111</f>
        <v>0</v>
      </c>
      <c r="P3111" s="63">
        <f>0.00051*M3111</f>
        <v>0</v>
      </c>
      <c r="Q3111" s="64" t="s">
        <v>344</v>
      </c>
      <c r="R3111" s="65" t="s">
        <v>9757</v>
      </c>
      <c r="S3111" s="65" t="s">
        <v>93</v>
      </c>
      <c r="T3111" s="56" t="str">
        <f>HYPERLINK("https://kanzpp.ru/api/getInfo/image/e8759ea0-3258-11f1-a292-00155d82e908")</f>
        <v>https://kanzpp.ru/api/getInfo/image/e8759ea0-3258-11f1-a292-00155d82e908</v>
      </c>
      <c r="U3111" s="56"/>
      <c r="V3111" s="66"/>
    </row>
    <row r="3112" spans="2:22" ht="22.95" customHeight="1" outlineLevel="3" x14ac:dyDescent="0.2">
      <c r="B3112" s="81" t="s">
        <v>9758</v>
      </c>
      <c r="C3112" s="81"/>
      <c r="D3112" s="81"/>
      <c r="L3112">
        <v>0</v>
      </c>
    </row>
    <row r="3113" spans="2:22" ht="22.95" customHeight="1" outlineLevel="4" x14ac:dyDescent="0.2">
      <c r="B3113" s="82" t="s">
        <v>9759</v>
      </c>
      <c r="C3113" s="82"/>
      <c r="D3113" s="82"/>
      <c r="L3113">
        <v>0</v>
      </c>
    </row>
    <row r="3114" spans="2:22" ht="21" customHeight="1" outlineLevel="5" x14ac:dyDescent="0.2">
      <c r="B3114" s="69">
        <v>2318</v>
      </c>
      <c r="C3114" s="6" t="s">
        <v>9760</v>
      </c>
      <c r="D3114" s="6" t="s">
        <v>9761</v>
      </c>
      <c r="E3114" s="7" t="s">
        <v>9762</v>
      </c>
      <c r="F3114" s="13"/>
      <c r="G3114" s="14"/>
      <c r="H3114" s="15">
        <v>20</v>
      </c>
      <c r="I3114" s="14"/>
      <c r="J3114" s="15">
        <v>6</v>
      </c>
      <c r="K3114" s="5">
        <v>6</v>
      </c>
      <c r="L3114" s="16">
        <v>78.666666666666671</v>
      </c>
      <c r="M3114" s="12"/>
      <c r="N3114" s="14">
        <f>L3114*M3114</f>
        <v>0</v>
      </c>
      <c r="O3114" s="28">
        <f>0.24*M3114</f>
        <v>0</v>
      </c>
      <c r="P3114" s="24">
        <f>0.00032*M3114</f>
        <v>0</v>
      </c>
      <c r="Q3114" s="25"/>
      <c r="R3114" s="26" t="s">
        <v>9763</v>
      </c>
      <c r="S3114" s="26" t="s">
        <v>93</v>
      </c>
      <c r="T3114" s="6"/>
      <c r="U3114" s="6"/>
      <c r="V3114" s="33" t="s">
        <v>35</v>
      </c>
    </row>
    <row r="3115" spans="2:22" ht="22.95" customHeight="1" outlineLevel="3" x14ac:dyDescent="0.2">
      <c r="B3115" s="81" t="s">
        <v>9764</v>
      </c>
      <c r="C3115" s="81"/>
      <c r="D3115" s="81"/>
      <c r="L3115">
        <v>0</v>
      </c>
    </row>
    <row r="3116" spans="2:22" ht="22.95" customHeight="1" outlineLevel="4" x14ac:dyDescent="0.2">
      <c r="B3116" s="82" t="s">
        <v>9765</v>
      </c>
      <c r="C3116" s="82"/>
      <c r="D3116" s="82"/>
      <c r="L3116">
        <v>0</v>
      </c>
    </row>
    <row r="3117" spans="2:22" ht="21" customHeight="1" outlineLevel="5" x14ac:dyDescent="0.2">
      <c r="B3117" s="71">
        <v>2319</v>
      </c>
      <c r="C3117" s="37" t="s">
        <v>9766</v>
      </c>
      <c r="D3117" s="37" t="s">
        <v>9767</v>
      </c>
      <c r="E3117" s="38" t="s">
        <v>9768</v>
      </c>
      <c r="F3117" s="39"/>
      <c r="G3117" s="40"/>
      <c r="H3117" s="40"/>
      <c r="I3117" s="41">
        <v>40</v>
      </c>
      <c r="J3117" s="40" t="s">
        <v>144</v>
      </c>
      <c r="K3117" s="36">
        <v>40</v>
      </c>
      <c r="L3117" s="42">
        <f>(12.38*(1-O3/100))/0.75</f>
        <v>16.506666666666668</v>
      </c>
      <c r="M3117" s="12"/>
      <c r="N3117" s="40">
        <f>L3117*M3117</f>
        <v>0</v>
      </c>
      <c r="O3117" s="43">
        <f>0.015*M3117</f>
        <v>0</v>
      </c>
      <c r="P3117" s="47">
        <f>0.00003*M3117</f>
        <v>0</v>
      </c>
      <c r="Q3117" s="44"/>
      <c r="R3117" s="45" t="s">
        <v>9769</v>
      </c>
      <c r="S3117" s="45" t="s">
        <v>93</v>
      </c>
      <c r="T3117" s="37" t="str">
        <f>HYPERLINK("https://kanzpp.ru/api/getInfo/image/27c5aa36-7eff-11e5-aa49-5cf3fc4a2490")</f>
        <v>https://kanzpp.ru/api/getInfo/image/27c5aa36-7eff-11e5-aa49-5cf3fc4a2490</v>
      </c>
      <c r="U3117" s="37"/>
    </row>
    <row r="3118" spans="2:22" ht="22.95" customHeight="1" outlineLevel="4" x14ac:dyDescent="0.2">
      <c r="B3118" s="82" t="s">
        <v>9770</v>
      </c>
      <c r="C3118" s="82"/>
      <c r="D3118" s="82"/>
      <c r="L3118">
        <v>0</v>
      </c>
    </row>
    <row r="3119" spans="2:22" ht="21" customHeight="1" outlineLevel="5" x14ac:dyDescent="0.2">
      <c r="B3119" s="71">
        <v>2320</v>
      </c>
      <c r="C3119" s="37" t="s">
        <v>9771</v>
      </c>
      <c r="D3119" s="37" t="s">
        <v>9772</v>
      </c>
      <c r="E3119" s="38" t="s">
        <v>9773</v>
      </c>
      <c r="F3119" s="39"/>
      <c r="G3119" s="40"/>
      <c r="H3119" s="40"/>
      <c r="I3119" s="41">
        <v>40</v>
      </c>
      <c r="J3119" s="40" t="s">
        <v>144</v>
      </c>
      <c r="K3119" s="36">
        <v>40</v>
      </c>
      <c r="L3119" s="42">
        <f>(12.38*(1-O3/100))/0.75</f>
        <v>16.506666666666668</v>
      </c>
      <c r="M3119" s="12"/>
      <c r="N3119" s="40">
        <f>L3119*M3119</f>
        <v>0</v>
      </c>
      <c r="O3119" s="43">
        <f>0.013*M3119</f>
        <v>0</v>
      </c>
      <c r="P3119" s="47">
        <f>0.00006*M3119</f>
        <v>0</v>
      </c>
      <c r="Q3119" s="44"/>
      <c r="R3119" s="45" t="s">
        <v>9774</v>
      </c>
      <c r="S3119" s="45" t="s">
        <v>93</v>
      </c>
      <c r="T3119" s="37" t="str">
        <f>HYPERLINK("https://kanzpp.ru/api/getInfo/image/b77066d6-7efe-11e5-aa49-5cf3fc4a2490")</f>
        <v>https://kanzpp.ru/api/getInfo/image/b77066d6-7efe-11e5-aa49-5cf3fc4a2490</v>
      </c>
      <c r="U3119" s="37"/>
    </row>
    <row r="3120" spans="2:22" ht="22.95" customHeight="1" outlineLevel="4" x14ac:dyDescent="0.2">
      <c r="B3120" s="82" t="s">
        <v>9775</v>
      </c>
      <c r="C3120" s="82"/>
      <c r="D3120" s="82"/>
      <c r="L3120">
        <v>0</v>
      </c>
    </row>
    <row r="3121" spans="2:22" ht="21" customHeight="1" outlineLevel="5" x14ac:dyDescent="0.2">
      <c r="B3121" s="71">
        <v>2321</v>
      </c>
      <c r="C3121" s="37" t="s">
        <v>9776</v>
      </c>
      <c r="D3121" s="37" t="s">
        <v>9777</v>
      </c>
      <c r="E3121" s="38" t="s">
        <v>9778</v>
      </c>
      <c r="F3121" s="39"/>
      <c r="G3121" s="40"/>
      <c r="H3121" s="40"/>
      <c r="I3121" s="41">
        <v>40</v>
      </c>
      <c r="J3121" s="40" t="s">
        <v>144</v>
      </c>
      <c r="K3121" s="36">
        <v>40</v>
      </c>
      <c r="L3121" s="42">
        <f>(20.67*(1-O3/100))/0.75</f>
        <v>27.560000000000002</v>
      </c>
      <c r="M3121" s="12"/>
      <c r="N3121" s="40">
        <f>L3121*M3121</f>
        <v>0</v>
      </c>
      <c r="O3121" s="43">
        <f>0.019*M3121</f>
        <v>0</v>
      </c>
      <c r="P3121" s="47">
        <f>0.00005*M3121</f>
        <v>0</v>
      </c>
      <c r="Q3121" s="44"/>
      <c r="R3121" s="45" t="s">
        <v>9779</v>
      </c>
      <c r="S3121" s="45" t="s">
        <v>93</v>
      </c>
      <c r="T3121" s="37" t="str">
        <f>HYPERLINK("https://kanzpp.ru/api/getInfo/image/d149dcf8-f214-11f0-a28d-00155d82e908")</f>
        <v>https://kanzpp.ru/api/getInfo/image/d149dcf8-f214-11f0-a28d-00155d82e908</v>
      </c>
      <c r="U3121" s="37"/>
    </row>
    <row r="3122" spans="2:22" ht="21" customHeight="1" outlineLevel="5" x14ac:dyDescent="0.2">
      <c r="B3122" s="71">
        <v>2322</v>
      </c>
      <c r="C3122" s="37" t="s">
        <v>9780</v>
      </c>
      <c r="D3122" s="37" t="s">
        <v>9781</v>
      </c>
      <c r="E3122" s="38" t="s">
        <v>9782</v>
      </c>
      <c r="F3122" s="39"/>
      <c r="G3122" s="40"/>
      <c r="H3122" s="40"/>
      <c r="I3122" s="41">
        <v>40</v>
      </c>
      <c r="J3122" s="41">
        <v>100</v>
      </c>
      <c r="K3122" s="36">
        <v>40</v>
      </c>
      <c r="L3122" s="42">
        <f>(20.67*(1-O3/100))/0.75</f>
        <v>27.560000000000002</v>
      </c>
      <c r="M3122" s="12"/>
      <c r="N3122" s="40">
        <f>L3122*M3122</f>
        <v>0</v>
      </c>
      <c r="O3122" s="43">
        <f>0.016*M3122</f>
        <v>0</v>
      </c>
      <c r="P3122" s="47">
        <f>0.00002*M3122</f>
        <v>0</v>
      </c>
      <c r="Q3122" s="44"/>
      <c r="R3122" s="45" t="s">
        <v>9783</v>
      </c>
      <c r="S3122" s="45" t="s">
        <v>93</v>
      </c>
      <c r="T3122" s="37" t="str">
        <f>HYPERLINK("https://kanzpp.ru/api/getInfo/image/e1030f86-bc26-11ee-a25a-00155d82e908")</f>
        <v>https://kanzpp.ru/api/getInfo/image/e1030f86-bc26-11ee-a25a-00155d82e908</v>
      </c>
      <c r="U3122" s="37"/>
    </row>
    <row r="3123" spans="2:22" ht="22.95" customHeight="1" outlineLevel="1" x14ac:dyDescent="0.2">
      <c r="B3123" s="79" t="s">
        <v>9784</v>
      </c>
      <c r="C3123" s="79"/>
      <c r="D3123" s="79"/>
      <c r="L3123">
        <v>0</v>
      </c>
    </row>
    <row r="3124" spans="2:22" ht="22.95" customHeight="1" outlineLevel="2" x14ac:dyDescent="0.2">
      <c r="B3124" s="80" t="s">
        <v>9785</v>
      </c>
      <c r="C3124" s="80"/>
      <c r="D3124" s="80"/>
      <c r="L3124">
        <v>0</v>
      </c>
    </row>
    <row r="3125" spans="2:22" ht="22.95" customHeight="1" outlineLevel="3" x14ac:dyDescent="0.2">
      <c r="B3125" s="81" t="s">
        <v>9786</v>
      </c>
      <c r="C3125" s="81"/>
      <c r="D3125" s="81"/>
      <c r="L3125">
        <v>0</v>
      </c>
    </row>
    <row r="3126" spans="2:22" ht="21" customHeight="1" outlineLevel="4" x14ac:dyDescent="0.2">
      <c r="B3126" s="70">
        <v>2323</v>
      </c>
      <c r="C3126" s="3" t="s">
        <v>9787</v>
      </c>
      <c r="D3126" s="3" t="s">
        <v>9788</v>
      </c>
      <c r="E3126" s="4" t="s">
        <v>9789</v>
      </c>
      <c r="F3126" s="8"/>
      <c r="G3126" s="9"/>
      <c r="H3126" s="10">
        <v>20</v>
      </c>
      <c r="I3126" s="10">
        <v>20</v>
      </c>
      <c r="J3126" s="10">
        <v>1</v>
      </c>
      <c r="K3126" s="2">
        <v>1</v>
      </c>
      <c r="L3126" s="54">
        <v>48.32</v>
      </c>
      <c r="M3126" s="12"/>
      <c r="N3126" s="9">
        <f>L3126*M3126</f>
        <v>0</v>
      </c>
      <c r="O3126" s="29">
        <f>0.214*M3126</f>
        <v>0</v>
      </c>
      <c r="P3126" s="30">
        <f>0.00026*M3126</f>
        <v>0</v>
      </c>
      <c r="Q3126" s="21"/>
      <c r="R3126" s="22"/>
      <c r="S3126" s="22" t="s">
        <v>93</v>
      </c>
      <c r="T3126" s="3" t="str">
        <f>HYPERLINK("https://kanzpp.ru/api/getInfo/image/7fa9882c-3fce-11ed-a216-ac1f6b442185")</f>
        <v>https://kanzpp.ru/api/getInfo/image/7fa9882c-3fce-11ed-a216-ac1f6b442185</v>
      </c>
      <c r="U3126" s="3" t="s">
        <v>9790</v>
      </c>
      <c r="V3126" s="32" t="s">
        <v>30</v>
      </c>
    </row>
    <row r="3127" spans="2:22" ht="22.95" customHeight="1" outlineLevel="4" x14ac:dyDescent="0.2">
      <c r="B3127" s="82" t="s">
        <v>9791</v>
      </c>
      <c r="C3127" s="82"/>
      <c r="D3127" s="82"/>
      <c r="L3127">
        <v>0</v>
      </c>
    </row>
    <row r="3128" spans="2:22" ht="21" customHeight="1" outlineLevel="5" x14ac:dyDescent="0.2">
      <c r="B3128" s="70">
        <v>2324</v>
      </c>
      <c r="C3128" s="3" t="s">
        <v>9792</v>
      </c>
      <c r="D3128" s="3" t="s">
        <v>9793</v>
      </c>
      <c r="E3128" s="4" t="s">
        <v>9794</v>
      </c>
      <c r="F3128" s="8"/>
      <c r="G3128" s="9"/>
      <c r="H3128" s="10">
        <v>20</v>
      </c>
      <c r="I3128" s="9"/>
      <c r="J3128" s="10">
        <v>7</v>
      </c>
      <c r="K3128" s="2">
        <v>5</v>
      </c>
      <c r="L3128" s="75">
        <v>59.733333333333341</v>
      </c>
      <c r="M3128" s="12"/>
      <c r="N3128" s="9">
        <f t="shared" ref="N3128:N3134" si="141">L3128*M3128</f>
        <v>0</v>
      </c>
      <c r="O3128" s="11">
        <f>0.36*M3128</f>
        <v>0</v>
      </c>
      <c r="P3128" s="30">
        <f t="shared" ref="P3128:P3134" si="142">0.00025*M3128</f>
        <v>0</v>
      </c>
      <c r="Q3128" s="21"/>
      <c r="R3128" s="22"/>
      <c r="S3128" s="22" t="s">
        <v>93</v>
      </c>
      <c r="T3128" s="3" t="str">
        <f>HYPERLINK("https://kanzpp.ru/api/getInfo/image/1966b869-45ab-11ee-a243-00155d82e902")</f>
        <v>https://kanzpp.ru/api/getInfo/image/1966b869-45ab-11ee-a243-00155d82e902</v>
      </c>
      <c r="U3128" s="3" t="s">
        <v>9795</v>
      </c>
      <c r="V3128" s="32" t="s">
        <v>30</v>
      </c>
    </row>
    <row r="3129" spans="2:22" ht="21" customHeight="1" outlineLevel="5" x14ac:dyDescent="0.2">
      <c r="B3129" s="69">
        <v>2325</v>
      </c>
      <c r="C3129" s="6" t="s">
        <v>9796</v>
      </c>
      <c r="D3129" s="6" t="s">
        <v>9793</v>
      </c>
      <c r="E3129" s="7" t="s">
        <v>9794</v>
      </c>
      <c r="F3129" s="13"/>
      <c r="G3129" s="14"/>
      <c r="H3129" s="14"/>
      <c r="I3129" s="15">
        <v>20</v>
      </c>
      <c r="J3129" s="17">
        <v>1009</v>
      </c>
      <c r="K3129" s="5">
        <v>5</v>
      </c>
      <c r="L3129" s="16">
        <v>97.2</v>
      </c>
      <c r="M3129" s="12"/>
      <c r="N3129" s="14">
        <f t="shared" si="141"/>
        <v>0</v>
      </c>
      <c r="O3129" s="28">
        <f>0.36*M3129</f>
        <v>0</v>
      </c>
      <c r="P3129" s="24">
        <f t="shared" si="142"/>
        <v>0</v>
      </c>
      <c r="Q3129" s="25"/>
      <c r="R3129" s="26" t="s">
        <v>9795</v>
      </c>
      <c r="S3129" s="26" t="s">
        <v>93</v>
      </c>
      <c r="T3129" s="6" t="str">
        <f>HYPERLINK("https://kanzpp.ru/api/getInfo/image/67189f55-0c3f-11e5-aad1-5cf3fc4a2490")</f>
        <v>https://kanzpp.ru/api/getInfo/image/67189f55-0c3f-11e5-aad1-5cf3fc4a2490</v>
      </c>
      <c r="U3129" s="6"/>
      <c r="V3129" s="33" t="s">
        <v>35</v>
      </c>
    </row>
    <row r="3130" spans="2:22" ht="21" customHeight="1" outlineLevel="5" x14ac:dyDescent="0.2">
      <c r="B3130" s="69">
        <v>2326</v>
      </c>
      <c r="C3130" s="6" t="s">
        <v>9797</v>
      </c>
      <c r="D3130" s="6" t="s">
        <v>9798</v>
      </c>
      <c r="E3130" s="7" t="s">
        <v>9799</v>
      </c>
      <c r="F3130" s="13"/>
      <c r="G3130" s="14"/>
      <c r="H3130" s="14"/>
      <c r="I3130" s="15">
        <v>20</v>
      </c>
      <c r="J3130" s="15">
        <v>200</v>
      </c>
      <c r="K3130" s="5">
        <v>5</v>
      </c>
      <c r="L3130" s="16">
        <v>97.2</v>
      </c>
      <c r="M3130" s="12"/>
      <c r="N3130" s="14">
        <f t="shared" si="141"/>
        <v>0</v>
      </c>
      <c r="O3130" s="28">
        <f>0.36*M3130</f>
        <v>0</v>
      </c>
      <c r="P3130" s="24">
        <f t="shared" si="142"/>
        <v>0</v>
      </c>
      <c r="Q3130" s="25"/>
      <c r="R3130" s="26" t="s">
        <v>9800</v>
      </c>
      <c r="S3130" s="26" t="s">
        <v>93</v>
      </c>
      <c r="T3130" s="6" t="str">
        <f>HYPERLINK("https://kanzpp.ru/api/getInfo/image/a958a860-0c3f-11e5-aad1-5cf3fc4a2490")</f>
        <v>https://kanzpp.ru/api/getInfo/image/a958a860-0c3f-11e5-aad1-5cf3fc4a2490</v>
      </c>
      <c r="U3130" s="6"/>
      <c r="V3130" s="33" t="s">
        <v>35</v>
      </c>
    </row>
    <row r="3131" spans="2:22" ht="21" customHeight="1" outlineLevel="5" x14ac:dyDescent="0.2">
      <c r="B3131" s="69">
        <v>2327</v>
      </c>
      <c r="C3131" s="6" t="s">
        <v>9801</v>
      </c>
      <c r="D3131" s="6" t="s">
        <v>9802</v>
      </c>
      <c r="E3131" s="7" t="s">
        <v>9803</v>
      </c>
      <c r="F3131" s="13"/>
      <c r="G3131" s="14"/>
      <c r="H3131" s="14"/>
      <c r="I3131" s="15">
        <v>20</v>
      </c>
      <c r="J3131" s="17">
        <v>1401</v>
      </c>
      <c r="K3131" s="5">
        <v>5</v>
      </c>
      <c r="L3131" s="16">
        <v>97.2</v>
      </c>
      <c r="M3131" s="12"/>
      <c r="N3131" s="14">
        <f t="shared" si="141"/>
        <v>0</v>
      </c>
      <c r="O3131" s="28">
        <f>0.36*M3131</f>
        <v>0</v>
      </c>
      <c r="P3131" s="24">
        <f t="shared" si="142"/>
        <v>0</v>
      </c>
      <c r="Q3131" s="25"/>
      <c r="R3131" s="26" t="s">
        <v>9804</v>
      </c>
      <c r="S3131" s="26" t="s">
        <v>93</v>
      </c>
      <c r="T3131" s="6" t="str">
        <f>HYPERLINK("https://kanzpp.ru/api/getInfo/image/cd2c2b33-0c3f-11e5-aad1-5cf3fc4a2490")</f>
        <v>https://kanzpp.ru/api/getInfo/image/cd2c2b33-0c3f-11e5-aad1-5cf3fc4a2490</v>
      </c>
      <c r="U3131" s="6"/>
      <c r="V3131" s="33" t="s">
        <v>35</v>
      </c>
    </row>
    <row r="3132" spans="2:22" ht="21" customHeight="1" outlineLevel="5" x14ac:dyDescent="0.2">
      <c r="B3132" s="69">
        <v>2328</v>
      </c>
      <c r="C3132" s="6" t="s">
        <v>9805</v>
      </c>
      <c r="D3132" s="6" t="s">
        <v>9806</v>
      </c>
      <c r="E3132" s="7" t="s">
        <v>9807</v>
      </c>
      <c r="F3132" s="13"/>
      <c r="G3132" s="14"/>
      <c r="H3132" s="14"/>
      <c r="I3132" s="15">
        <v>20</v>
      </c>
      <c r="J3132" s="17">
        <v>1153</v>
      </c>
      <c r="K3132" s="5">
        <v>5</v>
      </c>
      <c r="L3132" s="16">
        <v>97.2</v>
      </c>
      <c r="M3132" s="12"/>
      <c r="N3132" s="14">
        <f t="shared" si="141"/>
        <v>0</v>
      </c>
      <c r="O3132" s="28">
        <f>0.36*M3132</f>
        <v>0</v>
      </c>
      <c r="P3132" s="24">
        <f t="shared" si="142"/>
        <v>0</v>
      </c>
      <c r="Q3132" s="25"/>
      <c r="R3132" s="26" t="s">
        <v>9808</v>
      </c>
      <c r="S3132" s="26" t="s">
        <v>93</v>
      </c>
      <c r="T3132" s="6" t="str">
        <f>HYPERLINK("https://kanzpp.ru/api/getInfo/image/ebae6e27-f29e-11e5-b4aa-5cf3fc4a2490")</f>
        <v>https://kanzpp.ru/api/getInfo/image/ebae6e27-f29e-11e5-b4aa-5cf3fc4a2490</v>
      </c>
      <c r="U3132" s="6"/>
      <c r="V3132" s="33" t="s">
        <v>35</v>
      </c>
    </row>
    <row r="3133" spans="2:22" ht="21" customHeight="1" outlineLevel="5" x14ac:dyDescent="0.2">
      <c r="B3133" s="69">
        <v>2329</v>
      </c>
      <c r="C3133" s="6" t="s">
        <v>9809</v>
      </c>
      <c r="D3133" s="6" t="s">
        <v>9810</v>
      </c>
      <c r="E3133" s="7" t="s">
        <v>9811</v>
      </c>
      <c r="F3133" s="13"/>
      <c r="G3133" s="14"/>
      <c r="H3133" s="14"/>
      <c r="I3133" s="15">
        <v>20</v>
      </c>
      <c r="J3133" s="17">
        <v>1364</v>
      </c>
      <c r="K3133" s="5">
        <v>5</v>
      </c>
      <c r="L3133" s="16">
        <v>97.2</v>
      </c>
      <c r="M3133" s="12"/>
      <c r="N3133" s="14">
        <f t="shared" si="141"/>
        <v>0</v>
      </c>
      <c r="O3133" s="23">
        <f>0.216*M3133</f>
        <v>0</v>
      </c>
      <c r="P3133" s="24">
        <f t="shared" si="142"/>
        <v>0</v>
      </c>
      <c r="Q3133" s="25"/>
      <c r="R3133" s="26" t="s">
        <v>9812</v>
      </c>
      <c r="S3133" s="26" t="s">
        <v>93</v>
      </c>
      <c r="T3133" s="6" t="str">
        <f>HYPERLINK("https://kanzpp.ru/api/getInfo/image/87176d44-0c3f-11e5-aad1-5cf3fc4a2490")</f>
        <v>https://kanzpp.ru/api/getInfo/image/87176d44-0c3f-11e5-aad1-5cf3fc4a2490</v>
      </c>
      <c r="U3133" s="6"/>
      <c r="V3133" s="33" t="s">
        <v>35</v>
      </c>
    </row>
    <row r="3134" spans="2:22" ht="21" customHeight="1" outlineLevel="5" x14ac:dyDescent="0.2">
      <c r="B3134" s="69">
        <v>2330</v>
      </c>
      <c r="C3134" s="6" t="s">
        <v>9813</v>
      </c>
      <c r="D3134" s="6" t="s">
        <v>9814</v>
      </c>
      <c r="E3134" s="7" t="s">
        <v>9815</v>
      </c>
      <c r="F3134" s="13"/>
      <c r="G3134" s="14"/>
      <c r="H3134" s="14"/>
      <c r="I3134" s="15">
        <v>20</v>
      </c>
      <c r="J3134" s="15">
        <v>818</v>
      </c>
      <c r="K3134" s="5">
        <v>5</v>
      </c>
      <c r="L3134" s="16">
        <v>97.2</v>
      </c>
      <c r="M3134" s="12"/>
      <c r="N3134" s="14">
        <f t="shared" si="141"/>
        <v>0</v>
      </c>
      <c r="O3134" s="28">
        <f>0.36*M3134</f>
        <v>0</v>
      </c>
      <c r="P3134" s="24">
        <f t="shared" si="142"/>
        <v>0</v>
      </c>
      <c r="Q3134" s="25"/>
      <c r="R3134" s="26" t="s">
        <v>9816</v>
      </c>
      <c r="S3134" s="26" t="s">
        <v>93</v>
      </c>
      <c r="T3134" s="6" t="str">
        <f>HYPERLINK("https://kanzpp.ru/api/getInfo/image/37e85108-0c3f-11e5-aad1-5cf3fc4a2490")</f>
        <v>https://kanzpp.ru/api/getInfo/image/37e85108-0c3f-11e5-aad1-5cf3fc4a2490</v>
      </c>
      <c r="U3134" s="6"/>
      <c r="V3134" s="33" t="s">
        <v>35</v>
      </c>
    </row>
    <row r="3135" spans="2:22" ht="22.95" customHeight="1" outlineLevel="4" x14ac:dyDescent="0.2">
      <c r="B3135" s="82" t="s">
        <v>9817</v>
      </c>
      <c r="C3135" s="82"/>
      <c r="D3135" s="82"/>
      <c r="L3135">
        <v>0</v>
      </c>
    </row>
    <row r="3136" spans="2:22" ht="21" customHeight="1" outlineLevel="5" x14ac:dyDescent="0.2">
      <c r="B3136" s="69">
        <v>2331</v>
      </c>
      <c r="C3136" s="6" t="s">
        <v>9818</v>
      </c>
      <c r="D3136" s="6" t="s">
        <v>9819</v>
      </c>
      <c r="E3136" s="7" t="s">
        <v>9820</v>
      </c>
      <c r="F3136" s="13"/>
      <c r="G3136" s="14"/>
      <c r="H3136" s="14"/>
      <c r="I3136" s="15">
        <v>10</v>
      </c>
      <c r="J3136" s="15">
        <v>77</v>
      </c>
      <c r="K3136" s="5">
        <v>4</v>
      </c>
      <c r="L3136" s="16">
        <v>119.98666666666666</v>
      </c>
      <c r="M3136" s="12"/>
      <c r="N3136" s="14">
        <f t="shared" ref="N3136:N3143" si="143">L3136*M3136</f>
        <v>0</v>
      </c>
      <c r="O3136" s="27">
        <f t="shared" ref="O3136:O3143" si="144">0.3*M3136</f>
        <v>0</v>
      </c>
      <c r="P3136" s="24">
        <f t="shared" ref="P3136:P3143" si="145">0.00045*M3136</f>
        <v>0</v>
      </c>
      <c r="Q3136" s="25"/>
      <c r="R3136" s="26" t="s">
        <v>9821</v>
      </c>
      <c r="S3136" s="26" t="s">
        <v>93</v>
      </c>
      <c r="T3136" s="6" t="str">
        <f>HYPERLINK("https://kanzpp.ru/api/getInfo/image/58b99263-55f6-11e9-a222-ac1f6b442184")</f>
        <v>https://kanzpp.ru/api/getInfo/image/58b99263-55f6-11e9-a222-ac1f6b442184</v>
      </c>
      <c r="U3136" s="6"/>
      <c r="V3136" s="33" t="s">
        <v>35</v>
      </c>
    </row>
    <row r="3137" spans="2:22" ht="21" customHeight="1" outlineLevel="5" x14ac:dyDescent="0.2">
      <c r="B3137" s="69">
        <v>2332</v>
      </c>
      <c r="C3137" s="6" t="s">
        <v>9822</v>
      </c>
      <c r="D3137" s="6" t="s">
        <v>9823</v>
      </c>
      <c r="E3137" s="7" t="s">
        <v>9824</v>
      </c>
      <c r="F3137" s="13"/>
      <c r="G3137" s="14"/>
      <c r="H3137" s="14"/>
      <c r="I3137" s="15">
        <v>10</v>
      </c>
      <c r="J3137" s="17">
        <v>1311</v>
      </c>
      <c r="K3137" s="5">
        <v>4</v>
      </c>
      <c r="L3137" s="16">
        <v>119.98666666666666</v>
      </c>
      <c r="M3137" s="12"/>
      <c r="N3137" s="14">
        <f t="shared" si="143"/>
        <v>0</v>
      </c>
      <c r="O3137" s="27">
        <f t="shared" si="144"/>
        <v>0</v>
      </c>
      <c r="P3137" s="24">
        <f t="shared" si="145"/>
        <v>0</v>
      </c>
      <c r="Q3137" s="25"/>
      <c r="R3137" s="26" t="s">
        <v>9825</v>
      </c>
      <c r="S3137" s="26" t="s">
        <v>93</v>
      </c>
      <c r="T3137" s="6" t="str">
        <f>HYPERLINK("https://kanzpp.ru/api/getInfo/image/ed5bfeeb-55f6-11e9-a222-ac1f6b442184")</f>
        <v>https://kanzpp.ru/api/getInfo/image/ed5bfeeb-55f6-11e9-a222-ac1f6b442184</v>
      </c>
      <c r="U3137" s="6"/>
      <c r="V3137" s="33" t="s">
        <v>35</v>
      </c>
    </row>
    <row r="3138" spans="2:22" ht="21" customHeight="1" outlineLevel="5" x14ac:dyDescent="0.2">
      <c r="B3138" s="69">
        <v>2333</v>
      </c>
      <c r="C3138" s="6" t="s">
        <v>9826</v>
      </c>
      <c r="D3138" s="6" t="s">
        <v>9827</v>
      </c>
      <c r="E3138" s="7" t="s">
        <v>9828</v>
      </c>
      <c r="F3138" s="13"/>
      <c r="G3138" s="14"/>
      <c r="H3138" s="14"/>
      <c r="I3138" s="15">
        <v>10</v>
      </c>
      <c r="J3138" s="17">
        <v>1037</v>
      </c>
      <c r="K3138" s="5">
        <v>4</v>
      </c>
      <c r="L3138" s="16">
        <v>119.98666666666666</v>
      </c>
      <c r="M3138" s="12"/>
      <c r="N3138" s="14">
        <f t="shared" si="143"/>
        <v>0</v>
      </c>
      <c r="O3138" s="27">
        <f t="shared" si="144"/>
        <v>0</v>
      </c>
      <c r="P3138" s="24">
        <f t="shared" si="145"/>
        <v>0</v>
      </c>
      <c r="Q3138" s="25"/>
      <c r="R3138" s="26" t="s">
        <v>9829</v>
      </c>
      <c r="S3138" s="26" t="s">
        <v>93</v>
      </c>
      <c r="T3138" s="6" t="str">
        <f>HYPERLINK("https://kanzpp.ru/api/getInfo/image/18b04484-55f7-11e9-a222-ac1f6b442184")</f>
        <v>https://kanzpp.ru/api/getInfo/image/18b04484-55f7-11e9-a222-ac1f6b442184</v>
      </c>
      <c r="U3138" s="6"/>
      <c r="V3138" s="33" t="s">
        <v>35</v>
      </c>
    </row>
    <row r="3139" spans="2:22" ht="21" customHeight="1" outlineLevel="5" x14ac:dyDescent="0.2">
      <c r="B3139" s="69">
        <v>2334</v>
      </c>
      <c r="C3139" s="6" t="s">
        <v>9830</v>
      </c>
      <c r="D3139" s="6" t="s">
        <v>9831</v>
      </c>
      <c r="E3139" s="7" t="s">
        <v>9832</v>
      </c>
      <c r="F3139" s="13"/>
      <c r="G3139" s="14"/>
      <c r="H3139" s="15">
        <v>20</v>
      </c>
      <c r="I3139" s="14"/>
      <c r="J3139" s="15">
        <v>98</v>
      </c>
      <c r="K3139" s="5">
        <v>4</v>
      </c>
      <c r="L3139" s="16">
        <v>133.42666666666665</v>
      </c>
      <c r="M3139" s="12"/>
      <c r="N3139" s="14">
        <f t="shared" si="143"/>
        <v>0</v>
      </c>
      <c r="O3139" s="27">
        <f t="shared" si="144"/>
        <v>0</v>
      </c>
      <c r="P3139" s="24">
        <f t="shared" si="145"/>
        <v>0</v>
      </c>
      <c r="Q3139" s="25"/>
      <c r="R3139" s="26"/>
      <c r="S3139" s="26" t="s">
        <v>93</v>
      </c>
      <c r="T3139" s="6" t="str">
        <f>HYPERLINK("https://kanzpp.ru/api/getInfo/image/c02723c9-f6af-11eb-a20e-ac1f6b442185")</f>
        <v>https://kanzpp.ru/api/getInfo/image/c02723c9-f6af-11eb-a20e-ac1f6b442185</v>
      </c>
      <c r="U3139" s="6" t="s">
        <v>9833</v>
      </c>
      <c r="V3139" s="33" t="s">
        <v>35</v>
      </c>
    </row>
    <row r="3140" spans="2:22" ht="21" customHeight="1" outlineLevel="5" x14ac:dyDescent="0.2">
      <c r="B3140" s="69">
        <v>2335</v>
      </c>
      <c r="C3140" s="6" t="s">
        <v>9834</v>
      </c>
      <c r="D3140" s="6" t="s">
        <v>9831</v>
      </c>
      <c r="E3140" s="7" t="s">
        <v>9832</v>
      </c>
      <c r="F3140" s="13"/>
      <c r="G3140" s="14"/>
      <c r="H3140" s="14"/>
      <c r="I3140" s="15">
        <v>10</v>
      </c>
      <c r="J3140" s="15">
        <v>463</v>
      </c>
      <c r="K3140" s="5">
        <v>4</v>
      </c>
      <c r="L3140" s="16">
        <v>119.98666666666666</v>
      </c>
      <c r="M3140" s="12"/>
      <c r="N3140" s="14">
        <f t="shared" si="143"/>
        <v>0</v>
      </c>
      <c r="O3140" s="27">
        <f t="shared" si="144"/>
        <v>0</v>
      </c>
      <c r="P3140" s="24">
        <f t="shared" si="145"/>
        <v>0</v>
      </c>
      <c r="Q3140" s="25"/>
      <c r="R3140" s="26" t="s">
        <v>9833</v>
      </c>
      <c r="S3140" s="26" t="s">
        <v>93</v>
      </c>
      <c r="T3140" s="6" t="str">
        <f>HYPERLINK("https://kanzpp.ru/api/getInfo/image/3e750d20-55f7-11e9-a222-ac1f6b442184")</f>
        <v>https://kanzpp.ru/api/getInfo/image/3e750d20-55f7-11e9-a222-ac1f6b442184</v>
      </c>
      <c r="U3140" s="6"/>
      <c r="V3140" s="33" t="s">
        <v>35</v>
      </c>
    </row>
    <row r="3141" spans="2:22" ht="21" customHeight="1" outlineLevel="5" x14ac:dyDescent="0.2">
      <c r="B3141" s="69">
        <v>2336</v>
      </c>
      <c r="C3141" s="6" t="s">
        <v>9835</v>
      </c>
      <c r="D3141" s="6" t="s">
        <v>9836</v>
      </c>
      <c r="E3141" s="7" t="s">
        <v>9837</v>
      </c>
      <c r="F3141" s="13"/>
      <c r="G3141" s="14"/>
      <c r="H3141" s="14"/>
      <c r="I3141" s="15">
        <v>10</v>
      </c>
      <c r="J3141" s="15">
        <v>411</v>
      </c>
      <c r="K3141" s="5">
        <v>4</v>
      </c>
      <c r="L3141" s="16">
        <v>119.98666666666666</v>
      </c>
      <c r="M3141" s="12"/>
      <c r="N3141" s="14">
        <f t="shared" si="143"/>
        <v>0</v>
      </c>
      <c r="O3141" s="27">
        <f t="shared" si="144"/>
        <v>0</v>
      </c>
      <c r="P3141" s="24">
        <f t="shared" si="145"/>
        <v>0</v>
      </c>
      <c r="Q3141" s="25"/>
      <c r="R3141" s="26" t="s">
        <v>9838</v>
      </c>
      <c r="S3141" s="26" t="s">
        <v>93</v>
      </c>
      <c r="T3141" s="6" t="str">
        <f>HYPERLINK("https://kanzpp.ru/api/getInfo/image/59c685f5-55f7-11e9-a222-ac1f6b442184")</f>
        <v>https://kanzpp.ru/api/getInfo/image/59c685f5-55f7-11e9-a222-ac1f6b442184</v>
      </c>
      <c r="U3141" s="6"/>
      <c r="V3141" s="33" t="s">
        <v>35</v>
      </c>
    </row>
    <row r="3142" spans="2:22" ht="21" customHeight="1" outlineLevel="5" x14ac:dyDescent="0.2">
      <c r="B3142" s="70">
        <v>2337</v>
      </c>
      <c r="C3142" s="3" t="s">
        <v>9839</v>
      </c>
      <c r="D3142" s="3" t="s">
        <v>9840</v>
      </c>
      <c r="E3142" s="4" t="s">
        <v>9841</v>
      </c>
      <c r="F3142" s="8"/>
      <c r="G3142" s="9"/>
      <c r="H3142" s="10">
        <v>20</v>
      </c>
      <c r="I3142" s="9"/>
      <c r="J3142" s="10">
        <v>27</v>
      </c>
      <c r="K3142" s="2">
        <v>4</v>
      </c>
      <c r="L3142" s="18">
        <v>56.866666666666667</v>
      </c>
      <c r="M3142" s="12"/>
      <c r="N3142" s="9">
        <f t="shared" si="143"/>
        <v>0</v>
      </c>
      <c r="O3142" s="51">
        <f t="shared" si="144"/>
        <v>0</v>
      </c>
      <c r="P3142" s="30">
        <f t="shared" si="145"/>
        <v>0</v>
      </c>
      <c r="Q3142" s="21"/>
      <c r="R3142" s="22"/>
      <c r="S3142" s="22" t="s">
        <v>93</v>
      </c>
      <c r="T3142" s="3" t="str">
        <f>HYPERLINK("https://kanzpp.ru/api/getInfo/image/9a691407-4091-11ed-a216-ac1f6b442185")</f>
        <v>https://kanzpp.ru/api/getInfo/image/9a691407-4091-11ed-a216-ac1f6b442185</v>
      </c>
      <c r="U3142" s="3" t="s">
        <v>9842</v>
      </c>
      <c r="V3142" s="32" t="s">
        <v>30</v>
      </c>
    </row>
    <row r="3143" spans="2:22" ht="21" customHeight="1" outlineLevel="5" x14ac:dyDescent="0.2">
      <c r="B3143" s="69">
        <v>2338</v>
      </c>
      <c r="C3143" s="6" t="s">
        <v>9843</v>
      </c>
      <c r="D3143" s="6" t="s">
        <v>9840</v>
      </c>
      <c r="E3143" s="7" t="s">
        <v>9841</v>
      </c>
      <c r="F3143" s="13"/>
      <c r="G3143" s="14"/>
      <c r="H3143" s="14"/>
      <c r="I3143" s="15">
        <v>10</v>
      </c>
      <c r="J3143" s="15">
        <v>204</v>
      </c>
      <c r="K3143" s="5">
        <v>4</v>
      </c>
      <c r="L3143" s="16">
        <v>119.98666666666666</v>
      </c>
      <c r="M3143" s="12"/>
      <c r="N3143" s="14">
        <f t="shared" si="143"/>
        <v>0</v>
      </c>
      <c r="O3143" s="27">
        <f t="shared" si="144"/>
        <v>0</v>
      </c>
      <c r="P3143" s="24">
        <f t="shared" si="145"/>
        <v>0</v>
      </c>
      <c r="Q3143" s="25"/>
      <c r="R3143" s="26" t="s">
        <v>9842</v>
      </c>
      <c r="S3143" s="26" t="s">
        <v>93</v>
      </c>
      <c r="T3143" s="6" t="str">
        <f>HYPERLINK("https://kanzpp.ru/api/getInfo/image/773a05ae-55f7-11e9-a222-ac1f6b442184")</f>
        <v>https://kanzpp.ru/api/getInfo/image/773a05ae-55f7-11e9-a222-ac1f6b442184</v>
      </c>
      <c r="U3143" s="6"/>
      <c r="V3143" s="33" t="s">
        <v>35</v>
      </c>
    </row>
    <row r="3144" spans="2:22" ht="22.95" customHeight="1" outlineLevel="4" x14ac:dyDescent="0.2">
      <c r="B3144" s="82" t="s">
        <v>9844</v>
      </c>
      <c r="C3144" s="82"/>
      <c r="D3144" s="82"/>
      <c r="L3144">
        <v>0</v>
      </c>
    </row>
    <row r="3145" spans="2:22" ht="21" customHeight="1" outlineLevel="5" x14ac:dyDescent="0.2">
      <c r="B3145" s="71">
        <v>2339</v>
      </c>
      <c r="C3145" s="37" t="s">
        <v>9845</v>
      </c>
      <c r="D3145" s="37" t="s">
        <v>9846</v>
      </c>
      <c r="E3145" s="38" t="s">
        <v>9847</v>
      </c>
      <c r="F3145" s="39"/>
      <c r="G3145" s="40"/>
      <c r="H3145" s="40"/>
      <c r="I3145" s="41">
        <v>20</v>
      </c>
      <c r="J3145" s="41">
        <v>378</v>
      </c>
      <c r="K3145" s="36">
        <v>5</v>
      </c>
      <c r="L3145" s="42">
        <f>(111.31*(1-O3/100))/0.75</f>
        <v>148.41333333333333</v>
      </c>
      <c r="M3145" s="12"/>
      <c r="N3145" s="40">
        <f t="shared" ref="N3145:N3153" si="146">L3145*M3145</f>
        <v>0</v>
      </c>
      <c r="O3145" s="43">
        <f>0.203*M3145</f>
        <v>0</v>
      </c>
      <c r="P3145" s="47">
        <f>0.00024*M3145</f>
        <v>0</v>
      </c>
      <c r="Q3145" s="44"/>
      <c r="R3145" s="45" t="s">
        <v>9848</v>
      </c>
      <c r="S3145" s="45" t="s">
        <v>93</v>
      </c>
      <c r="T3145" s="37" t="str">
        <f>HYPERLINK("https://kanzpp.ru/api/getInfo/image/1eb5b664-f8c5-11ef-a274-00155d82e908")</f>
        <v>https://kanzpp.ru/api/getInfo/image/1eb5b664-f8c5-11ef-a274-00155d82e908</v>
      </c>
      <c r="U3145" s="37"/>
    </row>
    <row r="3146" spans="2:22" ht="21" customHeight="1" outlineLevel="5" x14ac:dyDescent="0.2">
      <c r="B3146" s="69">
        <v>2340</v>
      </c>
      <c r="C3146" s="6" t="s">
        <v>9849</v>
      </c>
      <c r="D3146" s="6" t="s">
        <v>9850</v>
      </c>
      <c r="E3146" s="7" t="s">
        <v>9851</v>
      </c>
      <c r="F3146" s="13"/>
      <c r="G3146" s="14"/>
      <c r="H3146" s="14"/>
      <c r="I3146" s="15">
        <v>20</v>
      </c>
      <c r="J3146" s="15">
        <v>33</v>
      </c>
      <c r="K3146" s="5">
        <v>5</v>
      </c>
      <c r="L3146" s="16">
        <v>66.533333333333331</v>
      </c>
      <c r="M3146" s="12"/>
      <c r="N3146" s="14">
        <f t="shared" si="146"/>
        <v>0</v>
      </c>
      <c r="O3146" s="23">
        <f>0.216*M3146</f>
        <v>0</v>
      </c>
      <c r="P3146" s="24">
        <f>0.00022*M3146</f>
        <v>0</v>
      </c>
      <c r="Q3146" s="25"/>
      <c r="R3146" s="26" t="s">
        <v>9852</v>
      </c>
      <c r="S3146" s="26" t="s">
        <v>93</v>
      </c>
      <c r="T3146" s="6" t="str">
        <f>HYPERLINK("https://kanzpp.ru/api/getInfo/image/89eb2523-00a3-11ef-a25d-00155d82e908")</f>
        <v>https://kanzpp.ru/api/getInfo/image/89eb2523-00a3-11ef-a25d-00155d82e908</v>
      </c>
      <c r="U3146" s="6"/>
      <c r="V3146" s="33" t="s">
        <v>35</v>
      </c>
    </row>
    <row r="3147" spans="2:22" ht="21" customHeight="1" outlineLevel="5" x14ac:dyDescent="0.2">
      <c r="B3147" s="72">
        <v>2341</v>
      </c>
      <c r="C3147" s="56" t="s">
        <v>9853</v>
      </c>
      <c r="D3147" s="56" t="s">
        <v>9854</v>
      </c>
      <c r="E3147" s="57" t="s">
        <v>9855</v>
      </c>
      <c r="F3147" s="58"/>
      <c r="G3147" s="59"/>
      <c r="H3147" s="59"/>
      <c r="I3147" s="60">
        <v>20</v>
      </c>
      <c r="J3147" s="59" t="s">
        <v>144</v>
      </c>
      <c r="K3147" s="55">
        <v>5</v>
      </c>
      <c r="L3147" s="61">
        <f>(118*(1-O3/100))/0.75</f>
        <v>157.33333333333334</v>
      </c>
      <c r="M3147" s="12"/>
      <c r="N3147" s="59">
        <f t="shared" si="146"/>
        <v>0</v>
      </c>
      <c r="O3147" s="62">
        <f>0.204*M3147</f>
        <v>0</v>
      </c>
      <c r="P3147" s="63">
        <f>0.00027*M3147</f>
        <v>0</v>
      </c>
      <c r="Q3147" s="64" t="s">
        <v>344</v>
      </c>
      <c r="R3147" s="65" t="s">
        <v>9856</v>
      </c>
      <c r="S3147" s="65" t="s">
        <v>93</v>
      </c>
      <c r="T3147" s="56" t="str">
        <f>HYPERLINK("https://kanzpp.ru/api/getInfo/image/77b0e4ec-1177-11f1-a28f-00155d82e908")</f>
        <v>https://kanzpp.ru/api/getInfo/image/77b0e4ec-1177-11f1-a28f-00155d82e908</v>
      </c>
      <c r="U3147" s="56"/>
      <c r="V3147" s="66"/>
    </row>
    <row r="3148" spans="2:22" ht="21" customHeight="1" outlineLevel="5" x14ac:dyDescent="0.2">
      <c r="B3148" s="71">
        <v>2342</v>
      </c>
      <c r="C3148" s="37" t="s">
        <v>9857</v>
      </c>
      <c r="D3148" s="37" t="s">
        <v>9858</v>
      </c>
      <c r="E3148" s="38" t="s">
        <v>9859</v>
      </c>
      <c r="F3148" s="39"/>
      <c r="G3148" s="40"/>
      <c r="H3148" s="40"/>
      <c r="I3148" s="41">
        <v>20</v>
      </c>
      <c r="J3148" s="41">
        <v>333</v>
      </c>
      <c r="K3148" s="36">
        <v>5</v>
      </c>
      <c r="L3148" s="42">
        <f>(111.31*(1-O3/100))/0.75</f>
        <v>148.41333333333333</v>
      </c>
      <c r="M3148" s="12"/>
      <c r="N3148" s="40">
        <f t="shared" si="146"/>
        <v>0</v>
      </c>
      <c r="O3148" s="43">
        <f>0.202*M3148</f>
        <v>0</v>
      </c>
      <c r="P3148" s="47">
        <f>0.00021*M3148</f>
        <v>0</v>
      </c>
      <c r="Q3148" s="44"/>
      <c r="R3148" s="45" t="s">
        <v>9860</v>
      </c>
      <c r="S3148" s="45" t="s">
        <v>93</v>
      </c>
      <c r="T3148" s="37" t="str">
        <f>HYPERLINK("https://kanzpp.ru/api/getInfo/image/9e3cd3a4-f8c4-11ef-a274-00155d82e908")</f>
        <v>https://kanzpp.ru/api/getInfo/image/9e3cd3a4-f8c4-11ef-a274-00155d82e908</v>
      </c>
      <c r="U3148" s="37"/>
    </row>
    <row r="3149" spans="2:22" ht="21" customHeight="1" outlineLevel="5" x14ac:dyDescent="0.2">
      <c r="B3149" s="72">
        <v>2343</v>
      </c>
      <c r="C3149" s="56" t="s">
        <v>9861</v>
      </c>
      <c r="D3149" s="56" t="s">
        <v>9862</v>
      </c>
      <c r="E3149" s="57" t="s">
        <v>9863</v>
      </c>
      <c r="F3149" s="58"/>
      <c r="G3149" s="59"/>
      <c r="H3149" s="59"/>
      <c r="I3149" s="60">
        <v>20</v>
      </c>
      <c r="J3149" s="59" t="s">
        <v>144</v>
      </c>
      <c r="K3149" s="55">
        <v>5</v>
      </c>
      <c r="L3149" s="61">
        <f>(118*(1-O3/100))/0.75</f>
        <v>157.33333333333334</v>
      </c>
      <c r="M3149" s="12"/>
      <c r="N3149" s="59">
        <f t="shared" si="146"/>
        <v>0</v>
      </c>
      <c r="O3149" s="62">
        <f>0.205*M3149</f>
        <v>0</v>
      </c>
      <c r="P3149" s="63">
        <f>0.00025*M3149</f>
        <v>0</v>
      </c>
      <c r="Q3149" s="64" t="s">
        <v>344</v>
      </c>
      <c r="R3149" s="65" t="s">
        <v>9864</v>
      </c>
      <c r="S3149" s="65" t="s">
        <v>93</v>
      </c>
      <c r="T3149" s="56" t="str">
        <f>HYPERLINK("https://kanzpp.ru/api/getInfo/image/a5c8f8e3-1177-11f1-a28f-00155d82e908")</f>
        <v>https://kanzpp.ru/api/getInfo/image/a5c8f8e3-1177-11f1-a28f-00155d82e908</v>
      </c>
      <c r="U3149" s="56"/>
      <c r="V3149" s="66"/>
    </row>
    <row r="3150" spans="2:22" ht="21" customHeight="1" outlineLevel="5" x14ac:dyDescent="0.2">
      <c r="B3150" s="69">
        <v>2344</v>
      </c>
      <c r="C3150" s="6" t="s">
        <v>9865</v>
      </c>
      <c r="D3150" s="6" t="s">
        <v>9866</v>
      </c>
      <c r="E3150" s="7" t="s">
        <v>9867</v>
      </c>
      <c r="F3150" s="13"/>
      <c r="G3150" s="14"/>
      <c r="H3150" s="14"/>
      <c r="I3150" s="15">
        <v>20</v>
      </c>
      <c r="J3150" s="14" t="s">
        <v>144</v>
      </c>
      <c r="K3150" s="5">
        <v>5</v>
      </c>
      <c r="L3150" s="16">
        <v>66.533333333333331</v>
      </c>
      <c r="M3150" s="12"/>
      <c r="N3150" s="14">
        <f t="shared" si="146"/>
        <v>0</v>
      </c>
      <c r="O3150" s="23">
        <f>0.227*M3150</f>
        <v>0</v>
      </c>
      <c r="P3150" s="24">
        <f>0.00026*M3150</f>
        <v>0</v>
      </c>
      <c r="Q3150" s="25"/>
      <c r="R3150" s="26" t="s">
        <v>9868</v>
      </c>
      <c r="S3150" s="26" t="s">
        <v>93</v>
      </c>
      <c r="T3150" s="6" t="str">
        <f>HYPERLINK("https://kanzpp.ru/api/getInfo/image/8f8a05d4-00a4-11ef-a25d-00155d82e908")</f>
        <v>https://kanzpp.ru/api/getInfo/image/8f8a05d4-00a4-11ef-a25d-00155d82e908</v>
      </c>
      <c r="U3150" s="6"/>
      <c r="V3150" s="33" t="s">
        <v>35</v>
      </c>
    </row>
    <row r="3151" spans="2:22" ht="21" customHeight="1" outlineLevel="5" x14ac:dyDescent="0.2">
      <c r="B3151" s="72">
        <v>2345</v>
      </c>
      <c r="C3151" s="56" t="s">
        <v>9869</v>
      </c>
      <c r="D3151" s="56" t="s">
        <v>9870</v>
      </c>
      <c r="E3151" s="57" t="s">
        <v>9871</v>
      </c>
      <c r="F3151" s="58"/>
      <c r="G3151" s="59"/>
      <c r="H3151" s="59"/>
      <c r="I3151" s="60">
        <v>20</v>
      </c>
      <c r="J3151" s="59" t="s">
        <v>144</v>
      </c>
      <c r="K3151" s="55">
        <v>5</v>
      </c>
      <c r="L3151" s="61">
        <f>(118*(1-O3/100))/0.75</f>
        <v>157.33333333333334</v>
      </c>
      <c r="M3151" s="12"/>
      <c r="N3151" s="59">
        <f t="shared" si="146"/>
        <v>0</v>
      </c>
      <c r="O3151" s="62">
        <f>0.204*M3151</f>
        <v>0</v>
      </c>
      <c r="P3151" s="68">
        <f>0.0003*M3151</f>
        <v>0</v>
      </c>
      <c r="Q3151" s="64" t="s">
        <v>344</v>
      </c>
      <c r="R3151" s="65" t="s">
        <v>9872</v>
      </c>
      <c r="S3151" s="65" t="s">
        <v>93</v>
      </c>
      <c r="T3151" s="56" t="str">
        <f>HYPERLINK("https://kanzpp.ru/api/getInfo/image/ca2d5885-1177-11f1-a28f-00155d82e908")</f>
        <v>https://kanzpp.ru/api/getInfo/image/ca2d5885-1177-11f1-a28f-00155d82e908</v>
      </c>
      <c r="U3151" s="56"/>
      <c r="V3151" s="66"/>
    </row>
    <row r="3152" spans="2:22" ht="21" customHeight="1" outlineLevel="5" x14ac:dyDescent="0.2">
      <c r="B3152" s="72">
        <v>2346</v>
      </c>
      <c r="C3152" s="56" t="s">
        <v>9873</v>
      </c>
      <c r="D3152" s="56" t="s">
        <v>9874</v>
      </c>
      <c r="E3152" s="57" t="s">
        <v>9875</v>
      </c>
      <c r="F3152" s="58"/>
      <c r="G3152" s="59"/>
      <c r="H3152" s="59"/>
      <c r="I3152" s="60">
        <v>20</v>
      </c>
      <c r="J3152" s="59" t="s">
        <v>144</v>
      </c>
      <c r="K3152" s="55">
        <v>5</v>
      </c>
      <c r="L3152" s="61">
        <f>(118*(1-O3/100))/0.75</f>
        <v>157.33333333333334</v>
      </c>
      <c r="M3152" s="12"/>
      <c r="N3152" s="59">
        <f t="shared" si="146"/>
        <v>0</v>
      </c>
      <c r="O3152" s="62">
        <f>0.202*M3152</f>
        <v>0</v>
      </c>
      <c r="P3152" s="63">
        <f>0.00025*M3152</f>
        <v>0</v>
      </c>
      <c r="Q3152" s="64" t="s">
        <v>344</v>
      </c>
      <c r="R3152" s="65" t="s">
        <v>9876</v>
      </c>
      <c r="S3152" s="65" t="s">
        <v>93</v>
      </c>
      <c r="T3152" s="56" t="str">
        <f>HYPERLINK("https://kanzpp.ru/api/getInfo/image/ea67a2fd-1177-11f1-a28f-00155d82e908")</f>
        <v>https://kanzpp.ru/api/getInfo/image/ea67a2fd-1177-11f1-a28f-00155d82e908</v>
      </c>
      <c r="U3152" s="56"/>
      <c r="V3152" s="66"/>
    </row>
    <row r="3153" spans="2:22" ht="21" customHeight="1" outlineLevel="5" x14ac:dyDescent="0.2">
      <c r="B3153" s="69">
        <v>2347</v>
      </c>
      <c r="C3153" s="6" t="s">
        <v>9877</v>
      </c>
      <c r="D3153" s="6" t="s">
        <v>9878</v>
      </c>
      <c r="E3153" s="7" t="s">
        <v>9879</v>
      </c>
      <c r="F3153" s="13"/>
      <c r="G3153" s="14"/>
      <c r="H3153" s="14"/>
      <c r="I3153" s="15">
        <v>20</v>
      </c>
      <c r="J3153" s="14" t="s">
        <v>144</v>
      </c>
      <c r="K3153" s="5">
        <v>5</v>
      </c>
      <c r="L3153" s="16">
        <v>26.533333333333331</v>
      </c>
      <c r="M3153" s="12"/>
      <c r="N3153" s="14">
        <f t="shared" si="146"/>
        <v>0</v>
      </c>
      <c r="O3153" s="23">
        <f>0.216*M3153</f>
        <v>0</v>
      </c>
      <c r="P3153" s="24">
        <f>0.00022*M3153</f>
        <v>0</v>
      </c>
      <c r="Q3153" s="25"/>
      <c r="R3153" s="26" t="s">
        <v>9880</v>
      </c>
      <c r="S3153" s="26" t="s">
        <v>93</v>
      </c>
      <c r="T3153" s="6" t="str">
        <f>HYPERLINK("https://kanzpp.ru/api/getInfo/image/afb50d0c-00a4-11ef-a25d-00155d82e908")</f>
        <v>https://kanzpp.ru/api/getInfo/image/afb50d0c-00a4-11ef-a25d-00155d82e908</v>
      </c>
      <c r="U3153" s="6"/>
      <c r="V3153" s="33" t="s">
        <v>35</v>
      </c>
    </row>
    <row r="3154" spans="2:22" ht="22.95" customHeight="1" outlineLevel="4" x14ac:dyDescent="0.2">
      <c r="B3154" s="82" t="s">
        <v>9881</v>
      </c>
      <c r="C3154" s="82"/>
      <c r="D3154" s="82"/>
      <c r="L3154">
        <v>0</v>
      </c>
    </row>
    <row r="3155" spans="2:22" ht="21" customHeight="1" outlineLevel="5" x14ac:dyDescent="0.2">
      <c r="B3155" s="70">
        <v>2348</v>
      </c>
      <c r="C3155" s="3" t="s">
        <v>9882</v>
      </c>
      <c r="D3155" s="3" t="s">
        <v>9883</v>
      </c>
      <c r="E3155" s="4" t="s">
        <v>9884</v>
      </c>
      <c r="F3155" s="8"/>
      <c r="G3155" s="9"/>
      <c r="H3155" s="10">
        <v>30</v>
      </c>
      <c r="I3155" s="9"/>
      <c r="J3155" s="10">
        <v>25</v>
      </c>
      <c r="K3155" s="2">
        <v>5</v>
      </c>
      <c r="L3155" s="18">
        <v>43.306666666666665</v>
      </c>
      <c r="M3155" s="12"/>
      <c r="N3155" s="9">
        <f t="shared" ref="N3155:N3160" si="147">L3155*M3155</f>
        <v>0</v>
      </c>
      <c r="O3155" s="29">
        <f>0.314*M3155</f>
        <v>0</v>
      </c>
      <c r="P3155" s="30">
        <f>0.00041*M3155</f>
        <v>0</v>
      </c>
      <c r="Q3155" s="21"/>
      <c r="R3155" s="22"/>
      <c r="S3155" s="22" t="s">
        <v>93</v>
      </c>
      <c r="T3155" s="3" t="str">
        <f>HYPERLINK("https://kanzpp.ru/api/getInfo/image/aef00e68-3fd1-11ed-a216-ac1f6b442185")</f>
        <v>https://kanzpp.ru/api/getInfo/image/aef00e68-3fd1-11ed-a216-ac1f6b442185</v>
      </c>
      <c r="U3155" s="3" t="s">
        <v>9885</v>
      </c>
      <c r="V3155" s="32" t="s">
        <v>30</v>
      </c>
    </row>
    <row r="3156" spans="2:22" ht="21" customHeight="1" outlineLevel="5" x14ac:dyDescent="0.2">
      <c r="B3156" s="70">
        <v>2349</v>
      </c>
      <c r="C3156" s="3" t="s">
        <v>9886</v>
      </c>
      <c r="D3156" s="3" t="s">
        <v>9887</v>
      </c>
      <c r="E3156" s="4" t="s">
        <v>9888</v>
      </c>
      <c r="F3156" s="8"/>
      <c r="G3156" s="9"/>
      <c r="H3156" s="9"/>
      <c r="I3156" s="10">
        <v>20</v>
      </c>
      <c r="J3156" s="10">
        <v>52</v>
      </c>
      <c r="K3156" s="2">
        <v>4</v>
      </c>
      <c r="L3156" s="18">
        <v>53.226666666666667</v>
      </c>
      <c r="M3156" s="12"/>
      <c r="N3156" s="9">
        <f t="shared" si="147"/>
        <v>0</v>
      </c>
      <c r="O3156" s="29">
        <f>0.282*M3156</f>
        <v>0</v>
      </c>
      <c r="P3156" s="30">
        <f>0.00033*M3156</f>
        <v>0</v>
      </c>
      <c r="Q3156" s="21"/>
      <c r="R3156" s="22" t="s">
        <v>9889</v>
      </c>
      <c r="S3156" s="22" t="s">
        <v>93</v>
      </c>
      <c r="T3156" s="3" t="str">
        <f>HYPERLINK("https://kanzpp.ru/api/getInfo/image/84da7d8b-f8c6-11ef-a274-00155d82e908")</f>
        <v>https://kanzpp.ru/api/getInfo/image/84da7d8b-f8c6-11ef-a274-00155d82e908</v>
      </c>
      <c r="U3156" s="3"/>
      <c r="V3156" s="32" t="s">
        <v>30</v>
      </c>
    </row>
    <row r="3157" spans="2:22" ht="21" customHeight="1" outlineLevel="5" x14ac:dyDescent="0.2">
      <c r="B3157" s="71">
        <v>2350</v>
      </c>
      <c r="C3157" s="37" t="s">
        <v>9890</v>
      </c>
      <c r="D3157" s="37" t="s">
        <v>9891</v>
      </c>
      <c r="E3157" s="38" t="s">
        <v>9892</v>
      </c>
      <c r="F3157" s="39"/>
      <c r="G3157" s="40"/>
      <c r="H3157" s="40"/>
      <c r="I3157" s="41">
        <v>20</v>
      </c>
      <c r="J3157" s="41">
        <v>195</v>
      </c>
      <c r="K3157" s="36">
        <v>4</v>
      </c>
      <c r="L3157" s="42">
        <f>(139.72*(1-O3/100))/0.75</f>
        <v>186.29333333333332</v>
      </c>
      <c r="M3157" s="12"/>
      <c r="N3157" s="40">
        <f t="shared" si="147"/>
        <v>0</v>
      </c>
      <c r="O3157" s="43">
        <f>0.285*M3157</f>
        <v>0</v>
      </c>
      <c r="P3157" s="47">
        <f>0.00034*M3157</f>
        <v>0</v>
      </c>
      <c r="Q3157" s="44"/>
      <c r="R3157" s="45" t="s">
        <v>9893</v>
      </c>
      <c r="S3157" s="45" t="s">
        <v>93</v>
      </c>
      <c r="T3157" s="37" t="str">
        <f>HYPERLINK("https://kanzpp.ru/api/getInfo/image/b7d2af8e-f8c6-11ef-a274-00155d82e908")</f>
        <v>https://kanzpp.ru/api/getInfo/image/b7d2af8e-f8c6-11ef-a274-00155d82e908</v>
      </c>
      <c r="U3157" s="37"/>
    </row>
    <row r="3158" spans="2:22" ht="21" customHeight="1" outlineLevel="5" x14ac:dyDescent="0.2">
      <c r="B3158" s="69">
        <v>2351</v>
      </c>
      <c r="C3158" s="6" t="s">
        <v>9894</v>
      </c>
      <c r="D3158" s="6" t="s">
        <v>9895</v>
      </c>
      <c r="E3158" s="7" t="s">
        <v>9896</v>
      </c>
      <c r="F3158" s="13"/>
      <c r="G3158" s="14"/>
      <c r="H3158" s="14"/>
      <c r="I3158" s="15">
        <v>20</v>
      </c>
      <c r="J3158" s="14" t="s">
        <v>144</v>
      </c>
      <c r="K3158" s="5">
        <v>4</v>
      </c>
      <c r="L3158" s="16">
        <v>132</v>
      </c>
      <c r="M3158" s="12"/>
      <c r="N3158" s="14">
        <f t="shared" si="147"/>
        <v>0</v>
      </c>
      <c r="O3158" s="23">
        <f>0.285*M3158</f>
        <v>0</v>
      </c>
      <c r="P3158" s="24">
        <f>0.00034*M3158</f>
        <v>0</v>
      </c>
      <c r="Q3158" s="25"/>
      <c r="R3158" s="26" t="s">
        <v>9897</v>
      </c>
      <c r="S3158" s="26" t="s">
        <v>93</v>
      </c>
      <c r="T3158" s="6" t="str">
        <f>HYPERLINK("https://kanzpp.ru/api/getInfo/image/06a77951-f8c7-11ef-a274-00155d82e908")</f>
        <v>https://kanzpp.ru/api/getInfo/image/06a77951-f8c7-11ef-a274-00155d82e908</v>
      </c>
      <c r="U3158" s="6"/>
      <c r="V3158" s="33" t="s">
        <v>35</v>
      </c>
    </row>
    <row r="3159" spans="2:22" ht="21" customHeight="1" outlineLevel="5" x14ac:dyDescent="0.2">
      <c r="B3159" s="69">
        <v>2352</v>
      </c>
      <c r="C3159" s="6" t="s">
        <v>9898</v>
      </c>
      <c r="D3159" s="6" t="s">
        <v>9899</v>
      </c>
      <c r="E3159" s="7" t="s">
        <v>9900</v>
      </c>
      <c r="F3159" s="13"/>
      <c r="G3159" s="14"/>
      <c r="H3159" s="14"/>
      <c r="I3159" s="15">
        <v>20</v>
      </c>
      <c r="J3159" s="14" t="s">
        <v>144</v>
      </c>
      <c r="K3159" s="5">
        <v>4</v>
      </c>
      <c r="L3159" s="16">
        <v>132</v>
      </c>
      <c r="M3159" s="12"/>
      <c r="N3159" s="14">
        <f t="shared" si="147"/>
        <v>0</v>
      </c>
      <c r="O3159" s="23">
        <f>0.285*M3159</f>
        <v>0</v>
      </c>
      <c r="P3159" s="24">
        <f>0.00034*M3159</f>
        <v>0</v>
      </c>
      <c r="Q3159" s="25"/>
      <c r="R3159" s="26" t="s">
        <v>9901</v>
      </c>
      <c r="S3159" s="26" t="s">
        <v>93</v>
      </c>
      <c r="T3159" s="6" t="str">
        <f>HYPERLINK("https://kanzpp.ru/api/getInfo/image/e09e9c05-f8c6-11ef-a274-00155d82e908")</f>
        <v>https://kanzpp.ru/api/getInfo/image/e09e9c05-f8c6-11ef-a274-00155d82e908</v>
      </c>
      <c r="U3159" s="6"/>
      <c r="V3159" s="33" t="s">
        <v>35</v>
      </c>
    </row>
    <row r="3160" spans="2:22" ht="21" customHeight="1" outlineLevel="5" x14ac:dyDescent="0.2">
      <c r="B3160" s="69">
        <v>2353</v>
      </c>
      <c r="C3160" s="6" t="s">
        <v>9902</v>
      </c>
      <c r="D3160" s="6" t="s">
        <v>9903</v>
      </c>
      <c r="E3160" s="7" t="s">
        <v>9904</v>
      </c>
      <c r="F3160" s="13"/>
      <c r="G3160" s="14"/>
      <c r="H3160" s="14"/>
      <c r="I3160" s="15">
        <v>20</v>
      </c>
      <c r="J3160" s="14" t="s">
        <v>144</v>
      </c>
      <c r="K3160" s="5">
        <v>4</v>
      </c>
      <c r="L3160" s="16">
        <v>93.32</v>
      </c>
      <c r="M3160" s="12"/>
      <c r="N3160" s="14">
        <f t="shared" si="147"/>
        <v>0</v>
      </c>
      <c r="O3160" s="23">
        <f>0.288*M3160</f>
        <v>0</v>
      </c>
      <c r="P3160" s="31">
        <f>0.0004*M3160</f>
        <v>0</v>
      </c>
      <c r="Q3160" s="25"/>
      <c r="R3160" s="26" t="s">
        <v>9905</v>
      </c>
      <c r="S3160" s="26" t="s">
        <v>93</v>
      </c>
      <c r="T3160" s="6" t="str">
        <f>HYPERLINK("https://kanzpp.ru/api/getInfo/image/abc2038f-f0f6-11ee-a25b-00155d82e908")</f>
        <v>https://kanzpp.ru/api/getInfo/image/abc2038f-f0f6-11ee-a25b-00155d82e908</v>
      </c>
      <c r="U3160" s="6"/>
      <c r="V3160" s="33" t="s">
        <v>35</v>
      </c>
    </row>
    <row r="3161" spans="2:22" ht="22.95" customHeight="1" outlineLevel="4" x14ac:dyDescent="0.2">
      <c r="B3161" s="82" t="s">
        <v>9906</v>
      </c>
      <c r="C3161" s="82"/>
      <c r="D3161" s="82"/>
      <c r="L3161">
        <v>0</v>
      </c>
    </row>
    <row r="3162" spans="2:22" ht="21" customHeight="1" outlineLevel="5" x14ac:dyDescent="0.2">
      <c r="B3162" s="69">
        <v>2354</v>
      </c>
      <c r="C3162" s="6" t="s">
        <v>9907</v>
      </c>
      <c r="D3162" s="6" t="s">
        <v>9908</v>
      </c>
      <c r="E3162" s="7" t="s">
        <v>9909</v>
      </c>
      <c r="F3162" s="13"/>
      <c r="G3162" s="14"/>
      <c r="H3162" s="14"/>
      <c r="I3162" s="15">
        <v>20</v>
      </c>
      <c r="J3162" s="15">
        <v>423</v>
      </c>
      <c r="K3162" s="5">
        <v>3</v>
      </c>
      <c r="L3162" s="16">
        <v>106.53333333333335</v>
      </c>
      <c r="M3162" s="12"/>
      <c r="N3162" s="14">
        <f>L3162*M3162</f>
        <v>0</v>
      </c>
      <c r="O3162" s="23">
        <f>0.277*M3162</f>
        <v>0</v>
      </c>
      <c r="P3162" s="24">
        <f>0.00036*M3162</f>
        <v>0</v>
      </c>
      <c r="Q3162" s="25"/>
      <c r="R3162" s="26" t="s">
        <v>9910</v>
      </c>
      <c r="S3162" s="26" t="s">
        <v>93</v>
      </c>
      <c r="T3162" s="6" t="str">
        <f>HYPERLINK("https://kanzpp.ru/api/getInfo/image/e5e8d2f2-f715-11ee-a25d-00155d82e908")</f>
        <v>https://kanzpp.ru/api/getInfo/image/e5e8d2f2-f715-11ee-a25d-00155d82e908</v>
      </c>
      <c r="U3162" s="6"/>
      <c r="V3162" s="33" t="s">
        <v>35</v>
      </c>
    </row>
    <row r="3163" spans="2:22" ht="21" customHeight="1" outlineLevel="5" x14ac:dyDescent="0.2">
      <c r="B3163" s="69">
        <v>2355</v>
      </c>
      <c r="C3163" s="6" t="s">
        <v>9911</v>
      </c>
      <c r="D3163" s="6" t="s">
        <v>9912</v>
      </c>
      <c r="E3163" s="7" t="s">
        <v>9913</v>
      </c>
      <c r="F3163" s="13"/>
      <c r="G3163" s="14"/>
      <c r="H3163" s="14"/>
      <c r="I3163" s="15">
        <v>20</v>
      </c>
      <c r="J3163" s="14" t="s">
        <v>144</v>
      </c>
      <c r="K3163" s="5">
        <v>3</v>
      </c>
      <c r="L3163" s="16">
        <v>93.32</v>
      </c>
      <c r="M3163" s="12"/>
      <c r="N3163" s="14">
        <f>L3163*M3163</f>
        <v>0</v>
      </c>
      <c r="O3163" s="23">
        <f>0.288*M3163</f>
        <v>0</v>
      </c>
      <c r="P3163" s="31">
        <f>0.0004*M3163</f>
        <v>0</v>
      </c>
      <c r="Q3163" s="25"/>
      <c r="R3163" s="26" t="s">
        <v>9914</v>
      </c>
      <c r="S3163" s="26" t="s">
        <v>93</v>
      </c>
      <c r="T3163" s="6" t="str">
        <f>HYPERLINK("https://kanzpp.ru/api/getInfo/image/a75318da-f715-11ee-a25d-00155d82e908")</f>
        <v>https://kanzpp.ru/api/getInfo/image/a75318da-f715-11ee-a25d-00155d82e908</v>
      </c>
      <c r="U3163" s="6"/>
      <c r="V3163" s="33" t="s">
        <v>35</v>
      </c>
    </row>
    <row r="3164" spans="2:22" ht="21" customHeight="1" outlineLevel="5" x14ac:dyDescent="0.2">
      <c r="B3164" s="70">
        <v>2356</v>
      </c>
      <c r="C3164" s="3" t="s">
        <v>9915</v>
      </c>
      <c r="D3164" s="3" t="s">
        <v>9916</v>
      </c>
      <c r="E3164" s="4" t="s">
        <v>9917</v>
      </c>
      <c r="F3164" s="8"/>
      <c r="G3164" s="9"/>
      <c r="H3164" s="9"/>
      <c r="I3164" s="10">
        <v>20</v>
      </c>
      <c r="J3164" s="10">
        <v>6</v>
      </c>
      <c r="K3164" s="2">
        <v>3</v>
      </c>
      <c r="L3164" s="18">
        <v>63.44</v>
      </c>
      <c r="M3164" s="12"/>
      <c r="N3164" s="9">
        <f>L3164*M3164</f>
        <v>0</v>
      </c>
      <c r="O3164" s="29">
        <f>0.288*M3164</f>
        <v>0</v>
      </c>
      <c r="P3164" s="20">
        <f>0.0004*M3164</f>
        <v>0</v>
      </c>
      <c r="Q3164" s="21"/>
      <c r="R3164" s="22" t="s">
        <v>9918</v>
      </c>
      <c r="S3164" s="22" t="s">
        <v>93</v>
      </c>
      <c r="T3164" s="3" t="str">
        <f>HYPERLINK("https://kanzpp.ru/api/getInfo/image/04c603c9-f716-11ee-a25d-00155d82e908")</f>
        <v>https://kanzpp.ru/api/getInfo/image/04c603c9-f716-11ee-a25d-00155d82e908</v>
      </c>
      <c r="U3164" s="3"/>
      <c r="V3164" s="32" t="s">
        <v>30</v>
      </c>
    </row>
    <row r="3165" spans="2:22" ht="21" customHeight="1" outlineLevel="5" x14ac:dyDescent="0.2">
      <c r="B3165" s="69">
        <v>2357</v>
      </c>
      <c r="C3165" s="6" t="s">
        <v>9919</v>
      </c>
      <c r="D3165" s="6" t="s">
        <v>9920</v>
      </c>
      <c r="E3165" s="7" t="s">
        <v>9921</v>
      </c>
      <c r="F3165" s="13"/>
      <c r="G3165" s="14"/>
      <c r="H3165" s="14"/>
      <c r="I3165" s="15">
        <v>20</v>
      </c>
      <c r="J3165" s="14" t="s">
        <v>144</v>
      </c>
      <c r="K3165" s="5">
        <v>3</v>
      </c>
      <c r="L3165" s="16">
        <v>93.32</v>
      </c>
      <c r="M3165" s="12"/>
      <c r="N3165" s="14">
        <f>L3165*M3165</f>
        <v>0</v>
      </c>
      <c r="O3165" s="23">
        <f>0.296*M3165</f>
        <v>0</v>
      </c>
      <c r="P3165" s="24">
        <f>0.00037*M3165</f>
        <v>0</v>
      </c>
      <c r="Q3165" s="25"/>
      <c r="R3165" s="26" t="s">
        <v>9922</v>
      </c>
      <c r="S3165" s="26" t="s">
        <v>93</v>
      </c>
      <c r="T3165" s="6" t="str">
        <f>HYPERLINK("https://kanzpp.ru/api/getInfo/image/75da4cd1-f715-11ee-a25d-00155d82e908")</f>
        <v>https://kanzpp.ru/api/getInfo/image/75da4cd1-f715-11ee-a25d-00155d82e908</v>
      </c>
      <c r="U3165" s="6"/>
      <c r="V3165" s="33" t="s">
        <v>35</v>
      </c>
    </row>
    <row r="3166" spans="2:22" ht="22.95" customHeight="1" outlineLevel="4" x14ac:dyDescent="0.2">
      <c r="B3166" s="82" t="s">
        <v>9923</v>
      </c>
      <c r="C3166" s="82"/>
      <c r="D3166" s="82"/>
      <c r="L3166">
        <v>0</v>
      </c>
    </row>
    <row r="3167" spans="2:22" ht="22.95" customHeight="1" outlineLevel="5" x14ac:dyDescent="0.2">
      <c r="B3167" s="83" t="s">
        <v>9924</v>
      </c>
      <c r="C3167" s="83"/>
      <c r="D3167" s="83"/>
      <c r="L3167">
        <v>0</v>
      </c>
    </row>
    <row r="3168" spans="2:22" ht="21" customHeight="1" outlineLevel="6" x14ac:dyDescent="0.2">
      <c r="B3168" s="69">
        <v>2358</v>
      </c>
      <c r="C3168" s="6" t="s">
        <v>9925</v>
      </c>
      <c r="D3168" s="6" t="s">
        <v>9926</v>
      </c>
      <c r="E3168" s="7" t="s">
        <v>9927</v>
      </c>
      <c r="F3168" s="13"/>
      <c r="G3168" s="14"/>
      <c r="H3168" s="15">
        <v>20</v>
      </c>
      <c r="I3168" s="15">
        <v>10</v>
      </c>
      <c r="J3168" s="15">
        <v>58</v>
      </c>
      <c r="K3168" s="5">
        <v>1</v>
      </c>
      <c r="L3168" s="16">
        <v>213.32000000000002</v>
      </c>
      <c r="M3168" s="12"/>
      <c r="N3168" s="14">
        <f>L3168*M3168</f>
        <v>0</v>
      </c>
      <c r="O3168" s="23">
        <f>0.372*M3168</f>
        <v>0</v>
      </c>
      <c r="P3168" s="24">
        <f>0.00057*M3168</f>
        <v>0</v>
      </c>
      <c r="Q3168" s="25"/>
      <c r="R3168" s="26" t="s">
        <v>9928</v>
      </c>
      <c r="S3168" s="26" t="s">
        <v>93</v>
      </c>
      <c r="T3168" s="6" t="str">
        <f>HYPERLINK("https://kanzpp.ru/api/getInfo/image/334abbd3-de8f-11ed-a233-00155d82e902")</f>
        <v>https://kanzpp.ru/api/getInfo/image/334abbd3-de8f-11ed-a233-00155d82e902</v>
      </c>
      <c r="U3168" s="6"/>
      <c r="V3168" s="33" t="s">
        <v>35</v>
      </c>
    </row>
    <row r="3169" spans="2:22" ht="22.95" customHeight="1" outlineLevel="5" x14ac:dyDescent="0.2">
      <c r="B3169" s="83" t="s">
        <v>9929</v>
      </c>
      <c r="C3169" s="83"/>
      <c r="D3169" s="83"/>
      <c r="L3169">
        <v>0</v>
      </c>
    </row>
    <row r="3170" spans="2:22" ht="21" customHeight="1" outlineLevel="6" x14ac:dyDescent="0.2">
      <c r="B3170" s="69">
        <v>2359</v>
      </c>
      <c r="C3170" s="6" t="s">
        <v>9930</v>
      </c>
      <c r="D3170" s="6" t="s">
        <v>9931</v>
      </c>
      <c r="E3170" s="7" t="s">
        <v>9932</v>
      </c>
      <c r="F3170" s="13"/>
      <c r="G3170" s="14"/>
      <c r="H3170" s="14"/>
      <c r="I3170" s="15">
        <v>20</v>
      </c>
      <c r="J3170" s="15">
        <v>303</v>
      </c>
      <c r="K3170" s="5">
        <v>3</v>
      </c>
      <c r="L3170" s="16">
        <v>185.33333333333334</v>
      </c>
      <c r="M3170" s="12"/>
      <c r="N3170" s="14">
        <f>L3170*M3170</f>
        <v>0</v>
      </c>
      <c r="O3170" s="23">
        <f>0.297*M3170</f>
        <v>0</v>
      </c>
      <c r="P3170" s="24">
        <f>0.00034*M3170</f>
        <v>0</v>
      </c>
      <c r="Q3170" s="25"/>
      <c r="R3170" s="26" t="s">
        <v>9933</v>
      </c>
      <c r="S3170" s="26" t="s">
        <v>93</v>
      </c>
      <c r="T3170" s="6" t="str">
        <f>HYPERLINK("https://kanzpp.ru/api/getInfo/image/fd726175-f8c7-11ef-a274-00155d82e908")</f>
        <v>https://kanzpp.ru/api/getInfo/image/fd726175-f8c7-11ef-a274-00155d82e908</v>
      </c>
      <c r="U3170" s="6"/>
      <c r="V3170" s="33" t="s">
        <v>35</v>
      </c>
    </row>
    <row r="3171" spans="2:22" ht="21" customHeight="1" outlineLevel="6" x14ac:dyDescent="0.2">
      <c r="B3171" s="69">
        <v>2360</v>
      </c>
      <c r="C3171" s="6" t="s">
        <v>9934</v>
      </c>
      <c r="D3171" s="6" t="s">
        <v>9935</v>
      </c>
      <c r="E3171" s="7" t="s">
        <v>9936</v>
      </c>
      <c r="F3171" s="13"/>
      <c r="G3171" s="14"/>
      <c r="H3171" s="14"/>
      <c r="I3171" s="15">
        <v>20</v>
      </c>
      <c r="J3171" s="15">
        <v>491</v>
      </c>
      <c r="K3171" s="5">
        <v>3</v>
      </c>
      <c r="L3171" s="16">
        <v>185.33333333333334</v>
      </c>
      <c r="M3171" s="12"/>
      <c r="N3171" s="14">
        <f>L3171*M3171</f>
        <v>0</v>
      </c>
      <c r="O3171" s="23">
        <f>0.297*M3171</f>
        <v>0</v>
      </c>
      <c r="P3171" s="24">
        <f>0.00034*M3171</f>
        <v>0</v>
      </c>
      <c r="Q3171" s="25"/>
      <c r="R3171" s="26" t="s">
        <v>9937</v>
      </c>
      <c r="S3171" s="26" t="s">
        <v>93</v>
      </c>
      <c r="T3171" s="6" t="str">
        <f>HYPERLINK("https://kanzpp.ru/api/getInfo/image/46b30fd8-f8c8-11ef-a274-00155d82e908")</f>
        <v>https://kanzpp.ru/api/getInfo/image/46b30fd8-f8c8-11ef-a274-00155d82e908</v>
      </c>
      <c r="U3171" s="6"/>
      <c r="V3171" s="33" t="s">
        <v>35</v>
      </c>
    </row>
    <row r="3172" spans="2:22" ht="21" customHeight="1" outlineLevel="6" x14ac:dyDescent="0.2">
      <c r="B3172" s="69">
        <v>2361</v>
      </c>
      <c r="C3172" s="6" t="s">
        <v>9938</v>
      </c>
      <c r="D3172" s="6" t="s">
        <v>9939</v>
      </c>
      <c r="E3172" s="7" t="s">
        <v>9940</v>
      </c>
      <c r="F3172" s="13"/>
      <c r="G3172" s="14"/>
      <c r="H3172" s="14"/>
      <c r="I3172" s="15">
        <v>20</v>
      </c>
      <c r="J3172" s="15">
        <v>448</v>
      </c>
      <c r="K3172" s="5">
        <v>3</v>
      </c>
      <c r="L3172" s="16">
        <v>185.33333333333334</v>
      </c>
      <c r="M3172" s="12"/>
      <c r="N3172" s="14">
        <f>L3172*M3172</f>
        <v>0</v>
      </c>
      <c r="O3172" s="23">
        <f>0.297*M3172</f>
        <v>0</v>
      </c>
      <c r="P3172" s="24">
        <f>0.00034*M3172</f>
        <v>0</v>
      </c>
      <c r="Q3172" s="25"/>
      <c r="R3172" s="26" t="s">
        <v>9941</v>
      </c>
      <c r="S3172" s="26" t="s">
        <v>93</v>
      </c>
      <c r="T3172" s="6" t="str">
        <f>HYPERLINK("https://kanzpp.ru/api/getInfo/image/66ce28c4-f8c8-11ef-a274-00155d82e908")</f>
        <v>https://kanzpp.ru/api/getInfo/image/66ce28c4-f8c8-11ef-a274-00155d82e908</v>
      </c>
      <c r="U3172" s="6"/>
      <c r="V3172" s="33" t="s">
        <v>35</v>
      </c>
    </row>
    <row r="3173" spans="2:22" ht="21" customHeight="1" outlineLevel="6" x14ac:dyDescent="0.2">
      <c r="B3173" s="69">
        <v>2362</v>
      </c>
      <c r="C3173" s="6" t="s">
        <v>9942</v>
      </c>
      <c r="D3173" s="6" t="s">
        <v>9943</v>
      </c>
      <c r="E3173" s="7" t="s">
        <v>9944</v>
      </c>
      <c r="F3173" s="13"/>
      <c r="G3173" s="14"/>
      <c r="H3173" s="14"/>
      <c r="I3173" s="15">
        <v>20</v>
      </c>
      <c r="J3173" s="15">
        <v>270</v>
      </c>
      <c r="K3173" s="5">
        <v>3</v>
      </c>
      <c r="L3173" s="16">
        <v>185.33333333333334</v>
      </c>
      <c r="M3173" s="12"/>
      <c r="N3173" s="14">
        <f>L3173*M3173</f>
        <v>0</v>
      </c>
      <c r="O3173" s="23">
        <f>0.297*M3173</f>
        <v>0</v>
      </c>
      <c r="P3173" s="24">
        <f>0.00034*M3173</f>
        <v>0</v>
      </c>
      <c r="Q3173" s="25"/>
      <c r="R3173" s="26" t="s">
        <v>9945</v>
      </c>
      <c r="S3173" s="26" t="s">
        <v>93</v>
      </c>
      <c r="T3173" s="6" t="str">
        <f>HYPERLINK("https://kanzpp.ru/api/getInfo/image/871f4673-f8c8-11ef-a274-00155d82e908")</f>
        <v>https://kanzpp.ru/api/getInfo/image/871f4673-f8c8-11ef-a274-00155d82e908</v>
      </c>
      <c r="U3173" s="6"/>
      <c r="V3173" s="33" t="s">
        <v>35</v>
      </c>
    </row>
    <row r="3174" spans="2:22" ht="22.95" customHeight="1" outlineLevel="5" x14ac:dyDescent="0.2">
      <c r="B3174" s="83" t="s">
        <v>9946</v>
      </c>
      <c r="C3174" s="83"/>
      <c r="D3174" s="83"/>
      <c r="L3174">
        <v>0</v>
      </c>
    </row>
    <row r="3175" spans="2:22" ht="21" customHeight="1" outlineLevel="6" x14ac:dyDescent="0.2">
      <c r="B3175" s="69">
        <v>2363</v>
      </c>
      <c r="C3175" s="6" t="s">
        <v>9947</v>
      </c>
      <c r="D3175" s="6" t="s">
        <v>9948</v>
      </c>
      <c r="E3175" s="7" t="s">
        <v>9949</v>
      </c>
      <c r="F3175" s="13"/>
      <c r="G3175" s="14"/>
      <c r="H3175" s="14"/>
      <c r="I3175" s="15">
        <v>20</v>
      </c>
      <c r="J3175" s="14" t="s">
        <v>144</v>
      </c>
      <c r="K3175" s="5">
        <v>4</v>
      </c>
      <c r="L3175" s="16">
        <v>66.533333333333331</v>
      </c>
      <c r="M3175" s="12"/>
      <c r="N3175" s="14">
        <f>L3175*M3175</f>
        <v>0</v>
      </c>
      <c r="O3175" s="23">
        <f>0.181*M3175</f>
        <v>0</v>
      </c>
      <c r="P3175" s="24">
        <f>0.00024*M3175</f>
        <v>0</v>
      </c>
      <c r="Q3175" s="25"/>
      <c r="R3175" s="26" t="s">
        <v>9950</v>
      </c>
      <c r="S3175" s="26" t="s">
        <v>93</v>
      </c>
      <c r="T3175" s="6" t="str">
        <f>HYPERLINK("https://kanzpp.ru/api/getInfo/image/936bf88f-c3e3-11ee-a25a-00155d82e908")</f>
        <v>https://kanzpp.ru/api/getInfo/image/936bf88f-c3e3-11ee-a25a-00155d82e908</v>
      </c>
      <c r="U3175" s="6"/>
      <c r="V3175" s="33" t="s">
        <v>35</v>
      </c>
    </row>
    <row r="3176" spans="2:22" ht="21" customHeight="1" outlineLevel="6" x14ac:dyDescent="0.2">
      <c r="B3176" s="69">
        <v>2364</v>
      </c>
      <c r="C3176" s="6" t="s">
        <v>9951</v>
      </c>
      <c r="D3176" s="6" t="s">
        <v>9952</v>
      </c>
      <c r="E3176" s="7" t="s">
        <v>9953</v>
      </c>
      <c r="F3176" s="13"/>
      <c r="G3176" s="14"/>
      <c r="H3176" s="14"/>
      <c r="I3176" s="15">
        <v>20</v>
      </c>
      <c r="J3176" s="15">
        <v>1</v>
      </c>
      <c r="K3176" s="5">
        <v>1</v>
      </c>
      <c r="L3176" s="16">
        <v>38.946666666666665</v>
      </c>
      <c r="M3176" s="12"/>
      <c r="N3176" s="14">
        <f>L3176*M3176</f>
        <v>0</v>
      </c>
      <c r="O3176" s="23">
        <f>0.316*M3176</f>
        <v>0</v>
      </c>
      <c r="P3176" s="31">
        <f>0.0093*M3176</f>
        <v>0</v>
      </c>
      <c r="Q3176" s="25"/>
      <c r="R3176" s="26" t="s">
        <v>9954</v>
      </c>
      <c r="S3176" s="26" t="s">
        <v>93</v>
      </c>
      <c r="T3176" s="6" t="str">
        <f>HYPERLINK("https://kanzpp.ru/api/getInfo/image/5c15c8be-7cf2-11ec-a211-ac1f6b442185")</f>
        <v>https://kanzpp.ru/api/getInfo/image/5c15c8be-7cf2-11ec-a211-ac1f6b442185</v>
      </c>
      <c r="U3176" s="6"/>
      <c r="V3176" s="33" t="s">
        <v>35</v>
      </c>
    </row>
    <row r="3177" spans="2:22" ht="21" customHeight="1" outlineLevel="6" x14ac:dyDescent="0.2">
      <c r="B3177" s="69">
        <v>2365</v>
      </c>
      <c r="C3177" s="6" t="s">
        <v>9955</v>
      </c>
      <c r="D3177" s="6" t="s">
        <v>9956</v>
      </c>
      <c r="E3177" s="7" t="s">
        <v>9957</v>
      </c>
      <c r="F3177" s="13"/>
      <c r="G3177" s="14"/>
      <c r="H3177" s="14"/>
      <c r="I3177" s="15">
        <v>20</v>
      </c>
      <c r="J3177" s="15">
        <v>193</v>
      </c>
      <c r="K3177" s="5">
        <v>4</v>
      </c>
      <c r="L3177" s="16">
        <v>66.533333333333331</v>
      </c>
      <c r="M3177" s="12"/>
      <c r="N3177" s="14">
        <f>L3177*M3177</f>
        <v>0</v>
      </c>
      <c r="O3177" s="23">
        <f>0.181*M3177</f>
        <v>0</v>
      </c>
      <c r="P3177" s="24">
        <f>0.00024*M3177</f>
        <v>0</v>
      </c>
      <c r="Q3177" s="25"/>
      <c r="R3177" s="26" t="s">
        <v>9958</v>
      </c>
      <c r="S3177" s="26" t="s">
        <v>93</v>
      </c>
      <c r="T3177" s="6" t="str">
        <f>HYPERLINK("https://kanzpp.ru/api/getInfo/image/17ea59a4-f0f8-11ee-a25b-00155d82e908")</f>
        <v>https://kanzpp.ru/api/getInfo/image/17ea59a4-f0f8-11ee-a25b-00155d82e908</v>
      </c>
      <c r="U3177" s="6"/>
      <c r="V3177" s="33" t="s">
        <v>35</v>
      </c>
    </row>
    <row r="3178" spans="2:22" ht="21" customHeight="1" outlineLevel="6" x14ac:dyDescent="0.2">
      <c r="B3178" s="69">
        <v>2366</v>
      </c>
      <c r="C3178" s="6" t="s">
        <v>9959</v>
      </c>
      <c r="D3178" s="6" t="s">
        <v>9960</v>
      </c>
      <c r="E3178" s="7" t="s">
        <v>9961</v>
      </c>
      <c r="F3178" s="13"/>
      <c r="G3178" s="14"/>
      <c r="H3178" s="14"/>
      <c r="I3178" s="15">
        <v>20</v>
      </c>
      <c r="J3178" s="15">
        <v>342</v>
      </c>
      <c r="K3178" s="5">
        <v>4</v>
      </c>
      <c r="L3178" s="16">
        <v>66.533333333333331</v>
      </c>
      <c r="M3178" s="12"/>
      <c r="N3178" s="14">
        <f>L3178*M3178</f>
        <v>0</v>
      </c>
      <c r="O3178" s="23">
        <f>0.181*M3178</f>
        <v>0</v>
      </c>
      <c r="P3178" s="24">
        <f>0.00024*M3178</f>
        <v>0</v>
      </c>
      <c r="Q3178" s="25"/>
      <c r="R3178" s="26" t="s">
        <v>9962</v>
      </c>
      <c r="S3178" s="26" t="s">
        <v>93</v>
      </c>
      <c r="T3178" s="6" t="str">
        <f>HYPERLINK("https://kanzpp.ru/api/getInfo/image/445bbf0d-f0f8-11ee-a25b-00155d82e908")</f>
        <v>https://kanzpp.ru/api/getInfo/image/445bbf0d-f0f8-11ee-a25b-00155d82e908</v>
      </c>
      <c r="U3178" s="6"/>
      <c r="V3178" s="33" t="s">
        <v>35</v>
      </c>
    </row>
    <row r="3179" spans="2:22" ht="21" customHeight="1" outlineLevel="6" x14ac:dyDescent="0.2">
      <c r="B3179" s="69">
        <v>2367</v>
      </c>
      <c r="C3179" s="6" t="s">
        <v>9963</v>
      </c>
      <c r="D3179" s="6" t="s">
        <v>9964</v>
      </c>
      <c r="E3179" s="7" t="s">
        <v>9965</v>
      </c>
      <c r="F3179" s="13"/>
      <c r="G3179" s="14"/>
      <c r="H3179" s="14"/>
      <c r="I3179" s="15">
        <v>20</v>
      </c>
      <c r="J3179" s="14" t="s">
        <v>144</v>
      </c>
      <c r="K3179" s="5">
        <v>4</v>
      </c>
      <c r="L3179" s="16">
        <v>66.533333333333331</v>
      </c>
      <c r="M3179" s="12"/>
      <c r="N3179" s="14">
        <f>L3179*M3179</f>
        <v>0</v>
      </c>
      <c r="O3179" s="23">
        <f>0.299*M3179</f>
        <v>0</v>
      </c>
      <c r="P3179" s="24">
        <f>0.00038*M3179</f>
        <v>0</v>
      </c>
      <c r="Q3179" s="25"/>
      <c r="R3179" s="26" t="s">
        <v>9966</v>
      </c>
      <c r="S3179" s="26" t="s">
        <v>93</v>
      </c>
      <c r="T3179" s="6" t="str">
        <f>HYPERLINK("https://kanzpp.ru/api/getInfo/image/f3a8a528-f0f7-11ee-a25b-00155d82e908")</f>
        <v>https://kanzpp.ru/api/getInfo/image/f3a8a528-f0f7-11ee-a25b-00155d82e908</v>
      </c>
      <c r="U3179" s="6"/>
      <c r="V3179" s="33" t="s">
        <v>35</v>
      </c>
    </row>
    <row r="3180" spans="2:22" ht="22.95" customHeight="1" outlineLevel="4" x14ac:dyDescent="0.2">
      <c r="B3180" s="82" t="s">
        <v>9967</v>
      </c>
      <c r="C3180" s="82"/>
      <c r="D3180" s="82"/>
      <c r="L3180">
        <v>0</v>
      </c>
    </row>
    <row r="3181" spans="2:22" ht="21" customHeight="1" outlineLevel="5" x14ac:dyDescent="0.2">
      <c r="B3181" s="72">
        <v>2368</v>
      </c>
      <c r="C3181" s="56" t="s">
        <v>9968</v>
      </c>
      <c r="D3181" s="56" t="s">
        <v>9969</v>
      </c>
      <c r="E3181" s="57" t="s">
        <v>9970</v>
      </c>
      <c r="F3181" s="58"/>
      <c r="G3181" s="59"/>
      <c r="H3181" s="59"/>
      <c r="I3181" s="60">
        <v>20</v>
      </c>
      <c r="J3181" s="59" t="s">
        <v>144</v>
      </c>
      <c r="K3181" s="55">
        <v>5</v>
      </c>
      <c r="L3181" s="61">
        <f>(121.53*(1-O3/100))/0.75</f>
        <v>162.04</v>
      </c>
      <c r="M3181" s="12"/>
      <c r="N3181" s="59">
        <f t="shared" ref="N3181:N3191" si="148">L3181*M3181</f>
        <v>0</v>
      </c>
      <c r="O3181" s="62">
        <f>0.202*M3181</f>
        <v>0</v>
      </c>
      <c r="P3181" s="63">
        <f>0.00025*M3181</f>
        <v>0</v>
      </c>
      <c r="Q3181" s="64" t="s">
        <v>344</v>
      </c>
      <c r="R3181" s="65" t="s">
        <v>9971</v>
      </c>
      <c r="S3181" s="65" t="s">
        <v>93</v>
      </c>
      <c r="T3181" s="56" t="str">
        <f>HYPERLINK("https://kanzpp.ru/api/getInfo/image/463d02d0-2116-11f1-a290-00155d82e908")</f>
        <v>https://kanzpp.ru/api/getInfo/image/463d02d0-2116-11f1-a290-00155d82e908</v>
      </c>
      <c r="U3181" s="56"/>
      <c r="V3181" s="66"/>
    </row>
    <row r="3182" spans="2:22" ht="21" customHeight="1" outlineLevel="5" x14ac:dyDescent="0.2">
      <c r="B3182" s="72">
        <v>2369</v>
      </c>
      <c r="C3182" s="56" t="s">
        <v>9972</v>
      </c>
      <c r="D3182" s="56" t="s">
        <v>9973</v>
      </c>
      <c r="E3182" s="57" t="s">
        <v>9974</v>
      </c>
      <c r="F3182" s="58"/>
      <c r="G3182" s="59"/>
      <c r="H3182" s="59"/>
      <c r="I3182" s="60">
        <v>20</v>
      </c>
      <c r="J3182" s="59" t="s">
        <v>144</v>
      </c>
      <c r="K3182" s="55">
        <v>5</v>
      </c>
      <c r="L3182" s="61">
        <f>(121.53*(1-O3/100))/0.75</f>
        <v>162.04</v>
      </c>
      <c r="M3182" s="12"/>
      <c r="N3182" s="59">
        <f t="shared" si="148"/>
        <v>0</v>
      </c>
      <c r="O3182" s="62">
        <f>0.202*M3182</f>
        <v>0</v>
      </c>
      <c r="P3182" s="63">
        <f>0.00025*M3182</f>
        <v>0</v>
      </c>
      <c r="Q3182" s="64" t="s">
        <v>344</v>
      </c>
      <c r="R3182" s="65" t="s">
        <v>9975</v>
      </c>
      <c r="S3182" s="65" t="s">
        <v>93</v>
      </c>
      <c r="T3182" s="56" t="str">
        <f>HYPERLINK("https://kanzpp.ru/api/getInfo/image/7b8d27f6-2116-11f1-a290-00155d82e908")</f>
        <v>https://kanzpp.ru/api/getInfo/image/7b8d27f6-2116-11f1-a290-00155d82e908</v>
      </c>
      <c r="U3182" s="56"/>
      <c r="V3182" s="66"/>
    </row>
    <row r="3183" spans="2:22" ht="21" customHeight="1" outlineLevel="5" x14ac:dyDescent="0.2">
      <c r="B3183" s="72">
        <v>2370</v>
      </c>
      <c r="C3183" s="56" t="s">
        <v>9976</v>
      </c>
      <c r="D3183" s="56" t="s">
        <v>9977</v>
      </c>
      <c r="E3183" s="57" t="s">
        <v>9978</v>
      </c>
      <c r="F3183" s="58"/>
      <c r="G3183" s="59"/>
      <c r="H3183" s="59"/>
      <c r="I3183" s="60">
        <v>20</v>
      </c>
      <c r="J3183" s="59" t="s">
        <v>144</v>
      </c>
      <c r="K3183" s="55">
        <v>5</v>
      </c>
      <c r="L3183" s="61">
        <f>(121.53*(1-O3/100))/0.75</f>
        <v>162.04</v>
      </c>
      <c r="M3183" s="12"/>
      <c r="N3183" s="59">
        <f t="shared" si="148"/>
        <v>0</v>
      </c>
      <c r="O3183" s="62">
        <f>0.202*M3183</f>
        <v>0</v>
      </c>
      <c r="P3183" s="63">
        <f>0.00025*M3183</f>
        <v>0</v>
      </c>
      <c r="Q3183" s="64" t="s">
        <v>344</v>
      </c>
      <c r="R3183" s="65" t="s">
        <v>9979</v>
      </c>
      <c r="S3183" s="65" t="s">
        <v>93</v>
      </c>
      <c r="T3183" s="56" t="str">
        <f>HYPERLINK("https://kanzpp.ru/api/getInfo/image/aaa0c1e4-2116-11f1-a290-00155d82e908")</f>
        <v>https://kanzpp.ru/api/getInfo/image/aaa0c1e4-2116-11f1-a290-00155d82e908</v>
      </c>
      <c r="U3183" s="56"/>
      <c r="V3183" s="66"/>
    </row>
    <row r="3184" spans="2:22" ht="21" customHeight="1" outlineLevel="5" x14ac:dyDescent="0.2">
      <c r="B3184" s="72">
        <v>2371</v>
      </c>
      <c r="C3184" s="56" t="s">
        <v>9980</v>
      </c>
      <c r="D3184" s="56" t="s">
        <v>9981</v>
      </c>
      <c r="E3184" s="57" t="s">
        <v>9982</v>
      </c>
      <c r="F3184" s="58"/>
      <c r="G3184" s="59"/>
      <c r="H3184" s="59"/>
      <c r="I3184" s="60">
        <v>20</v>
      </c>
      <c r="J3184" s="59" t="s">
        <v>144</v>
      </c>
      <c r="K3184" s="55">
        <v>5</v>
      </c>
      <c r="L3184" s="61">
        <f>(121.53*(1-O3/100))/0.75</f>
        <v>162.04</v>
      </c>
      <c r="M3184" s="12"/>
      <c r="N3184" s="59">
        <f t="shared" si="148"/>
        <v>0</v>
      </c>
      <c r="O3184" s="62">
        <f>0.202*M3184</f>
        <v>0</v>
      </c>
      <c r="P3184" s="63">
        <f>0.00025*M3184</f>
        <v>0</v>
      </c>
      <c r="Q3184" s="64" t="s">
        <v>344</v>
      </c>
      <c r="R3184" s="65" t="s">
        <v>9983</v>
      </c>
      <c r="S3184" s="65" t="s">
        <v>93</v>
      </c>
      <c r="T3184" s="56" t="str">
        <f>HYPERLINK("https://kanzpp.ru/api/getInfo/image/db8d04c3-2116-11f1-a290-00155d82e908")</f>
        <v>https://kanzpp.ru/api/getInfo/image/db8d04c3-2116-11f1-a290-00155d82e908</v>
      </c>
      <c r="U3184" s="56"/>
      <c r="V3184" s="66"/>
    </row>
    <row r="3185" spans="2:22" ht="21" customHeight="1" outlineLevel="5" x14ac:dyDescent="0.2">
      <c r="B3185" s="69">
        <v>2372</v>
      </c>
      <c r="C3185" s="6" t="s">
        <v>9984</v>
      </c>
      <c r="D3185" s="6" t="s">
        <v>9985</v>
      </c>
      <c r="E3185" s="7" t="s">
        <v>9986</v>
      </c>
      <c r="F3185" s="13"/>
      <c r="G3185" s="14"/>
      <c r="H3185" s="14"/>
      <c r="I3185" s="15">
        <v>20</v>
      </c>
      <c r="J3185" s="15">
        <v>405</v>
      </c>
      <c r="K3185" s="5">
        <v>5</v>
      </c>
      <c r="L3185" s="16">
        <v>79.86666666666666</v>
      </c>
      <c r="M3185" s="12"/>
      <c r="N3185" s="14">
        <f t="shared" si="148"/>
        <v>0</v>
      </c>
      <c r="O3185" s="23">
        <f>0.218*M3185</f>
        <v>0</v>
      </c>
      <c r="P3185" s="24">
        <f>0.00025*M3185</f>
        <v>0</v>
      </c>
      <c r="Q3185" s="25"/>
      <c r="R3185" s="26" t="s">
        <v>9987</v>
      </c>
      <c r="S3185" s="26" t="s">
        <v>93</v>
      </c>
      <c r="T3185" s="6" t="str">
        <f>HYPERLINK("https://kanzpp.ru/api/getInfo/image/499a59b1-009f-11ef-a25d-00155d82e908")</f>
        <v>https://kanzpp.ru/api/getInfo/image/499a59b1-009f-11ef-a25d-00155d82e908</v>
      </c>
      <c r="U3185" s="6"/>
      <c r="V3185" s="33" t="s">
        <v>35</v>
      </c>
    </row>
    <row r="3186" spans="2:22" ht="21" customHeight="1" outlineLevel="5" x14ac:dyDescent="0.2">
      <c r="B3186" s="69">
        <v>2373</v>
      </c>
      <c r="C3186" s="6" t="s">
        <v>9988</v>
      </c>
      <c r="D3186" s="6" t="s">
        <v>9989</v>
      </c>
      <c r="E3186" s="7" t="s">
        <v>9990</v>
      </c>
      <c r="F3186" s="13"/>
      <c r="G3186" s="14"/>
      <c r="H3186" s="14"/>
      <c r="I3186" s="15">
        <v>20</v>
      </c>
      <c r="J3186" s="14" t="s">
        <v>144</v>
      </c>
      <c r="K3186" s="5">
        <v>5</v>
      </c>
      <c r="L3186" s="16">
        <v>79.86666666666666</v>
      </c>
      <c r="M3186" s="12"/>
      <c r="N3186" s="14">
        <f t="shared" si="148"/>
        <v>0</v>
      </c>
      <c r="O3186" s="23">
        <f>0.216*M3186</f>
        <v>0</v>
      </c>
      <c r="P3186" s="24">
        <f>0.00022*M3186</f>
        <v>0</v>
      </c>
      <c r="Q3186" s="25"/>
      <c r="R3186" s="26" t="s">
        <v>9991</v>
      </c>
      <c r="S3186" s="26" t="s">
        <v>93</v>
      </c>
      <c r="T3186" s="6" t="str">
        <f>HYPERLINK("https://kanzpp.ru/api/getInfo/image/627e66db-009e-11ef-a25d-00155d82e908")</f>
        <v>https://kanzpp.ru/api/getInfo/image/627e66db-009e-11ef-a25d-00155d82e908</v>
      </c>
      <c r="U3186" s="6"/>
      <c r="V3186" s="33" t="s">
        <v>35</v>
      </c>
    </row>
    <row r="3187" spans="2:22" ht="21" customHeight="1" outlineLevel="5" x14ac:dyDescent="0.2">
      <c r="B3187" s="69">
        <v>2374</v>
      </c>
      <c r="C3187" s="6" t="s">
        <v>9992</v>
      </c>
      <c r="D3187" s="6" t="s">
        <v>9993</v>
      </c>
      <c r="E3187" s="7" t="s">
        <v>9994</v>
      </c>
      <c r="F3187" s="13"/>
      <c r="G3187" s="14"/>
      <c r="H3187" s="14"/>
      <c r="I3187" s="15">
        <v>20</v>
      </c>
      <c r="J3187" s="15">
        <v>301</v>
      </c>
      <c r="K3187" s="5">
        <v>5</v>
      </c>
      <c r="L3187" s="16">
        <v>93.32</v>
      </c>
      <c r="M3187" s="12"/>
      <c r="N3187" s="14">
        <f t="shared" si="148"/>
        <v>0</v>
      </c>
      <c r="O3187" s="23">
        <f>0.216*M3187</f>
        <v>0</v>
      </c>
      <c r="P3187" s="24">
        <f>0.00022*M3187</f>
        <v>0</v>
      </c>
      <c r="Q3187" s="25"/>
      <c r="R3187" s="26" t="s">
        <v>9995</v>
      </c>
      <c r="S3187" s="26" t="s">
        <v>93</v>
      </c>
      <c r="T3187" s="6" t="str">
        <f>HYPERLINK("https://kanzpp.ru/api/getInfo/image/d92c4690-009e-11ef-a25d-00155d82e908")</f>
        <v>https://kanzpp.ru/api/getInfo/image/d92c4690-009e-11ef-a25d-00155d82e908</v>
      </c>
      <c r="U3187" s="6"/>
      <c r="V3187" s="33" t="s">
        <v>35</v>
      </c>
    </row>
    <row r="3188" spans="2:22" ht="21" customHeight="1" outlineLevel="5" x14ac:dyDescent="0.2">
      <c r="B3188" s="69">
        <v>2375</v>
      </c>
      <c r="C3188" s="6" t="s">
        <v>9996</v>
      </c>
      <c r="D3188" s="6" t="s">
        <v>9997</v>
      </c>
      <c r="E3188" s="7" t="s">
        <v>9998</v>
      </c>
      <c r="F3188" s="13"/>
      <c r="G3188" s="14"/>
      <c r="H3188" s="14"/>
      <c r="I3188" s="15">
        <v>20</v>
      </c>
      <c r="J3188" s="15">
        <v>337</v>
      </c>
      <c r="K3188" s="5">
        <v>5</v>
      </c>
      <c r="L3188" s="16">
        <v>79.986666666666665</v>
      </c>
      <c r="M3188" s="12"/>
      <c r="N3188" s="14">
        <f t="shared" si="148"/>
        <v>0</v>
      </c>
      <c r="O3188" s="23">
        <f>0.216*M3188</f>
        <v>0</v>
      </c>
      <c r="P3188" s="24">
        <f>0.00022*M3188</f>
        <v>0</v>
      </c>
      <c r="Q3188" s="25"/>
      <c r="R3188" s="26" t="s">
        <v>9999</v>
      </c>
      <c r="S3188" s="26" t="s">
        <v>93</v>
      </c>
      <c r="T3188" s="6" t="str">
        <f>HYPERLINK("https://kanzpp.ru/api/getInfo/image/b319a9a9-009e-11ef-a25d-00155d82e908")</f>
        <v>https://kanzpp.ru/api/getInfo/image/b319a9a9-009e-11ef-a25d-00155d82e908</v>
      </c>
      <c r="U3188" s="6"/>
      <c r="V3188" s="33" t="s">
        <v>35</v>
      </c>
    </row>
    <row r="3189" spans="2:22" ht="21" customHeight="1" outlineLevel="5" x14ac:dyDescent="0.2">
      <c r="B3189" s="69">
        <v>2376</v>
      </c>
      <c r="C3189" s="6" t="s">
        <v>10000</v>
      </c>
      <c r="D3189" s="6" t="s">
        <v>10001</v>
      </c>
      <c r="E3189" s="7" t="s">
        <v>10002</v>
      </c>
      <c r="F3189" s="13"/>
      <c r="G3189" s="14"/>
      <c r="H3189" s="14"/>
      <c r="I3189" s="15">
        <v>20</v>
      </c>
      <c r="J3189" s="14" t="s">
        <v>144</v>
      </c>
      <c r="K3189" s="5">
        <v>5</v>
      </c>
      <c r="L3189" s="16">
        <v>66.533333333333331</v>
      </c>
      <c r="M3189" s="12"/>
      <c r="N3189" s="14">
        <f t="shared" si="148"/>
        <v>0</v>
      </c>
      <c r="O3189" s="28">
        <f>0.22*M3189</f>
        <v>0</v>
      </c>
      <c r="P3189" s="24">
        <f>0.00022*M3189</f>
        <v>0</v>
      </c>
      <c r="Q3189" s="25"/>
      <c r="R3189" s="26" t="s">
        <v>10003</v>
      </c>
      <c r="S3189" s="26" t="s">
        <v>93</v>
      </c>
      <c r="T3189" s="6" t="str">
        <f>HYPERLINK("https://kanzpp.ru/api/getInfo/image/fd8f5968-009e-11ef-a25d-00155d82e908")</f>
        <v>https://kanzpp.ru/api/getInfo/image/fd8f5968-009e-11ef-a25d-00155d82e908</v>
      </c>
      <c r="U3189" s="6"/>
      <c r="V3189" s="33" t="s">
        <v>35</v>
      </c>
    </row>
    <row r="3190" spans="2:22" ht="21" customHeight="1" outlineLevel="5" x14ac:dyDescent="0.2">
      <c r="B3190" s="69">
        <v>2377</v>
      </c>
      <c r="C3190" s="6" t="s">
        <v>10004</v>
      </c>
      <c r="D3190" s="6" t="s">
        <v>10005</v>
      </c>
      <c r="E3190" s="7" t="s">
        <v>10006</v>
      </c>
      <c r="F3190" s="13"/>
      <c r="G3190" s="14"/>
      <c r="H3190" s="14"/>
      <c r="I3190" s="15">
        <v>20</v>
      </c>
      <c r="J3190" s="15">
        <v>100</v>
      </c>
      <c r="K3190" s="5">
        <v>5</v>
      </c>
      <c r="L3190" s="16">
        <v>79.986666666666665</v>
      </c>
      <c r="M3190" s="12"/>
      <c r="N3190" s="14">
        <f t="shared" si="148"/>
        <v>0</v>
      </c>
      <c r="O3190" s="23">
        <f>0.216*M3190</f>
        <v>0</v>
      </c>
      <c r="P3190" s="24">
        <f>0.00022*M3190</f>
        <v>0</v>
      </c>
      <c r="Q3190" s="25"/>
      <c r="R3190" s="26" t="s">
        <v>10007</v>
      </c>
      <c r="S3190" s="26" t="s">
        <v>93</v>
      </c>
      <c r="T3190" s="6" t="str">
        <f>HYPERLINK("https://kanzpp.ru/api/getInfo/image/22352e3d-009f-11ef-a25d-00155d82e908")</f>
        <v>https://kanzpp.ru/api/getInfo/image/22352e3d-009f-11ef-a25d-00155d82e908</v>
      </c>
      <c r="U3190" s="6"/>
      <c r="V3190" s="33" t="s">
        <v>35</v>
      </c>
    </row>
    <row r="3191" spans="2:22" ht="21" customHeight="1" outlineLevel="5" x14ac:dyDescent="0.2">
      <c r="B3191" s="69">
        <v>2378</v>
      </c>
      <c r="C3191" s="6" t="s">
        <v>10008</v>
      </c>
      <c r="D3191" s="6" t="s">
        <v>10009</v>
      </c>
      <c r="E3191" s="7" t="s">
        <v>10010</v>
      </c>
      <c r="F3191" s="13"/>
      <c r="G3191" s="14"/>
      <c r="H3191" s="14"/>
      <c r="I3191" s="15">
        <v>20</v>
      </c>
      <c r="J3191" s="14" t="s">
        <v>144</v>
      </c>
      <c r="K3191" s="5">
        <v>5</v>
      </c>
      <c r="L3191" s="16">
        <v>66.533333333333331</v>
      </c>
      <c r="M3191" s="12"/>
      <c r="N3191" s="14">
        <f t="shared" si="148"/>
        <v>0</v>
      </c>
      <c r="O3191" s="23">
        <f>0.218*M3191</f>
        <v>0</v>
      </c>
      <c r="P3191" s="24">
        <f>0.00025*M3191</f>
        <v>0</v>
      </c>
      <c r="Q3191" s="25"/>
      <c r="R3191" s="26" t="s">
        <v>10011</v>
      </c>
      <c r="S3191" s="26" t="s">
        <v>93</v>
      </c>
      <c r="T3191" s="6" t="str">
        <f>HYPERLINK("https://kanzpp.ru/api/getInfo/image/37586617-009e-11ef-a25d-00155d82e908")</f>
        <v>https://kanzpp.ru/api/getInfo/image/37586617-009e-11ef-a25d-00155d82e908</v>
      </c>
      <c r="U3191" s="6"/>
      <c r="V3191" s="33" t="s">
        <v>35</v>
      </c>
    </row>
    <row r="3192" spans="2:22" ht="22.95" customHeight="1" outlineLevel="4" x14ac:dyDescent="0.2">
      <c r="B3192" s="82" t="s">
        <v>10012</v>
      </c>
      <c r="C3192" s="82"/>
      <c r="D3192" s="82"/>
      <c r="L3192">
        <v>0</v>
      </c>
    </row>
    <row r="3193" spans="2:22" ht="21" customHeight="1" outlineLevel="5" x14ac:dyDescent="0.2">
      <c r="B3193" s="71">
        <v>2379</v>
      </c>
      <c r="C3193" s="37" t="s">
        <v>10013</v>
      </c>
      <c r="D3193" s="37" t="s">
        <v>10014</v>
      </c>
      <c r="E3193" s="38" t="s">
        <v>10015</v>
      </c>
      <c r="F3193" s="39"/>
      <c r="G3193" s="40"/>
      <c r="H3193" s="40"/>
      <c r="I3193" s="41">
        <v>20</v>
      </c>
      <c r="J3193" s="41">
        <v>42</v>
      </c>
      <c r="K3193" s="36">
        <v>5</v>
      </c>
      <c r="L3193" s="42">
        <f>(119.87*(1-O3/100))/0.75</f>
        <v>159.82666666666668</v>
      </c>
      <c r="M3193" s="12"/>
      <c r="N3193" s="40">
        <f>L3193*M3193</f>
        <v>0</v>
      </c>
      <c r="O3193" s="43">
        <f>0.209*M3193</f>
        <v>0</v>
      </c>
      <c r="P3193" s="47">
        <f>0.00024*M3193</f>
        <v>0</v>
      </c>
      <c r="Q3193" s="44"/>
      <c r="R3193" s="45" t="s">
        <v>10016</v>
      </c>
      <c r="S3193" s="45" t="s">
        <v>93</v>
      </c>
      <c r="T3193" s="37" t="str">
        <f>HYPERLINK("https://kanzpp.ru/api/getInfo/image/503232c0-f8c9-11ef-a274-00155d82e908")</f>
        <v>https://kanzpp.ru/api/getInfo/image/503232c0-f8c9-11ef-a274-00155d82e908</v>
      </c>
      <c r="U3193" s="37"/>
    </row>
    <row r="3194" spans="2:22" ht="21" customHeight="1" outlineLevel="5" x14ac:dyDescent="0.2">
      <c r="B3194" s="69">
        <v>2380</v>
      </c>
      <c r="C3194" s="6" t="s">
        <v>10017</v>
      </c>
      <c r="D3194" s="6" t="s">
        <v>10018</v>
      </c>
      <c r="E3194" s="7" t="s">
        <v>10019</v>
      </c>
      <c r="F3194" s="13"/>
      <c r="G3194" s="14"/>
      <c r="H3194" s="14"/>
      <c r="I3194" s="15">
        <v>20</v>
      </c>
      <c r="J3194" s="14" t="s">
        <v>144</v>
      </c>
      <c r="K3194" s="5">
        <v>5</v>
      </c>
      <c r="L3194" s="16">
        <v>97.986666666666665</v>
      </c>
      <c r="M3194" s="12"/>
      <c r="N3194" s="14">
        <f>L3194*M3194</f>
        <v>0</v>
      </c>
      <c r="O3194" s="23">
        <f>0.202*M3194</f>
        <v>0</v>
      </c>
      <c r="P3194" s="24">
        <f>0.00021*M3194</f>
        <v>0</v>
      </c>
      <c r="Q3194" s="25"/>
      <c r="R3194" s="26" t="s">
        <v>10020</v>
      </c>
      <c r="S3194" s="26" t="s">
        <v>93</v>
      </c>
      <c r="T3194" s="6" t="str">
        <f>HYPERLINK("https://kanzpp.ru/api/getInfo/image/243bbada-f8c9-11ef-a274-00155d82e908")</f>
        <v>https://kanzpp.ru/api/getInfo/image/243bbada-f8c9-11ef-a274-00155d82e908</v>
      </c>
      <c r="U3194" s="6"/>
      <c r="V3194" s="33" t="s">
        <v>35</v>
      </c>
    </row>
    <row r="3195" spans="2:22" ht="21" customHeight="1" outlineLevel="5" x14ac:dyDescent="0.2">
      <c r="B3195" s="71">
        <v>2381</v>
      </c>
      <c r="C3195" s="37" t="s">
        <v>10021</v>
      </c>
      <c r="D3195" s="37" t="s">
        <v>10022</v>
      </c>
      <c r="E3195" s="38" t="s">
        <v>10023</v>
      </c>
      <c r="F3195" s="39"/>
      <c r="G3195" s="40"/>
      <c r="H3195" s="40"/>
      <c r="I3195" s="41">
        <v>20</v>
      </c>
      <c r="J3195" s="41">
        <v>32</v>
      </c>
      <c r="K3195" s="36">
        <v>5</v>
      </c>
      <c r="L3195" s="42">
        <f>(119.87*(1-O3/100))/0.75</f>
        <v>159.82666666666668</v>
      </c>
      <c r="M3195" s="12"/>
      <c r="N3195" s="40">
        <f>L3195*M3195</f>
        <v>0</v>
      </c>
      <c r="O3195" s="43">
        <f>0.202*M3195</f>
        <v>0</v>
      </c>
      <c r="P3195" s="47">
        <f>0.00027*M3195</f>
        <v>0</v>
      </c>
      <c r="Q3195" s="44"/>
      <c r="R3195" s="45" t="s">
        <v>10024</v>
      </c>
      <c r="S3195" s="45" t="s">
        <v>93</v>
      </c>
      <c r="T3195" s="37" t="str">
        <f>HYPERLINK("https://kanzpp.ru/api/getInfo/image/73ab5eff-f8c9-11ef-a274-00155d82e908")</f>
        <v>https://kanzpp.ru/api/getInfo/image/73ab5eff-f8c9-11ef-a274-00155d82e908</v>
      </c>
      <c r="U3195" s="37"/>
    </row>
    <row r="3196" spans="2:22" ht="21" customHeight="1" outlineLevel="5" x14ac:dyDescent="0.2">
      <c r="B3196" s="69">
        <v>2382</v>
      </c>
      <c r="C3196" s="6" t="s">
        <v>10025</v>
      </c>
      <c r="D3196" s="6" t="s">
        <v>10026</v>
      </c>
      <c r="E3196" s="7" t="s">
        <v>10027</v>
      </c>
      <c r="F3196" s="13"/>
      <c r="G3196" s="14"/>
      <c r="H3196" s="14"/>
      <c r="I3196" s="15">
        <v>20</v>
      </c>
      <c r="J3196" s="14" t="s">
        <v>144</v>
      </c>
      <c r="K3196" s="5">
        <v>5</v>
      </c>
      <c r="L3196" s="16">
        <v>97.986666666666665</v>
      </c>
      <c r="M3196" s="12"/>
      <c r="N3196" s="14">
        <f>L3196*M3196</f>
        <v>0</v>
      </c>
      <c r="O3196" s="23">
        <f>0.205*M3196</f>
        <v>0</v>
      </c>
      <c r="P3196" s="24">
        <f>0.00022*M3196</f>
        <v>0</v>
      </c>
      <c r="Q3196" s="25"/>
      <c r="R3196" s="26" t="s">
        <v>10028</v>
      </c>
      <c r="S3196" s="26" t="s">
        <v>93</v>
      </c>
      <c r="T3196" s="6" t="str">
        <f>HYPERLINK("https://kanzpp.ru/api/getInfo/image/909d646e-f8c9-11ef-a274-00155d82e908")</f>
        <v>https://kanzpp.ru/api/getInfo/image/909d646e-f8c9-11ef-a274-00155d82e908</v>
      </c>
      <c r="U3196" s="6"/>
      <c r="V3196" s="33" t="s">
        <v>35</v>
      </c>
    </row>
    <row r="3197" spans="2:22" ht="22.95" customHeight="1" outlineLevel="4" x14ac:dyDescent="0.2">
      <c r="B3197" s="82" t="s">
        <v>10029</v>
      </c>
      <c r="C3197" s="82"/>
      <c r="D3197" s="82"/>
      <c r="L3197">
        <v>0</v>
      </c>
    </row>
    <row r="3198" spans="2:22" ht="21" customHeight="1" outlineLevel="5" x14ac:dyDescent="0.2">
      <c r="B3198" s="70">
        <v>2383</v>
      </c>
      <c r="C3198" s="3" t="s">
        <v>10030</v>
      </c>
      <c r="D3198" s="3" t="s">
        <v>10031</v>
      </c>
      <c r="E3198" s="4" t="s">
        <v>10032</v>
      </c>
      <c r="F3198" s="8"/>
      <c r="G3198" s="9"/>
      <c r="H3198" s="10">
        <v>20</v>
      </c>
      <c r="I3198" s="9"/>
      <c r="J3198" s="10">
        <v>12</v>
      </c>
      <c r="K3198" s="2">
        <v>1</v>
      </c>
      <c r="L3198" s="18">
        <v>48.906666666666666</v>
      </c>
      <c r="M3198" s="12"/>
      <c r="N3198" s="9">
        <f>L3198*M3198</f>
        <v>0</v>
      </c>
      <c r="O3198" s="29">
        <f>0.217*M3198</f>
        <v>0</v>
      </c>
      <c r="P3198" s="30">
        <f>0.00034*M3198</f>
        <v>0</v>
      </c>
      <c r="Q3198" s="21"/>
      <c r="R3198" s="22"/>
      <c r="S3198" s="22" t="s">
        <v>93</v>
      </c>
      <c r="T3198" s="3" t="str">
        <f>HYPERLINK("https://kanzpp.ru/api/getInfo/image/b4eb45af-41ba-11ee-a243-00155d82e902")</f>
        <v>https://kanzpp.ru/api/getInfo/image/b4eb45af-41ba-11ee-a243-00155d82e902</v>
      </c>
      <c r="U3198" s="3" t="s">
        <v>10033</v>
      </c>
      <c r="V3198" s="32" t="s">
        <v>30</v>
      </c>
    </row>
    <row r="3199" spans="2:22" ht="21" customHeight="1" outlineLevel="5" x14ac:dyDescent="0.2">
      <c r="B3199" s="70">
        <v>2384</v>
      </c>
      <c r="C3199" s="3" t="s">
        <v>10034</v>
      </c>
      <c r="D3199" s="3" t="s">
        <v>10035</v>
      </c>
      <c r="E3199" s="4" t="s">
        <v>10036</v>
      </c>
      <c r="F3199" s="8"/>
      <c r="G3199" s="9"/>
      <c r="H3199" s="9"/>
      <c r="I3199" s="10">
        <v>20</v>
      </c>
      <c r="J3199" s="10">
        <v>5</v>
      </c>
      <c r="K3199" s="2">
        <v>5</v>
      </c>
      <c r="L3199" s="18">
        <v>38.426666666666669</v>
      </c>
      <c r="M3199" s="12"/>
      <c r="N3199" s="9">
        <f>L3199*M3199</f>
        <v>0</v>
      </c>
      <c r="O3199" s="29">
        <f>0.211*M3199</f>
        <v>0</v>
      </c>
      <c r="P3199" s="20">
        <f>0.0003*M3199</f>
        <v>0</v>
      </c>
      <c r="Q3199" s="21"/>
      <c r="R3199" s="22" t="s">
        <v>10037</v>
      </c>
      <c r="S3199" s="22" t="s">
        <v>93</v>
      </c>
      <c r="T3199" s="3" t="str">
        <f>HYPERLINK("https://kanzpp.ru/api/getInfo/image/7cc2dbdf-7cfa-11ec-a211-ac1f6b442185")</f>
        <v>https://kanzpp.ru/api/getInfo/image/7cc2dbdf-7cfa-11ec-a211-ac1f6b442185</v>
      </c>
      <c r="U3199" s="3"/>
      <c r="V3199" s="32" t="s">
        <v>30</v>
      </c>
    </row>
    <row r="3200" spans="2:22" ht="22.95" customHeight="1" outlineLevel="4" x14ac:dyDescent="0.2">
      <c r="B3200" s="82" t="s">
        <v>10038</v>
      </c>
      <c r="C3200" s="82"/>
      <c r="D3200" s="82"/>
      <c r="L3200">
        <v>0</v>
      </c>
    </row>
    <row r="3201" spans="2:22" ht="21" customHeight="1" outlineLevel="5" x14ac:dyDescent="0.2">
      <c r="B3201" s="69">
        <v>2385</v>
      </c>
      <c r="C3201" s="6" t="s">
        <v>10039</v>
      </c>
      <c r="D3201" s="6" t="s">
        <v>10040</v>
      </c>
      <c r="E3201" s="7" t="s">
        <v>10041</v>
      </c>
      <c r="F3201" s="13"/>
      <c r="G3201" s="14"/>
      <c r="H3201" s="14"/>
      <c r="I3201" s="15">
        <v>20</v>
      </c>
      <c r="J3201" s="14" t="s">
        <v>144</v>
      </c>
      <c r="K3201" s="5">
        <v>5</v>
      </c>
      <c r="L3201" s="16">
        <v>66.533333333333331</v>
      </c>
      <c r="M3201" s="12"/>
      <c r="N3201" s="14">
        <f>L3201*M3201</f>
        <v>0</v>
      </c>
      <c r="O3201" s="23">
        <f>0.216*M3201</f>
        <v>0</v>
      </c>
      <c r="P3201" s="24">
        <f>0.00022*M3201</f>
        <v>0</v>
      </c>
      <c r="Q3201" s="25"/>
      <c r="R3201" s="26" t="s">
        <v>10042</v>
      </c>
      <c r="S3201" s="26" t="s">
        <v>93</v>
      </c>
      <c r="T3201" s="6" t="str">
        <f>HYPERLINK("https://kanzpp.ru/api/getInfo/image/9db8897f-f0fa-11ee-a25b-00155d82e908")</f>
        <v>https://kanzpp.ru/api/getInfo/image/9db8897f-f0fa-11ee-a25b-00155d82e908</v>
      </c>
      <c r="U3201" s="6"/>
      <c r="V3201" s="33" t="s">
        <v>35</v>
      </c>
    </row>
    <row r="3202" spans="2:22" ht="21" customHeight="1" outlineLevel="5" x14ac:dyDescent="0.2">
      <c r="B3202" s="70">
        <v>2386</v>
      </c>
      <c r="C3202" s="3" t="s">
        <v>10043</v>
      </c>
      <c r="D3202" s="3" t="s">
        <v>10044</v>
      </c>
      <c r="E3202" s="4" t="s">
        <v>10045</v>
      </c>
      <c r="F3202" s="8"/>
      <c r="G3202" s="9"/>
      <c r="H3202" s="10">
        <v>20</v>
      </c>
      <c r="I3202" s="9"/>
      <c r="J3202" s="10">
        <v>17</v>
      </c>
      <c r="K3202" s="2">
        <v>1</v>
      </c>
      <c r="L3202" s="18">
        <v>49.493333333333332</v>
      </c>
      <c r="M3202" s="12"/>
      <c r="N3202" s="9">
        <f>L3202*M3202</f>
        <v>0</v>
      </c>
      <c r="O3202" s="29">
        <f>0.216*M3202</f>
        <v>0</v>
      </c>
      <c r="P3202" s="20">
        <f>0.0003*M3202</f>
        <v>0</v>
      </c>
      <c r="Q3202" s="21"/>
      <c r="R3202" s="22"/>
      <c r="S3202" s="22" t="s">
        <v>93</v>
      </c>
      <c r="T3202" s="3" t="str">
        <f>HYPERLINK("https://kanzpp.ru/api/getInfo/image/09120096-18ad-11ed-a215-ac1f6b442185")</f>
        <v>https://kanzpp.ru/api/getInfo/image/09120096-18ad-11ed-a215-ac1f6b442185</v>
      </c>
      <c r="U3202" s="3" t="s">
        <v>10046</v>
      </c>
      <c r="V3202" s="32" t="s">
        <v>30</v>
      </c>
    </row>
    <row r="3203" spans="2:22" ht="21" customHeight="1" outlineLevel="5" x14ac:dyDescent="0.2">
      <c r="B3203" s="69">
        <v>2387</v>
      </c>
      <c r="C3203" s="6" t="s">
        <v>10047</v>
      </c>
      <c r="D3203" s="6" t="s">
        <v>10048</v>
      </c>
      <c r="E3203" s="7" t="s">
        <v>10049</v>
      </c>
      <c r="F3203" s="13"/>
      <c r="G3203" s="14"/>
      <c r="H3203" s="14"/>
      <c r="I3203" s="15">
        <v>20</v>
      </c>
      <c r="J3203" s="15">
        <v>195</v>
      </c>
      <c r="K3203" s="5">
        <v>5</v>
      </c>
      <c r="L3203" s="16">
        <v>99.986666666666665</v>
      </c>
      <c r="M3203" s="12"/>
      <c r="N3203" s="14">
        <f>L3203*M3203</f>
        <v>0</v>
      </c>
      <c r="O3203" s="23">
        <f>0.216*M3203</f>
        <v>0</v>
      </c>
      <c r="P3203" s="24">
        <f>0.00022*M3203</f>
        <v>0</v>
      </c>
      <c r="Q3203" s="25"/>
      <c r="R3203" s="26" t="s">
        <v>10050</v>
      </c>
      <c r="S3203" s="26" t="s">
        <v>93</v>
      </c>
      <c r="T3203" s="6" t="str">
        <f>HYPERLINK("https://kanzpp.ru/api/getInfo/image/c4151fd0-f0fa-11ee-a25b-00155d82e908")</f>
        <v>https://kanzpp.ru/api/getInfo/image/c4151fd0-f0fa-11ee-a25b-00155d82e908</v>
      </c>
      <c r="U3203" s="6"/>
      <c r="V3203" s="33" t="s">
        <v>35</v>
      </c>
    </row>
    <row r="3204" spans="2:22" ht="21" customHeight="1" outlineLevel="5" x14ac:dyDescent="0.2">
      <c r="B3204" s="69">
        <v>2388</v>
      </c>
      <c r="C3204" s="6" t="s">
        <v>10051</v>
      </c>
      <c r="D3204" s="6" t="s">
        <v>10052</v>
      </c>
      <c r="E3204" s="7" t="s">
        <v>10053</v>
      </c>
      <c r="F3204" s="13"/>
      <c r="G3204" s="14"/>
      <c r="H3204" s="14"/>
      <c r="I3204" s="15">
        <v>20</v>
      </c>
      <c r="J3204" s="15">
        <v>395</v>
      </c>
      <c r="K3204" s="5">
        <v>5</v>
      </c>
      <c r="L3204" s="16">
        <v>66.533333333333331</v>
      </c>
      <c r="M3204" s="12"/>
      <c r="N3204" s="14">
        <f>L3204*M3204</f>
        <v>0</v>
      </c>
      <c r="O3204" s="23">
        <f>0.227*M3204</f>
        <v>0</v>
      </c>
      <c r="P3204" s="24">
        <f>0.00026*M3204</f>
        <v>0</v>
      </c>
      <c r="Q3204" s="25"/>
      <c r="R3204" s="26" t="s">
        <v>10054</v>
      </c>
      <c r="S3204" s="26" t="s">
        <v>93</v>
      </c>
      <c r="T3204" s="6" t="str">
        <f>HYPERLINK("https://kanzpp.ru/api/getInfo/image/0c65c5ce-f0fb-11ee-a25b-00155d82e908")</f>
        <v>https://kanzpp.ru/api/getInfo/image/0c65c5ce-f0fb-11ee-a25b-00155d82e908</v>
      </c>
      <c r="U3204" s="6"/>
      <c r="V3204" s="33" t="s">
        <v>35</v>
      </c>
    </row>
    <row r="3205" spans="2:22" ht="22.95" customHeight="1" outlineLevel="4" x14ac:dyDescent="0.2">
      <c r="B3205" s="82" t="s">
        <v>10055</v>
      </c>
      <c r="C3205" s="82"/>
      <c r="D3205" s="82"/>
      <c r="L3205">
        <v>0</v>
      </c>
    </row>
    <row r="3206" spans="2:22" ht="21" customHeight="1" outlineLevel="5" x14ac:dyDescent="0.2">
      <c r="B3206" s="69">
        <v>2389</v>
      </c>
      <c r="C3206" s="6" t="s">
        <v>10056</v>
      </c>
      <c r="D3206" s="6" t="s">
        <v>10057</v>
      </c>
      <c r="E3206" s="7" t="s">
        <v>10058</v>
      </c>
      <c r="F3206" s="13"/>
      <c r="G3206" s="14"/>
      <c r="H3206" s="14"/>
      <c r="I3206" s="15">
        <v>20</v>
      </c>
      <c r="J3206" s="15">
        <v>475</v>
      </c>
      <c r="K3206" s="5">
        <v>5</v>
      </c>
      <c r="L3206" s="16">
        <v>25.333333333333332</v>
      </c>
      <c r="M3206" s="12"/>
      <c r="N3206" s="14">
        <f>L3206*M3206</f>
        <v>0</v>
      </c>
      <c r="O3206" s="23">
        <f>0.214*M3206</f>
        <v>0</v>
      </c>
      <c r="P3206" s="24">
        <f>0.00019*M3206</f>
        <v>0</v>
      </c>
      <c r="Q3206" s="25"/>
      <c r="R3206" s="26" t="s">
        <v>10059</v>
      </c>
      <c r="S3206" s="26" t="s">
        <v>93</v>
      </c>
      <c r="T3206" s="6" t="str">
        <f>HYPERLINK("https://kanzpp.ru/api/getInfo/image/552e6163-84b2-11ec-a211-ac1f6b442185")</f>
        <v>https://kanzpp.ru/api/getInfo/image/552e6163-84b2-11ec-a211-ac1f6b442185</v>
      </c>
      <c r="U3206" s="6"/>
      <c r="V3206" s="33" t="s">
        <v>35</v>
      </c>
    </row>
    <row r="3207" spans="2:22" ht="21" customHeight="1" outlineLevel="5" x14ac:dyDescent="0.2">
      <c r="B3207" s="69">
        <v>2390</v>
      </c>
      <c r="C3207" s="6" t="s">
        <v>10060</v>
      </c>
      <c r="D3207" s="6" t="s">
        <v>10057</v>
      </c>
      <c r="E3207" s="7" t="s">
        <v>10058</v>
      </c>
      <c r="F3207" s="13"/>
      <c r="G3207" s="14"/>
      <c r="H3207" s="15">
        <v>20</v>
      </c>
      <c r="I3207" s="14"/>
      <c r="J3207" s="15">
        <v>7</v>
      </c>
      <c r="K3207" s="5">
        <v>5</v>
      </c>
      <c r="L3207" s="16">
        <v>25.333333333333332</v>
      </c>
      <c r="M3207" s="12"/>
      <c r="N3207" s="14">
        <f>L3207*M3207</f>
        <v>0</v>
      </c>
      <c r="O3207" s="23">
        <f>0.214*M3207</f>
        <v>0</v>
      </c>
      <c r="P3207" s="24">
        <f>0.00025*M3207</f>
        <v>0</v>
      </c>
      <c r="Q3207" s="25"/>
      <c r="R3207" s="26"/>
      <c r="S3207" s="26" t="s">
        <v>93</v>
      </c>
      <c r="T3207" s="6" t="str">
        <f>HYPERLINK("https://kanzpp.ru/api/getInfo/image/c3402b35-329b-11ed-a216-ac1f6b442185")</f>
        <v>https://kanzpp.ru/api/getInfo/image/c3402b35-329b-11ed-a216-ac1f6b442185</v>
      </c>
      <c r="U3207" s="6" t="s">
        <v>10059</v>
      </c>
      <c r="V3207" s="33" t="s">
        <v>35</v>
      </c>
    </row>
    <row r="3208" spans="2:22" ht="22.95" customHeight="1" outlineLevel="4" x14ac:dyDescent="0.2">
      <c r="B3208" s="82" t="s">
        <v>10061</v>
      </c>
      <c r="C3208" s="82"/>
      <c r="D3208" s="82"/>
      <c r="L3208">
        <v>0</v>
      </c>
    </row>
    <row r="3209" spans="2:22" ht="21" customHeight="1" outlineLevel="5" x14ac:dyDescent="0.2">
      <c r="B3209" s="69">
        <v>2391</v>
      </c>
      <c r="C3209" s="6" t="s">
        <v>10062</v>
      </c>
      <c r="D3209" s="6" t="s">
        <v>10063</v>
      </c>
      <c r="E3209" s="7" t="s">
        <v>10064</v>
      </c>
      <c r="F3209" s="13"/>
      <c r="G3209" s="14"/>
      <c r="H3209" s="15">
        <v>14</v>
      </c>
      <c r="I3209" s="14"/>
      <c r="J3209" s="14" t="s">
        <v>144</v>
      </c>
      <c r="K3209" s="5">
        <v>2</v>
      </c>
      <c r="L3209" s="16">
        <v>265.33333333333331</v>
      </c>
      <c r="M3209" s="12"/>
      <c r="N3209" s="14">
        <f>L3209*M3209</f>
        <v>0</v>
      </c>
      <c r="O3209" s="23">
        <f>0.357*M3209</f>
        <v>0</v>
      </c>
      <c r="P3209" s="24">
        <f>0.00118*M3209</f>
        <v>0</v>
      </c>
      <c r="Q3209" s="25"/>
      <c r="R3209" s="26" t="s">
        <v>10065</v>
      </c>
      <c r="S3209" s="26" t="s">
        <v>93</v>
      </c>
      <c r="T3209" s="6" t="str">
        <f>HYPERLINK("https://kanzpp.ru/api/getInfo/image/cd0af99f-f8d2-11ef-a274-00155d82e908")</f>
        <v>https://kanzpp.ru/api/getInfo/image/cd0af99f-f8d2-11ef-a274-00155d82e908</v>
      </c>
      <c r="U3209" s="6"/>
      <c r="V3209" s="33" t="s">
        <v>35</v>
      </c>
    </row>
    <row r="3210" spans="2:22" ht="21" customHeight="1" outlineLevel="5" x14ac:dyDescent="0.2">
      <c r="B3210" s="69">
        <v>2392</v>
      </c>
      <c r="C3210" s="6" t="s">
        <v>10066</v>
      </c>
      <c r="D3210" s="6" t="s">
        <v>10067</v>
      </c>
      <c r="E3210" s="7" t="s">
        <v>10068</v>
      </c>
      <c r="F3210" s="13"/>
      <c r="G3210" s="14"/>
      <c r="H3210" s="15">
        <v>14</v>
      </c>
      <c r="I3210" s="14"/>
      <c r="J3210" s="15">
        <v>404</v>
      </c>
      <c r="K3210" s="5">
        <v>2</v>
      </c>
      <c r="L3210" s="16">
        <v>265.33333333333331</v>
      </c>
      <c r="M3210" s="12"/>
      <c r="N3210" s="14">
        <f>L3210*M3210</f>
        <v>0</v>
      </c>
      <c r="O3210" s="23">
        <f>0.363*M3210</f>
        <v>0</v>
      </c>
      <c r="P3210" s="24">
        <f>0.00106*M3210</f>
        <v>0</v>
      </c>
      <c r="Q3210" s="25"/>
      <c r="R3210" s="26" t="s">
        <v>10069</v>
      </c>
      <c r="S3210" s="26" t="s">
        <v>93</v>
      </c>
      <c r="T3210" s="6" t="str">
        <f>HYPERLINK("https://kanzpp.ru/api/getInfo/image/43f350d2-f8d3-11ef-a274-00155d82e908")</f>
        <v>https://kanzpp.ru/api/getInfo/image/43f350d2-f8d3-11ef-a274-00155d82e908</v>
      </c>
      <c r="U3210" s="6"/>
      <c r="V3210" s="33" t="s">
        <v>35</v>
      </c>
    </row>
    <row r="3211" spans="2:22" ht="21" customHeight="1" outlineLevel="5" x14ac:dyDescent="0.2">
      <c r="B3211" s="69">
        <v>2393</v>
      </c>
      <c r="C3211" s="6" t="s">
        <v>10070</v>
      </c>
      <c r="D3211" s="6" t="s">
        <v>10071</v>
      </c>
      <c r="E3211" s="7" t="s">
        <v>10072</v>
      </c>
      <c r="F3211" s="13"/>
      <c r="G3211" s="14"/>
      <c r="H3211" s="15">
        <v>14</v>
      </c>
      <c r="I3211" s="14"/>
      <c r="J3211" s="14" t="s">
        <v>144</v>
      </c>
      <c r="K3211" s="5">
        <v>2</v>
      </c>
      <c r="L3211" s="16">
        <v>265.33333333333331</v>
      </c>
      <c r="M3211" s="12"/>
      <c r="N3211" s="14">
        <f>L3211*M3211</f>
        <v>0</v>
      </c>
      <c r="O3211" s="28">
        <f>0.36*M3211</f>
        <v>0</v>
      </c>
      <c r="P3211" s="24">
        <f>0.00114*M3211</f>
        <v>0</v>
      </c>
      <c r="Q3211" s="25"/>
      <c r="R3211" s="26" t="s">
        <v>10073</v>
      </c>
      <c r="S3211" s="26" t="s">
        <v>93</v>
      </c>
      <c r="T3211" s="6" t="str">
        <f>HYPERLINK("https://kanzpp.ru/api/getInfo/image/7629a303-f8d3-11ef-a274-00155d82e908")</f>
        <v>https://kanzpp.ru/api/getInfo/image/7629a303-f8d3-11ef-a274-00155d82e908</v>
      </c>
      <c r="U3211" s="6"/>
      <c r="V3211" s="33" t="s">
        <v>35</v>
      </c>
    </row>
    <row r="3212" spans="2:22" ht="21" customHeight="1" outlineLevel="5" x14ac:dyDescent="0.2">
      <c r="B3212" s="69">
        <v>2394</v>
      </c>
      <c r="C3212" s="6" t="s">
        <v>10074</v>
      </c>
      <c r="D3212" s="6" t="s">
        <v>10075</v>
      </c>
      <c r="E3212" s="7" t="s">
        <v>10076</v>
      </c>
      <c r="F3212" s="13"/>
      <c r="G3212" s="14"/>
      <c r="H3212" s="15">
        <v>14</v>
      </c>
      <c r="I3212" s="14"/>
      <c r="J3212" s="14" t="s">
        <v>144</v>
      </c>
      <c r="K3212" s="5">
        <v>2</v>
      </c>
      <c r="L3212" s="16">
        <v>265.33333333333331</v>
      </c>
      <c r="M3212" s="12"/>
      <c r="N3212" s="14">
        <f>L3212*M3212</f>
        <v>0</v>
      </c>
      <c r="O3212" s="23">
        <f>0.369*M3212</f>
        <v>0</v>
      </c>
      <c r="P3212" s="31">
        <f>0.0011*M3212</f>
        <v>0</v>
      </c>
      <c r="Q3212" s="25"/>
      <c r="R3212" s="26" t="s">
        <v>10077</v>
      </c>
      <c r="S3212" s="26" t="s">
        <v>93</v>
      </c>
      <c r="T3212" s="6" t="str">
        <f>HYPERLINK("https://kanzpp.ru/api/getInfo/image/95d2723a-f8d3-11ef-a274-00155d82e908")</f>
        <v>https://kanzpp.ru/api/getInfo/image/95d2723a-f8d3-11ef-a274-00155d82e908</v>
      </c>
      <c r="U3212" s="6"/>
      <c r="V3212" s="33" t="s">
        <v>35</v>
      </c>
    </row>
    <row r="3213" spans="2:22" ht="22.95" customHeight="1" outlineLevel="4" x14ac:dyDescent="0.2">
      <c r="B3213" s="82" t="s">
        <v>10078</v>
      </c>
      <c r="C3213" s="82"/>
      <c r="D3213" s="82"/>
      <c r="L3213">
        <v>0</v>
      </c>
    </row>
    <row r="3214" spans="2:22" ht="21" customHeight="1" outlineLevel="5" x14ac:dyDescent="0.2">
      <c r="B3214" s="71">
        <v>2395</v>
      </c>
      <c r="C3214" s="37" t="s">
        <v>10079</v>
      </c>
      <c r="D3214" s="37" t="s">
        <v>10080</v>
      </c>
      <c r="E3214" s="38" t="s">
        <v>10081</v>
      </c>
      <c r="F3214" s="39"/>
      <c r="G3214" s="40"/>
      <c r="H3214" s="40"/>
      <c r="I3214" s="41">
        <v>20</v>
      </c>
      <c r="J3214" s="41">
        <v>205</v>
      </c>
      <c r="K3214" s="36">
        <v>4</v>
      </c>
      <c r="L3214" s="42">
        <f>(162.53*(1-O3/100))/0.75</f>
        <v>216.70666666666668</v>
      </c>
      <c r="M3214" s="12"/>
      <c r="N3214" s="40">
        <f>L3214*M3214</f>
        <v>0</v>
      </c>
      <c r="O3214" s="43">
        <f>0.285*M3214</f>
        <v>0</v>
      </c>
      <c r="P3214" s="47">
        <f>0.00034*M3214</f>
        <v>0</v>
      </c>
      <c r="Q3214" s="44"/>
      <c r="R3214" s="45" t="s">
        <v>10082</v>
      </c>
      <c r="S3214" s="45" t="s">
        <v>93</v>
      </c>
      <c r="T3214" s="37" t="str">
        <f>HYPERLINK("https://kanzpp.ru/api/getInfo/image/ef52138d-f8cc-11ef-a274-00155d82e908")</f>
        <v>https://kanzpp.ru/api/getInfo/image/ef52138d-f8cc-11ef-a274-00155d82e908</v>
      </c>
      <c r="U3214" s="37"/>
    </row>
    <row r="3215" spans="2:22" ht="21" customHeight="1" outlineLevel="5" x14ac:dyDescent="0.2">
      <c r="B3215" s="69">
        <v>2396</v>
      </c>
      <c r="C3215" s="6" t="s">
        <v>10083</v>
      </c>
      <c r="D3215" s="6" t="s">
        <v>10084</v>
      </c>
      <c r="E3215" s="7" t="s">
        <v>10085</v>
      </c>
      <c r="F3215" s="13"/>
      <c r="G3215" s="14"/>
      <c r="H3215" s="14"/>
      <c r="I3215" s="15">
        <v>20</v>
      </c>
      <c r="J3215" s="14" t="s">
        <v>144</v>
      </c>
      <c r="K3215" s="5">
        <v>4</v>
      </c>
      <c r="L3215" s="16">
        <v>133.32</v>
      </c>
      <c r="M3215" s="12"/>
      <c r="N3215" s="14">
        <f>L3215*M3215</f>
        <v>0</v>
      </c>
      <c r="O3215" s="23">
        <f>0.285*M3215</f>
        <v>0</v>
      </c>
      <c r="P3215" s="24">
        <f>0.00034*M3215</f>
        <v>0</v>
      </c>
      <c r="Q3215" s="25"/>
      <c r="R3215" s="26" t="s">
        <v>10086</v>
      </c>
      <c r="S3215" s="26" t="s">
        <v>93</v>
      </c>
      <c r="T3215" s="6" t="str">
        <f>HYPERLINK("https://kanzpp.ru/api/getInfo/image/384b7fb7-f8cd-11ef-a274-00155d82e908")</f>
        <v>https://kanzpp.ru/api/getInfo/image/384b7fb7-f8cd-11ef-a274-00155d82e908</v>
      </c>
      <c r="U3215" s="6"/>
      <c r="V3215" s="33" t="s">
        <v>35</v>
      </c>
    </row>
    <row r="3216" spans="2:22" ht="21" customHeight="1" outlineLevel="5" x14ac:dyDescent="0.2">
      <c r="B3216" s="69">
        <v>2397</v>
      </c>
      <c r="C3216" s="6" t="s">
        <v>10087</v>
      </c>
      <c r="D3216" s="6" t="s">
        <v>10088</v>
      </c>
      <c r="E3216" s="7" t="s">
        <v>10089</v>
      </c>
      <c r="F3216" s="13"/>
      <c r="G3216" s="14"/>
      <c r="H3216" s="14"/>
      <c r="I3216" s="15">
        <v>20</v>
      </c>
      <c r="J3216" s="15">
        <v>412</v>
      </c>
      <c r="K3216" s="5">
        <v>4</v>
      </c>
      <c r="L3216" s="16">
        <v>133.32</v>
      </c>
      <c r="M3216" s="12"/>
      <c r="N3216" s="14">
        <f>L3216*M3216</f>
        <v>0</v>
      </c>
      <c r="O3216" s="23">
        <f>0.285*M3216</f>
        <v>0</v>
      </c>
      <c r="P3216" s="24">
        <f>0.00034*M3216</f>
        <v>0</v>
      </c>
      <c r="Q3216" s="25"/>
      <c r="R3216" s="26" t="s">
        <v>10090</v>
      </c>
      <c r="S3216" s="26" t="s">
        <v>93</v>
      </c>
      <c r="T3216" s="6" t="str">
        <f>HYPERLINK("https://kanzpp.ru/api/getInfo/image/7129ac4e-f8cc-11ef-a274-00155d82e908")</f>
        <v>https://kanzpp.ru/api/getInfo/image/7129ac4e-f8cc-11ef-a274-00155d82e908</v>
      </c>
      <c r="U3216" s="6"/>
      <c r="V3216" s="33" t="s">
        <v>35</v>
      </c>
    </row>
    <row r="3217" spans="2:22" ht="21" customHeight="1" outlineLevel="5" x14ac:dyDescent="0.2">
      <c r="B3217" s="70">
        <v>2398</v>
      </c>
      <c r="C3217" s="3" t="s">
        <v>10091</v>
      </c>
      <c r="D3217" s="3" t="s">
        <v>10092</v>
      </c>
      <c r="E3217" s="4" t="s">
        <v>10093</v>
      </c>
      <c r="F3217" s="8"/>
      <c r="G3217" s="9"/>
      <c r="H3217" s="9"/>
      <c r="I3217" s="10">
        <v>20</v>
      </c>
      <c r="J3217" s="10">
        <v>12</v>
      </c>
      <c r="K3217" s="2">
        <v>4</v>
      </c>
      <c r="L3217" s="18">
        <v>55.879999999999995</v>
      </c>
      <c r="M3217" s="12"/>
      <c r="N3217" s="9">
        <f>L3217*M3217</f>
        <v>0</v>
      </c>
      <c r="O3217" s="11">
        <f>0.29*M3217</f>
        <v>0</v>
      </c>
      <c r="P3217" s="30">
        <f>0.00036*M3217</f>
        <v>0</v>
      </c>
      <c r="Q3217" s="21"/>
      <c r="R3217" s="22" t="s">
        <v>10094</v>
      </c>
      <c r="S3217" s="22" t="s">
        <v>93</v>
      </c>
      <c r="T3217" s="3" t="str">
        <f>HYPERLINK("https://kanzpp.ru/api/getInfo/image/116c8121-f8cd-11ef-a274-00155d82e908")</f>
        <v>https://kanzpp.ru/api/getInfo/image/116c8121-f8cd-11ef-a274-00155d82e908</v>
      </c>
      <c r="U3217" s="3"/>
      <c r="V3217" s="32" t="s">
        <v>30</v>
      </c>
    </row>
    <row r="3218" spans="2:22" ht="22.95" customHeight="1" outlineLevel="4" x14ac:dyDescent="0.2">
      <c r="B3218" s="82" t="s">
        <v>10095</v>
      </c>
      <c r="C3218" s="82"/>
      <c r="D3218" s="82"/>
      <c r="L3218">
        <v>0</v>
      </c>
    </row>
    <row r="3219" spans="2:22" ht="21" customHeight="1" outlineLevel="5" x14ac:dyDescent="0.2">
      <c r="B3219" s="69">
        <v>2399</v>
      </c>
      <c r="C3219" s="6" t="s">
        <v>10096</v>
      </c>
      <c r="D3219" s="6" t="s">
        <v>10097</v>
      </c>
      <c r="E3219" s="7" t="s">
        <v>10098</v>
      </c>
      <c r="F3219" s="13"/>
      <c r="G3219" s="14"/>
      <c r="H3219" s="14"/>
      <c r="I3219" s="15">
        <v>20</v>
      </c>
      <c r="J3219" s="15">
        <v>224</v>
      </c>
      <c r="K3219" s="5">
        <v>4</v>
      </c>
      <c r="L3219" s="16">
        <v>146.65333333333334</v>
      </c>
      <c r="M3219" s="12"/>
      <c r="N3219" s="14">
        <f t="shared" ref="N3219:N3225" si="149">L3219*M3219</f>
        <v>0</v>
      </c>
      <c r="O3219" s="23">
        <f>0.285*M3219</f>
        <v>0</v>
      </c>
      <c r="P3219" s="24">
        <f>0.00034*M3219</f>
        <v>0</v>
      </c>
      <c r="Q3219" s="25"/>
      <c r="R3219" s="26" t="s">
        <v>10099</v>
      </c>
      <c r="S3219" s="26" t="s">
        <v>93</v>
      </c>
      <c r="T3219" s="6" t="str">
        <f>HYPERLINK("https://kanzpp.ru/api/getInfo/image/3489ad8c-f8ce-11ef-a274-00155d82e908")</f>
        <v>https://kanzpp.ru/api/getInfo/image/3489ad8c-f8ce-11ef-a274-00155d82e908</v>
      </c>
      <c r="U3219" s="6"/>
      <c r="V3219" s="33" t="s">
        <v>35</v>
      </c>
    </row>
    <row r="3220" spans="2:22" ht="21" customHeight="1" outlineLevel="5" x14ac:dyDescent="0.2">
      <c r="B3220" s="69">
        <v>2400</v>
      </c>
      <c r="C3220" s="6" t="s">
        <v>10100</v>
      </c>
      <c r="D3220" s="6" t="s">
        <v>10101</v>
      </c>
      <c r="E3220" s="7" t="s">
        <v>10102</v>
      </c>
      <c r="F3220" s="13"/>
      <c r="G3220" s="14"/>
      <c r="H3220" s="14"/>
      <c r="I3220" s="15">
        <v>20</v>
      </c>
      <c r="J3220" s="15">
        <v>12</v>
      </c>
      <c r="K3220" s="5">
        <v>4</v>
      </c>
      <c r="L3220" s="16">
        <v>146.65333333333334</v>
      </c>
      <c r="M3220" s="12"/>
      <c r="N3220" s="14">
        <f t="shared" si="149"/>
        <v>0</v>
      </c>
      <c r="O3220" s="23">
        <f>0.285*M3220</f>
        <v>0</v>
      </c>
      <c r="P3220" s="24">
        <f>0.00034*M3220</f>
        <v>0</v>
      </c>
      <c r="Q3220" s="25"/>
      <c r="R3220" s="26" t="s">
        <v>10103</v>
      </c>
      <c r="S3220" s="26" t="s">
        <v>93</v>
      </c>
      <c r="T3220" s="6" t="str">
        <f>HYPERLINK("https://kanzpp.ru/api/getInfo/image/83be5698-f8ce-11ef-a274-00155d82e908")</f>
        <v>https://kanzpp.ru/api/getInfo/image/83be5698-f8ce-11ef-a274-00155d82e908</v>
      </c>
      <c r="U3220" s="6"/>
      <c r="V3220" s="33" t="s">
        <v>35</v>
      </c>
    </row>
    <row r="3221" spans="2:22" ht="21" customHeight="1" outlineLevel="5" x14ac:dyDescent="0.2">
      <c r="B3221" s="70">
        <v>2401</v>
      </c>
      <c r="C3221" s="3" t="s">
        <v>10104</v>
      </c>
      <c r="D3221" s="3" t="s">
        <v>10105</v>
      </c>
      <c r="E3221" s="4" t="s">
        <v>10106</v>
      </c>
      <c r="F3221" s="8"/>
      <c r="G3221" s="9"/>
      <c r="H3221" s="9"/>
      <c r="I3221" s="10">
        <v>20</v>
      </c>
      <c r="J3221" s="10">
        <v>7</v>
      </c>
      <c r="K3221" s="2">
        <v>4</v>
      </c>
      <c r="L3221" s="18">
        <v>59.54666666666666</v>
      </c>
      <c r="M3221" s="12"/>
      <c r="N3221" s="9">
        <f t="shared" si="149"/>
        <v>0</v>
      </c>
      <c r="O3221" s="29">
        <f>0.285*M3221</f>
        <v>0</v>
      </c>
      <c r="P3221" s="30">
        <f>0.00034*M3221</f>
        <v>0</v>
      </c>
      <c r="Q3221" s="21"/>
      <c r="R3221" s="22" t="s">
        <v>10107</v>
      </c>
      <c r="S3221" s="22" t="s">
        <v>93</v>
      </c>
      <c r="T3221" s="3" t="str">
        <f>HYPERLINK("https://kanzpp.ru/api/getInfo/image/a314a599-f8ce-11ef-a274-00155d82e908")</f>
        <v>https://kanzpp.ru/api/getInfo/image/a314a599-f8ce-11ef-a274-00155d82e908</v>
      </c>
      <c r="U3221" s="3"/>
      <c r="V3221" s="32" t="s">
        <v>30</v>
      </c>
    </row>
    <row r="3222" spans="2:22" ht="21" customHeight="1" outlineLevel="5" x14ac:dyDescent="0.2">
      <c r="B3222" s="69">
        <v>2402</v>
      </c>
      <c r="C3222" s="6" t="s">
        <v>10108</v>
      </c>
      <c r="D3222" s="6" t="s">
        <v>10109</v>
      </c>
      <c r="E3222" s="7" t="s">
        <v>10110</v>
      </c>
      <c r="F3222" s="13"/>
      <c r="G3222" s="14"/>
      <c r="H3222" s="14"/>
      <c r="I3222" s="15">
        <v>20</v>
      </c>
      <c r="J3222" s="14" t="s">
        <v>144</v>
      </c>
      <c r="K3222" s="5">
        <v>4</v>
      </c>
      <c r="L3222" s="16">
        <v>106.65333333333332</v>
      </c>
      <c r="M3222" s="12"/>
      <c r="N3222" s="14">
        <f t="shared" si="149"/>
        <v>0</v>
      </c>
      <c r="O3222" s="23">
        <f>0.323*M3222</f>
        <v>0</v>
      </c>
      <c r="P3222" s="24">
        <f>0.00044*M3222</f>
        <v>0</v>
      </c>
      <c r="Q3222" s="25"/>
      <c r="R3222" s="26" t="s">
        <v>10111</v>
      </c>
      <c r="S3222" s="26" t="s">
        <v>93</v>
      </c>
      <c r="T3222" s="6" t="str">
        <f>HYPERLINK("https://kanzpp.ru/api/getInfo/image/ac55757c-fb07-11ee-a25d-00155d82e908")</f>
        <v>https://kanzpp.ru/api/getInfo/image/ac55757c-fb07-11ee-a25d-00155d82e908</v>
      </c>
      <c r="U3222" s="6"/>
      <c r="V3222" s="33" t="s">
        <v>35</v>
      </c>
    </row>
    <row r="3223" spans="2:22" ht="21" customHeight="1" outlineLevel="5" x14ac:dyDescent="0.2">
      <c r="B3223" s="69">
        <v>2403</v>
      </c>
      <c r="C3223" s="6" t="s">
        <v>10112</v>
      </c>
      <c r="D3223" s="6" t="s">
        <v>10113</v>
      </c>
      <c r="E3223" s="7" t="s">
        <v>10114</v>
      </c>
      <c r="F3223" s="13"/>
      <c r="G3223" s="14"/>
      <c r="H3223" s="14"/>
      <c r="I3223" s="15">
        <v>20</v>
      </c>
      <c r="J3223" s="15">
        <v>328</v>
      </c>
      <c r="K3223" s="5">
        <v>4</v>
      </c>
      <c r="L3223" s="16">
        <v>106.65333333333332</v>
      </c>
      <c r="M3223" s="12"/>
      <c r="N3223" s="14">
        <f t="shared" si="149"/>
        <v>0</v>
      </c>
      <c r="O3223" s="23">
        <f>0.323*M3223</f>
        <v>0</v>
      </c>
      <c r="P3223" s="24">
        <f>0.00044*M3223</f>
        <v>0</v>
      </c>
      <c r="Q3223" s="25"/>
      <c r="R3223" s="26" t="s">
        <v>10115</v>
      </c>
      <c r="S3223" s="26" t="s">
        <v>93</v>
      </c>
      <c r="T3223" s="6" t="str">
        <f>HYPERLINK("https://kanzpp.ru/api/getInfo/image/ca1bbff7-fb07-11ee-a25d-00155d82e908")</f>
        <v>https://kanzpp.ru/api/getInfo/image/ca1bbff7-fb07-11ee-a25d-00155d82e908</v>
      </c>
      <c r="U3223" s="6"/>
      <c r="V3223" s="33" t="s">
        <v>35</v>
      </c>
    </row>
    <row r="3224" spans="2:22" ht="21" customHeight="1" outlineLevel="5" x14ac:dyDescent="0.2">
      <c r="B3224" s="69">
        <v>2404</v>
      </c>
      <c r="C3224" s="6" t="s">
        <v>10116</v>
      </c>
      <c r="D3224" s="6" t="s">
        <v>10117</v>
      </c>
      <c r="E3224" s="7" t="s">
        <v>10118</v>
      </c>
      <c r="F3224" s="13"/>
      <c r="G3224" s="14"/>
      <c r="H3224" s="14"/>
      <c r="I3224" s="15">
        <v>20</v>
      </c>
      <c r="J3224" s="14" t="s">
        <v>144</v>
      </c>
      <c r="K3224" s="5">
        <v>4</v>
      </c>
      <c r="L3224" s="16">
        <v>106.65333333333332</v>
      </c>
      <c r="M3224" s="12"/>
      <c r="N3224" s="14">
        <f t="shared" si="149"/>
        <v>0</v>
      </c>
      <c r="O3224" s="23">
        <f>0.323*M3224</f>
        <v>0</v>
      </c>
      <c r="P3224" s="24">
        <f>0.00044*M3224</f>
        <v>0</v>
      </c>
      <c r="Q3224" s="25"/>
      <c r="R3224" s="26" t="s">
        <v>10119</v>
      </c>
      <c r="S3224" s="26" t="s">
        <v>93</v>
      </c>
      <c r="T3224" s="6" t="str">
        <f>HYPERLINK("https://kanzpp.ru/api/getInfo/image/8efcd77a-fb07-11ee-a25d-00155d82e908")</f>
        <v>https://kanzpp.ru/api/getInfo/image/8efcd77a-fb07-11ee-a25d-00155d82e908</v>
      </c>
      <c r="U3224" s="6"/>
      <c r="V3224" s="33" t="s">
        <v>35</v>
      </c>
    </row>
    <row r="3225" spans="2:22" ht="21" customHeight="1" outlineLevel="5" x14ac:dyDescent="0.2">
      <c r="B3225" s="69">
        <v>2405</v>
      </c>
      <c r="C3225" s="6" t="s">
        <v>10120</v>
      </c>
      <c r="D3225" s="6" t="s">
        <v>10121</v>
      </c>
      <c r="E3225" s="7" t="s">
        <v>10122</v>
      </c>
      <c r="F3225" s="13"/>
      <c r="G3225" s="14"/>
      <c r="H3225" s="14"/>
      <c r="I3225" s="15">
        <v>20</v>
      </c>
      <c r="J3225" s="15">
        <v>392</v>
      </c>
      <c r="K3225" s="5">
        <v>4</v>
      </c>
      <c r="L3225" s="16">
        <v>106.65333333333332</v>
      </c>
      <c r="M3225" s="12"/>
      <c r="N3225" s="14">
        <f t="shared" si="149"/>
        <v>0</v>
      </c>
      <c r="O3225" s="23">
        <f>0.323*M3225</f>
        <v>0</v>
      </c>
      <c r="P3225" s="24">
        <f>0.00044*M3225</f>
        <v>0</v>
      </c>
      <c r="Q3225" s="25"/>
      <c r="R3225" s="26" t="s">
        <v>10123</v>
      </c>
      <c r="S3225" s="26" t="s">
        <v>93</v>
      </c>
      <c r="T3225" s="6" t="str">
        <f>HYPERLINK("https://kanzpp.ru/api/getInfo/image/6d2e30de-fb07-11ee-a25d-00155d82e908")</f>
        <v>https://kanzpp.ru/api/getInfo/image/6d2e30de-fb07-11ee-a25d-00155d82e908</v>
      </c>
      <c r="U3225" s="6"/>
      <c r="V3225" s="33" t="s">
        <v>35</v>
      </c>
    </row>
    <row r="3226" spans="2:22" ht="22.95" customHeight="1" outlineLevel="4" x14ac:dyDescent="0.2">
      <c r="B3226" s="82" t="s">
        <v>10124</v>
      </c>
      <c r="C3226" s="82"/>
      <c r="D3226" s="82"/>
      <c r="L3226">
        <v>0</v>
      </c>
    </row>
    <row r="3227" spans="2:22" ht="21" customHeight="1" outlineLevel="5" x14ac:dyDescent="0.2">
      <c r="B3227" s="69">
        <v>2406</v>
      </c>
      <c r="C3227" s="6" t="s">
        <v>10125</v>
      </c>
      <c r="D3227" s="6" t="s">
        <v>10126</v>
      </c>
      <c r="E3227" s="7" t="s">
        <v>10127</v>
      </c>
      <c r="F3227" s="13"/>
      <c r="G3227" s="14"/>
      <c r="H3227" s="14"/>
      <c r="I3227" s="15">
        <v>20</v>
      </c>
      <c r="J3227" s="15">
        <v>251</v>
      </c>
      <c r="K3227" s="5">
        <v>4</v>
      </c>
      <c r="L3227" s="16">
        <v>79.86666666666666</v>
      </c>
      <c r="M3227" s="12"/>
      <c r="N3227" s="14">
        <f>L3227*M3227</f>
        <v>0</v>
      </c>
      <c r="O3227" s="23">
        <f>0.309*M3227</f>
        <v>0</v>
      </c>
      <c r="P3227" s="24">
        <f>0.00041*M3227</f>
        <v>0</v>
      </c>
      <c r="Q3227" s="25"/>
      <c r="R3227" s="26" t="s">
        <v>10128</v>
      </c>
      <c r="S3227" s="26" t="s">
        <v>93</v>
      </c>
      <c r="T3227" s="6" t="str">
        <f>HYPERLINK("https://kanzpp.ru/api/getInfo/image/f8ea0f6e-fb06-11ee-a25d-00155d82e908")</f>
        <v>https://kanzpp.ru/api/getInfo/image/f8ea0f6e-fb06-11ee-a25d-00155d82e908</v>
      </c>
      <c r="U3227" s="6"/>
      <c r="V3227" s="33" t="s">
        <v>35</v>
      </c>
    </row>
    <row r="3228" spans="2:22" ht="21" customHeight="1" outlineLevel="5" x14ac:dyDescent="0.2">
      <c r="B3228" s="69">
        <v>2407</v>
      </c>
      <c r="C3228" s="6" t="s">
        <v>10129</v>
      </c>
      <c r="D3228" s="6" t="s">
        <v>10130</v>
      </c>
      <c r="E3228" s="7" t="s">
        <v>10131</v>
      </c>
      <c r="F3228" s="13"/>
      <c r="G3228" s="14"/>
      <c r="H3228" s="14"/>
      <c r="I3228" s="15">
        <v>20</v>
      </c>
      <c r="J3228" s="14" t="s">
        <v>144</v>
      </c>
      <c r="K3228" s="5">
        <v>4</v>
      </c>
      <c r="L3228" s="16">
        <v>65.333333333333329</v>
      </c>
      <c r="M3228" s="12"/>
      <c r="N3228" s="14">
        <f>L3228*M3228</f>
        <v>0</v>
      </c>
      <c r="O3228" s="23">
        <f>0.308*M3228</f>
        <v>0</v>
      </c>
      <c r="P3228" s="24">
        <f>0.00036*M3228</f>
        <v>0</v>
      </c>
      <c r="Q3228" s="25"/>
      <c r="R3228" s="26" t="s">
        <v>10132</v>
      </c>
      <c r="S3228" s="26" t="s">
        <v>93</v>
      </c>
      <c r="T3228" s="6" t="str">
        <f>HYPERLINK("https://kanzpp.ru/api/getInfo/image/82faf6ae-fb06-11ee-a25d-00155d82e908")</f>
        <v>https://kanzpp.ru/api/getInfo/image/82faf6ae-fb06-11ee-a25d-00155d82e908</v>
      </c>
      <c r="U3228" s="6"/>
      <c r="V3228" s="33" t="s">
        <v>35</v>
      </c>
    </row>
    <row r="3229" spans="2:22" ht="21" customHeight="1" outlineLevel="5" x14ac:dyDescent="0.2">
      <c r="B3229" s="69">
        <v>2408</v>
      </c>
      <c r="C3229" s="6" t="s">
        <v>10133</v>
      </c>
      <c r="D3229" s="6" t="s">
        <v>10134</v>
      </c>
      <c r="E3229" s="7" t="s">
        <v>10135</v>
      </c>
      <c r="F3229" s="13"/>
      <c r="G3229" s="14"/>
      <c r="H3229" s="14"/>
      <c r="I3229" s="15">
        <v>20</v>
      </c>
      <c r="J3229" s="14" t="s">
        <v>144</v>
      </c>
      <c r="K3229" s="5">
        <v>4</v>
      </c>
      <c r="L3229" s="16">
        <v>65.333333333333329</v>
      </c>
      <c r="M3229" s="12"/>
      <c r="N3229" s="14">
        <f>L3229*M3229</f>
        <v>0</v>
      </c>
      <c r="O3229" s="23">
        <f>0.309*M3229</f>
        <v>0</v>
      </c>
      <c r="P3229" s="24">
        <f>0.00041*M3229</f>
        <v>0</v>
      </c>
      <c r="Q3229" s="25"/>
      <c r="R3229" s="26" t="s">
        <v>10136</v>
      </c>
      <c r="S3229" s="26" t="s">
        <v>93</v>
      </c>
      <c r="T3229" s="6" t="str">
        <f>HYPERLINK("https://kanzpp.ru/api/getInfo/image/d45e5cee-fb06-11ee-a25d-00155d82e908")</f>
        <v>https://kanzpp.ru/api/getInfo/image/d45e5cee-fb06-11ee-a25d-00155d82e908</v>
      </c>
      <c r="U3229" s="6"/>
      <c r="V3229" s="33" t="s">
        <v>35</v>
      </c>
    </row>
    <row r="3230" spans="2:22" ht="21" customHeight="1" outlineLevel="5" x14ac:dyDescent="0.2">
      <c r="B3230" s="69">
        <v>2409</v>
      </c>
      <c r="C3230" s="6" t="s">
        <v>10137</v>
      </c>
      <c r="D3230" s="6" t="s">
        <v>10138</v>
      </c>
      <c r="E3230" s="7" t="s">
        <v>10139</v>
      </c>
      <c r="F3230" s="13"/>
      <c r="G3230" s="14"/>
      <c r="H3230" s="14"/>
      <c r="I3230" s="15">
        <v>20</v>
      </c>
      <c r="J3230" s="14" t="s">
        <v>144</v>
      </c>
      <c r="K3230" s="5">
        <v>4</v>
      </c>
      <c r="L3230" s="16">
        <v>106.65333333333332</v>
      </c>
      <c r="M3230" s="12"/>
      <c r="N3230" s="14">
        <f>L3230*M3230</f>
        <v>0</v>
      </c>
      <c r="O3230" s="23">
        <f>0.309*M3230</f>
        <v>0</v>
      </c>
      <c r="P3230" s="24">
        <f>0.00041*M3230</f>
        <v>0</v>
      </c>
      <c r="Q3230" s="25"/>
      <c r="R3230" s="26" t="s">
        <v>10140</v>
      </c>
      <c r="S3230" s="26" t="s">
        <v>93</v>
      </c>
      <c r="T3230" s="6" t="str">
        <f>HYPERLINK("https://kanzpp.ru/api/getInfo/image/abcf3bd4-fb06-11ee-a25d-00155d82e908")</f>
        <v>https://kanzpp.ru/api/getInfo/image/abcf3bd4-fb06-11ee-a25d-00155d82e908</v>
      </c>
      <c r="U3230" s="6"/>
      <c r="V3230" s="33" t="s">
        <v>35</v>
      </c>
    </row>
    <row r="3231" spans="2:22" ht="22.95" customHeight="1" outlineLevel="4" x14ac:dyDescent="0.2">
      <c r="B3231" s="82" t="s">
        <v>10141</v>
      </c>
      <c r="C3231" s="82"/>
      <c r="D3231" s="82"/>
      <c r="L3231">
        <v>0</v>
      </c>
    </row>
    <row r="3232" spans="2:22" ht="21" customHeight="1" outlineLevel="5" x14ac:dyDescent="0.2">
      <c r="B3232" s="69">
        <v>2410</v>
      </c>
      <c r="C3232" s="6" t="s">
        <v>10142</v>
      </c>
      <c r="D3232" s="6" t="s">
        <v>10143</v>
      </c>
      <c r="E3232" s="7" t="s">
        <v>10144</v>
      </c>
      <c r="F3232" s="13"/>
      <c r="G3232" s="14"/>
      <c r="H3232" s="14"/>
      <c r="I3232" s="15">
        <v>20</v>
      </c>
      <c r="J3232" s="14" t="s">
        <v>144</v>
      </c>
      <c r="K3232" s="5">
        <v>4</v>
      </c>
      <c r="L3232" s="16">
        <v>66.533333333333331</v>
      </c>
      <c r="M3232" s="12"/>
      <c r="N3232" s="14">
        <f>L3232*M3232</f>
        <v>0</v>
      </c>
      <c r="O3232" s="23">
        <f>0.309*M3232</f>
        <v>0</v>
      </c>
      <c r="P3232" s="24">
        <f>0.00041*M3232</f>
        <v>0</v>
      </c>
      <c r="Q3232" s="25"/>
      <c r="R3232" s="26" t="s">
        <v>10145</v>
      </c>
      <c r="S3232" s="26" t="s">
        <v>93</v>
      </c>
      <c r="T3232" s="6" t="str">
        <f>HYPERLINK("https://kanzpp.ru/api/getInfo/image/1f378ab1-f717-11ee-a25d-00155d82e908")</f>
        <v>https://kanzpp.ru/api/getInfo/image/1f378ab1-f717-11ee-a25d-00155d82e908</v>
      </c>
      <c r="U3232" s="6"/>
      <c r="V3232" s="33" t="s">
        <v>35</v>
      </c>
    </row>
    <row r="3233" spans="2:22" ht="21" customHeight="1" outlineLevel="5" x14ac:dyDescent="0.2">
      <c r="B3233" s="69">
        <v>2411</v>
      </c>
      <c r="C3233" s="6" t="s">
        <v>10146</v>
      </c>
      <c r="D3233" s="6" t="s">
        <v>10147</v>
      </c>
      <c r="E3233" s="7" t="s">
        <v>10148</v>
      </c>
      <c r="F3233" s="13"/>
      <c r="G3233" s="14"/>
      <c r="H3233" s="14"/>
      <c r="I3233" s="15">
        <v>20</v>
      </c>
      <c r="J3233" s="14" t="s">
        <v>144</v>
      </c>
      <c r="K3233" s="5">
        <v>4</v>
      </c>
      <c r="L3233" s="16">
        <v>66.533333333333331</v>
      </c>
      <c r="M3233" s="12"/>
      <c r="N3233" s="14">
        <f>L3233*M3233</f>
        <v>0</v>
      </c>
      <c r="O3233" s="23">
        <f>0.309*M3233</f>
        <v>0</v>
      </c>
      <c r="P3233" s="24">
        <f>0.00041*M3233</f>
        <v>0</v>
      </c>
      <c r="Q3233" s="25"/>
      <c r="R3233" s="26" t="s">
        <v>10149</v>
      </c>
      <c r="S3233" s="26" t="s">
        <v>93</v>
      </c>
      <c r="T3233" s="6" t="str">
        <f>HYPERLINK("https://kanzpp.ru/api/getInfo/image/97c15601-f716-11ee-a25d-00155d82e908")</f>
        <v>https://kanzpp.ru/api/getInfo/image/97c15601-f716-11ee-a25d-00155d82e908</v>
      </c>
      <c r="U3233" s="6"/>
      <c r="V3233" s="33" t="s">
        <v>35</v>
      </c>
    </row>
    <row r="3234" spans="2:22" ht="21" customHeight="1" outlineLevel="5" x14ac:dyDescent="0.2">
      <c r="B3234" s="69">
        <v>2412</v>
      </c>
      <c r="C3234" s="6" t="s">
        <v>10150</v>
      </c>
      <c r="D3234" s="6" t="s">
        <v>10151</v>
      </c>
      <c r="E3234" s="7" t="s">
        <v>10152</v>
      </c>
      <c r="F3234" s="13"/>
      <c r="G3234" s="14"/>
      <c r="H3234" s="14"/>
      <c r="I3234" s="15">
        <v>20</v>
      </c>
      <c r="J3234" s="14" t="s">
        <v>144</v>
      </c>
      <c r="K3234" s="5">
        <v>4</v>
      </c>
      <c r="L3234" s="16">
        <v>106.65333333333332</v>
      </c>
      <c r="M3234" s="12"/>
      <c r="N3234" s="14">
        <f>L3234*M3234</f>
        <v>0</v>
      </c>
      <c r="O3234" s="23">
        <f>0.309*M3234</f>
        <v>0</v>
      </c>
      <c r="P3234" s="24">
        <f>0.00041*M3234</f>
        <v>0</v>
      </c>
      <c r="Q3234" s="25"/>
      <c r="R3234" s="26" t="s">
        <v>10153</v>
      </c>
      <c r="S3234" s="26" t="s">
        <v>93</v>
      </c>
      <c r="T3234" s="6" t="str">
        <f>HYPERLINK("https://kanzpp.ru/api/getInfo/image/bfac05c8-f716-11ee-a25d-00155d82e908")</f>
        <v>https://kanzpp.ru/api/getInfo/image/bfac05c8-f716-11ee-a25d-00155d82e908</v>
      </c>
      <c r="U3234" s="6"/>
      <c r="V3234" s="33" t="s">
        <v>35</v>
      </c>
    </row>
    <row r="3235" spans="2:22" ht="21" customHeight="1" outlineLevel="5" x14ac:dyDescent="0.2">
      <c r="B3235" s="69">
        <v>2413</v>
      </c>
      <c r="C3235" s="6" t="s">
        <v>10154</v>
      </c>
      <c r="D3235" s="6" t="s">
        <v>10155</v>
      </c>
      <c r="E3235" s="7" t="s">
        <v>10156</v>
      </c>
      <c r="F3235" s="13"/>
      <c r="G3235" s="14"/>
      <c r="H3235" s="14"/>
      <c r="I3235" s="15">
        <v>20</v>
      </c>
      <c r="J3235" s="14" t="s">
        <v>144</v>
      </c>
      <c r="K3235" s="5">
        <v>4</v>
      </c>
      <c r="L3235" s="16">
        <v>106.65333333333332</v>
      </c>
      <c r="M3235" s="12"/>
      <c r="N3235" s="14">
        <f>L3235*M3235</f>
        <v>0</v>
      </c>
      <c r="O3235" s="23">
        <f>0.309*M3235</f>
        <v>0</v>
      </c>
      <c r="P3235" s="24">
        <f>0.00041*M3235</f>
        <v>0</v>
      </c>
      <c r="Q3235" s="25"/>
      <c r="R3235" s="26" t="s">
        <v>10157</v>
      </c>
      <c r="S3235" s="26" t="s">
        <v>93</v>
      </c>
      <c r="T3235" s="6" t="str">
        <f>HYPERLINK("https://kanzpp.ru/api/getInfo/image/f986ae5a-f716-11ee-a25d-00155d82e908")</f>
        <v>https://kanzpp.ru/api/getInfo/image/f986ae5a-f716-11ee-a25d-00155d82e908</v>
      </c>
      <c r="U3235" s="6"/>
      <c r="V3235" s="33" t="s">
        <v>35</v>
      </c>
    </row>
    <row r="3236" spans="2:22" ht="22.95" customHeight="1" outlineLevel="4" x14ac:dyDescent="0.2">
      <c r="B3236" s="82" t="s">
        <v>10158</v>
      </c>
      <c r="C3236" s="82"/>
      <c r="D3236" s="82"/>
      <c r="L3236">
        <v>0</v>
      </c>
    </row>
    <row r="3237" spans="2:22" ht="21" customHeight="1" outlineLevel="5" x14ac:dyDescent="0.2">
      <c r="B3237" s="69">
        <v>2414</v>
      </c>
      <c r="C3237" s="6" t="s">
        <v>10159</v>
      </c>
      <c r="D3237" s="6" t="s">
        <v>10160</v>
      </c>
      <c r="E3237" s="7" t="s">
        <v>10161</v>
      </c>
      <c r="F3237" s="13"/>
      <c r="G3237" s="14"/>
      <c r="H3237" s="14"/>
      <c r="I3237" s="15">
        <v>20</v>
      </c>
      <c r="J3237" s="15">
        <v>326</v>
      </c>
      <c r="K3237" s="5">
        <v>4</v>
      </c>
      <c r="L3237" s="16">
        <v>66.533333333333331</v>
      </c>
      <c r="M3237" s="12"/>
      <c r="N3237" s="14">
        <f>L3237*M3237</f>
        <v>0</v>
      </c>
      <c r="O3237" s="23">
        <f>0.308*M3237</f>
        <v>0</v>
      </c>
      <c r="P3237" s="24">
        <f>0.00036*M3237</f>
        <v>0</v>
      </c>
      <c r="Q3237" s="25"/>
      <c r="R3237" s="26" t="s">
        <v>10162</v>
      </c>
      <c r="S3237" s="26" t="s">
        <v>93</v>
      </c>
      <c r="T3237" s="6" t="str">
        <f>HYPERLINK("https://kanzpp.ru/api/getInfo/image/1064473e-f718-11ee-a25d-00155d82e908")</f>
        <v>https://kanzpp.ru/api/getInfo/image/1064473e-f718-11ee-a25d-00155d82e908</v>
      </c>
      <c r="U3237" s="6"/>
      <c r="V3237" s="33" t="s">
        <v>35</v>
      </c>
    </row>
    <row r="3238" spans="2:22" ht="21" customHeight="1" outlineLevel="5" x14ac:dyDescent="0.2">
      <c r="B3238" s="69">
        <v>2415</v>
      </c>
      <c r="C3238" s="6" t="s">
        <v>10163</v>
      </c>
      <c r="D3238" s="6" t="s">
        <v>10164</v>
      </c>
      <c r="E3238" s="7" t="s">
        <v>10165</v>
      </c>
      <c r="F3238" s="13"/>
      <c r="G3238" s="14"/>
      <c r="H3238" s="14"/>
      <c r="I3238" s="15">
        <v>20</v>
      </c>
      <c r="J3238" s="15">
        <v>13</v>
      </c>
      <c r="K3238" s="5">
        <v>4</v>
      </c>
      <c r="L3238" s="16">
        <v>133.32</v>
      </c>
      <c r="M3238" s="12"/>
      <c r="N3238" s="14">
        <f>L3238*M3238</f>
        <v>0</v>
      </c>
      <c r="O3238" s="23">
        <f>0.309*M3238</f>
        <v>0</v>
      </c>
      <c r="P3238" s="24">
        <f>0.00041*M3238</f>
        <v>0</v>
      </c>
      <c r="Q3238" s="25"/>
      <c r="R3238" s="26" t="s">
        <v>10166</v>
      </c>
      <c r="S3238" s="26" t="s">
        <v>93</v>
      </c>
      <c r="T3238" s="6" t="str">
        <f>HYPERLINK("https://kanzpp.ru/api/getInfo/image/e1ce3ed2-f717-11ee-a25d-00155d82e908")</f>
        <v>https://kanzpp.ru/api/getInfo/image/e1ce3ed2-f717-11ee-a25d-00155d82e908</v>
      </c>
      <c r="U3238" s="6"/>
      <c r="V3238" s="33" t="s">
        <v>35</v>
      </c>
    </row>
    <row r="3239" spans="2:22" ht="21" customHeight="1" outlineLevel="5" x14ac:dyDescent="0.2">
      <c r="B3239" s="69">
        <v>2416</v>
      </c>
      <c r="C3239" s="6" t="s">
        <v>10167</v>
      </c>
      <c r="D3239" s="6" t="s">
        <v>10168</v>
      </c>
      <c r="E3239" s="7" t="s">
        <v>10169</v>
      </c>
      <c r="F3239" s="13"/>
      <c r="G3239" s="14"/>
      <c r="H3239" s="14"/>
      <c r="I3239" s="15">
        <v>20</v>
      </c>
      <c r="J3239" s="15">
        <v>404</v>
      </c>
      <c r="K3239" s="5">
        <v>4</v>
      </c>
      <c r="L3239" s="16">
        <v>65.333333333333329</v>
      </c>
      <c r="M3239" s="12"/>
      <c r="N3239" s="14">
        <f>L3239*M3239</f>
        <v>0</v>
      </c>
      <c r="O3239" s="23">
        <f>0.309*M3239</f>
        <v>0</v>
      </c>
      <c r="P3239" s="24">
        <f>0.00041*M3239</f>
        <v>0</v>
      </c>
      <c r="Q3239" s="25"/>
      <c r="R3239" s="26" t="s">
        <v>10170</v>
      </c>
      <c r="S3239" s="26" t="s">
        <v>93</v>
      </c>
      <c r="T3239" s="6" t="str">
        <f>HYPERLINK("https://kanzpp.ru/api/getInfo/image/bc008217-f717-11ee-a25d-00155d82e908")</f>
        <v>https://kanzpp.ru/api/getInfo/image/bc008217-f717-11ee-a25d-00155d82e908</v>
      </c>
      <c r="U3239" s="6"/>
      <c r="V3239" s="33" t="s">
        <v>35</v>
      </c>
    </row>
    <row r="3240" spans="2:22" ht="21" customHeight="1" outlineLevel="5" x14ac:dyDescent="0.2">
      <c r="B3240" s="69">
        <v>2417</v>
      </c>
      <c r="C3240" s="6" t="s">
        <v>10171</v>
      </c>
      <c r="D3240" s="6" t="s">
        <v>10172</v>
      </c>
      <c r="E3240" s="7" t="s">
        <v>10173</v>
      </c>
      <c r="F3240" s="13"/>
      <c r="G3240" s="14"/>
      <c r="H3240" s="14"/>
      <c r="I3240" s="15">
        <v>20</v>
      </c>
      <c r="J3240" s="14" t="s">
        <v>144</v>
      </c>
      <c r="K3240" s="5">
        <v>4</v>
      </c>
      <c r="L3240" s="16">
        <v>65.333333333333329</v>
      </c>
      <c r="M3240" s="12"/>
      <c r="N3240" s="14">
        <f>L3240*M3240</f>
        <v>0</v>
      </c>
      <c r="O3240" s="23">
        <f>0.309*M3240</f>
        <v>0</v>
      </c>
      <c r="P3240" s="24">
        <f>0.00041*M3240</f>
        <v>0</v>
      </c>
      <c r="Q3240" s="25"/>
      <c r="R3240" s="26" t="s">
        <v>10174</v>
      </c>
      <c r="S3240" s="26" t="s">
        <v>93</v>
      </c>
      <c r="T3240" s="6" t="str">
        <f>HYPERLINK("https://kanzpp.ru/api/getInfo/image/9728488c-f717-11ee-a25d-00155d82e908")</f>
        <v>https://kanzpp.ru/api/getInfo/image/9728488c-f717-11ee-a25d-00155d82e908</v>
      </c>
      <c r="U3240" s="6"/>
      <c r="V3240" s="33" t="s">
        <v>35</v>
      </c>
    </row>
    <row r="3241" spans="2:22" ht="22.95" customHeight="1" outlineLevel="4" x14ac:dyDescent="0.2">
      <c r="B3241" s="82" t="s">
        <v>10175</v>
      </c>
      <c r="C3241" s="82"/>
      <c r="D3241" s="82"/>
      <c r="L3241">
        <v>0</v>
      </c>
    </row>
    <row r="3242" spans="2:22" ht="21" customHeight="1" outlineLevel="5" x14ac:dyDescent="0.2">
      <c r="B3242" s="71">
        <v>2418</v>
      </c>
      <c r="C3242" s="37" t="s">
        <v>10176</v>
      </c>
      <c r="D3242" s="37" t="s">
        <v>10177</v>
      </c>
      <c r="E3242" s="38" t="s">
        <v>10178</v>
      </c>
      <c r="F3242" s="39"/>
      <c r="G3242" s="40"/>
      <c r="H3242" s="40"/>
      <c r="I3242" s="41">
        <v>20</v>
      </c>
      <c r="J3242" s="40" t="s">
        <v>144</v>
      </c>
      <c r="K3242" s="36">
        <v>3</v>
      </c>
      <c r="L3242" s="42">
        <f>(185.6*(1-O3/100))/0.75</f>
        <v>247.46666666666667</v>
      </c>
      <c r="M3242" s="12"/>
      <c r="N3242" s="40">
        <f t="shared" ref="N3242:N3249" si="150">L3242*M3242</f>
        <v>0</v>
      </c>
      <c r="O3242" s="43">
        <f>0.274*M3242</f>
        <v>0</v>
      </c>
      <c r="P3242" s="47">
        <f>0.00037*M3242</f>
        <v>0</v>
      </c>
      <c r="Q3242" s="44"/>
      <c r="R3242" s="45" t="s">
        <v>10179</v>
      </c>
      <c r="S3242" s="45" t="s">
        <v>93</v>
      </c>
      <c r="T3242" s="37" t="str">
        <f>HYPERLINK("https://kanzpp.ru/api/getInfo/image/9a416f88-1178-11f1-a28f-00155d82e908")</f>
        <v>https://kanzpp.ru/api/getInfo/image/9a416f88-1178-11f1-a28f-00155d82e908</v>
      </c>
      <c r="U3242" s="37"/>
    </row>
    <row r="3243" spans="2:22" ht="21" customHeight="1" outlineLevel="5" x14ac:dyDescent="0.2">
      <c r="B3243" s="69">
        <v>2419</v>
      </c>
      <c r="C3243" s="6" t="s">
        <v>10180</v>
      </c>
      <c r="D3243" s="6" t="s">
        <v>10181</v>
      </c>
      <c r="E3243" s="7" t="s">
        <v>10182</v>
      </c>
      <c r="F3243" s="13"/>
      <c r="G3243" s="14"/>
      <c r="H3243" s="14"/>
      <c r="I3243" s="15">
        <v>20</v>
      </c>
      <c r="J3243" s="15">
        <v>73</v>
      </c>
      <c r="K3243" s="5">
        <v>3</v>
      </c>
      <c r="L3243" s="16">
        <v>185.6</v>
      </c>
      <c r="M3243" s="12"/>
      <c r="N3243" s="14">
        <f t="shared" si="150"/>
        <v>0</v>
      </c>
      <c r="O3243" s="23">
        <f>0.285*M3243</f>
        <v>0</v>
      </c>
      <c r="P3243" s="24">
        <f>0.00034*M3243</f>
        <v>0</v>
      </c>
      <c r="Q3243" s="25"/>
      <c r="R3243" s="26" t="s">
        <v>10183</v>
      </c>
      <c r="S3243" s="26" t="s">
        <v>93</v>
      </c>
      <c r="T3243" s="6" t="str">
        <f>HYPERLINK("https://kanzpp.ru/api/getInfo/image/f39594c4-f8cf-11ef-a274-00155d82e908")</f>
        <v>https://kanzpp.ru/api/getInfo/image/f39594c4-f8cf-11ef-a274-00155d82e908</v>
      </c>
      <c r="U3243" s="6"/>
      <c r="V3243" s="33" t="s">
        <v>35</v>
      </c>
    </row>
    <row r="3244" spans="2:22" ht="21" customHeight="1" outlineLevel="5" x14ac:dyDescent="0.2">
      <c r="B3244" s="69">
        <v>2420</v>
      </c>
      <c r="C3244" s="6" t="s">
        <v>10184</v>
      </c>
      <c r="D3244" s="6" t="s">
        <v>10185</v>
      </c>
      <c r="E3244" s="7" t="s">
        <v>10186</v>
      </c>
      <c r="F3244" s="13"/>
      <c r="G3244" s="14"/>
      <c r="H3244" s="14"/>
      <c r="I3244" s="15">
        <v>20</v>
      </c>
      <c r="J3244" s="15">
        <v>310</v>
      </c>
      <c r="K3244" s="5">
        <v>3</v>
      </c>
      <c r="L3244" s="16">
        <v>185.6</v>
      </c>
      <c r="M3244" s="12"/>
      <c r="N3244" s="14">
        <f t="shared" si="150"/>
        <v>0</v>
      </c>
      <c r="O3244" s="23">
        <f>0.285*M3244</f>
        <v>0</v>
      </c>
      <c r="P3244" s="24">
        <f>0.00034*M3244</f>
        <v>0</v>
      </c>
      <c r="Q3244" s="25"/>
      <c r="R3244" s="26" t="s">
        <v>10187</v>
      </c>
      <c r="S3244" s="26" t="s">
        <v>93</v>
      </c>
      <c r="T3244" s="6" t="str">
        <f>HYPERLINK("https://kanzpp.ru/api/getInfo/image/cfe461fb-f8cf-11ef-a274-00155d82e908")</f>
        <v>https://kanzpp.ru/api/getInfo/image/cfe461fb-f8cf-11ef-a274-00155d82e908</v>
      </c>
      <c r="U3244" s="6"/>
      <c r="V3244" s="33" t="s">
        <v>35</v>
      </c>
    </row>
    <row r="3245" spans="2:22" ht="21" customHeight="1" outlineLevel="5" x14ac:dyDescent="0.2">
      <c r="B3245" s="71">
        <v>2421</v>
      </c>
      <c r="C3245" s="37" t="s">
        <v>10188</v>
      </c>
      <c r="D3245" s="37" t="s">
        <v>10189</v>
      </c>
      <c r="E3245" s="38" t="s">
        <v>10190</v>
      </c>
      <c r="F3245" s="39"/>
      <c r="G3245" s="40"/>
      <c r="H3245" s="40"/>
      <c r="I3245" s="41">
        <v>20</v>
      </c>
      <c r="J3245" s="40" t="s">
        <v>144</v>
      </c>
      <c r="K3245" s="36">
        <v>3</v>
      </c>
      <c r="L3245" s="42">
        <f>(185.6*(1-O3/100))/0.75</f>
        <v>247.46666666666667</v>
      </c>
      <c r="M3245" s="12"/>
      <c r="N3245" s="40">
        <f t="shared" si="150"/>
        <v>0</v>
      </c>
      <c r="O3245" s="43">
        <f>0.279*M3245</f>
        <v>0</v>
      </c>
      <c r="P3245" s="47">
        <f>0.00036*M3245</f>
        <v>0</v>
      </c>
      <c r="Q3245" s="44"/>
      <c r="R3245" s="45" t="s">
        <v>10191</v>
      </c>
      <c r="S3245" s="45" t="s">
        <v>93</v>
      </c>
      <c r="T3245" s="37" t="str">
        <f>HYPERLINK("https://kanzpp.ru/api/getInfo/image/c7ff3274-1178-11f1-a28f-00155d82e908")</f>
        <v>https://kanzpp.ru/api/getInfo/image/c7ff3274-1178-11f1-a28f-00155d82e908</v>
      </c>
      <c r="U3245" s="37"/>
    </row>
    <row r="3246" spans="2:22" ht="21" customHeight="1" outlineLevel="5" x14ac:dyDescent="0.2">
      <c r="B3246" s="69">
        <v>2422</v>
      </c>
      <c r="C3246" s="6" t="s">
        <v>10192</v>
      </c>
      <c r="D3246" s="6" t="s">
        <v>10193</v>
      </c>
      <c r="E3246" s="7" t="s">
        <v>10194</v>
      </c>
      <c r="F3246" s="13"/>
      <c r="G3246" s="14"/>
      <c r="H3246" s="14"/>
      <c r="I3246" s="15">
        <v>20</v>
      </c>
      <c r="J3246" s="14" t="s">
        <v>144</v>
      </c>
      <c r="K3246" s="5">
        <v>3</v>
      </c>
      <c r="L3246" s="16">
        <v>185.6</v>
      </c>
      <c r="M3246" s="12"/>
      <c r="N3246" s="14">
        <f t="shared" si="150"/>
        <v>0</v>
      </c>
      <c r="O3246" s="23">
        <f>0.285*M3246</f>
        <v>0</v>
      </c>
      <c r="P3246" s="24">
        <f>0.00034*M3246</f>
        <v>0</v>
      </c>
      <c r="Q3246" s="25"/>
      <c r="R3246" s="26" t="s">
        <v>10195</v>
      </c>
      <c r="S3246" s="26" t="s">
        <v>93</v>
      </c>
      <c r="T3246" s="6" t="str">
        <f>HYPERLINK("https://kanzpp.ru/api/getInfo/image/17cfd77a-f8d0-11ef-a274-00155d82e908")</f>
        <v>https://kanzpp.ru/api/getInfo/image/17cfd77a-f8d0-11ef-a274-00155d82e908</v>
      </c>
      <c r="U3246" s="6"/>
      <c r="V3246" s="33" t="s">
        <v>35</v>
      </c>
    </row>
    <row r="3247" spans="2:22" ht="21" customHeight="1" outlineLevel="5" x14ac:dyDescent="0.2">
      <c r="B3247" s="71">
        <v>2423</v>
      </c>
      <c r="C3247" s="37" t="s">
        <v>10196</v>
      </c>
      <c r="D3247" s="37" t="s">
        <v>10197</v>
      </c>
      <c r="E3247" s="38" t="s">
        <v>10198</v>
      </c>
      <c r="F3247" s="39"/>
      <c r="G3247" s="40"/>
      <c r="H3247" s="40"/>
      <c r="I3247" s="41">
        <v>20</v>
      </c>
      <c r="J3247" s="40" t="s">
        <v>144</v>
      </c>
      <c r="K3247" s="36">
        <v>3</v>
      </c>
      <c r="L3247" s="42">
        <f>(185.6*(1-O3/100))/0.75</f>
        <v>247.46666666666667</v>
      </c>
      <c r="M3247" s="12"/>
      <c r="N3247" s="40">
        <f t="shared" si="150"/>
        <v>0</v>
      </c>
      <c r="O3247" s="43">
        <f>0.277*M3247</f>
        <v>0</v>
      </c>
      <c r="P3247" s="46">
        <f>0.0004*M3247</f>
        <v>0</v>
      </c>
      <c r="Q3247" s="44"/>
      <c r="R3247" s="45" t="s">
        <v>10199</v>
      </c>
      <c r="S3247" s="45" t="s">
        <v>93</v>
      </c>
      <c r="T3247" s="37" t="str">
        <f>HYPERLINK("https://kanzpp.ru/api/getInfo/image/e8abd06e-1178-11f1-a28f-00155d82e908")</f>
        <v>https://kanzpp.ru/api/getInfo/image/e8abd06e-1178-11f1-a28f-00155d82e908</v>
      </c>
      <c r="U3247" s="37"/>
    </row>
    <row r="3248" spans="2:22" ht="21" customHeight="1" outlineLevel="5" x14ac:dyDescent="0.2">
      <c r="B3248" s="71">
        <v>2424</v>
      </c>
      <c r="C3248" s="37" t="s">
        <v>10200</v>
      </c>
      <c r="D3248" s="37" t="s">
        <v>10201</v>
      </c>
      <c r="E3248" s="38" t="s">
        <v>10202</v>
      </c>
      <c r="F3248" s="39"/>
      <c r="G3248" s="40"/>
      <c r="H3248" s="40"/>
      <c r="I3248" s="41">
        <v>20</v>
      </c>
      <c r="J3248" s="40" t="s">
        <v>144</v>
      </c>
      <c r="K3248" s="36">
        <v>3</v>
      </c>
      <c r="L3248" s="42">
        <f>(185.6*(1-O3/100))/0.75</f>
        <v>247.46666666666667</v>
      </c>
      <c r="M3248" s="12"/>
      <c r="N3248" s="40">
        <f t="shared" si="150"/>
        <v>0</v>
      </c>
      <c r="O3248" s="43">
        <f>0.279*M3248</f>
        <v>0</v>
      </c>
      <c r="P3248" s="47">
        <f>0.00036*M3248</f>
        <v>0</v>
      </c>
      <c r="Q3248" s="44"/>
      <c r="R3248" s="45" t="s">
        <v>10203</v>
      </c>
      <c r="S3248" s="45" t="s">
        <v>93</v>
      </c>
      <c r="T3248" s="37" t="str">
        <f>HYPERLINK("https://kanzpp.ru/api/getInfo/image/0969fa61-1179-11f1-a28f-00155d82e908")</f>
        <v>https://kanzpp.ru/api/getInfo/image/0969fa61-1179-11f1-a28f-00155d82e908</v>
      </c>
      <c r="U3248" s="37"/>
    </row>
    <row r="3249" spans="2:22" ht="21" customHeight="1" outlineLevel="5" x14ac:dyDescent="0.2">
      <c r="B3249" s="69">
        <v>2425</v>
      </c>
      <c r="C3249" s="6" t="s">
        <v>10204</v>
      </c>
      <c r="D3249" s="6" t="s">
        <v>10205</v>
      </c>
      <c r="E3249" s="7" t="s">
        <v>10206</v>
      </c>
      <c r="F3249" s="13"/>
      <c r="G3249" s="14"/>
      <c r="H3249" s="14"/>
      <c r="I3249" s="15">
        <v>20</v>
      </c>
      <c r="J3249" s="15">
        <v>427</v>
      </c>
      <c r="K3249" s="5">
        <v>3</v>
      </c>
      <c r="L3249" s="16">
        <v>106.65333333333332</v>
      </c>
      <c r="M3249" s="12"/>
      <c r="N3249" s="14">
        <f t="shared" si="150"/>
        <v>0</v>
      </c>
      <c r="O3249" s="23">
        <f>0.284*M3249</f>
        <v>0</v>
      </c>
      <c r="P3249" s="24">
        <f>0.00037*M3249</f>
        <v>0</v>
      </c>
      <c r="Q3249" s="25"/>
      <c r="R3249" s="26" t="s">
        <v>10207</v>
      </c>
      <c r="S3249" s="26" t="s">
        <v>93</v>
      </c>
      <c r="T3249" s="6" t="str">
        <f>HYPERLINK("https://kanzpp.ru/api/getInfo/image/a7179b7c-f718-11ee-a25d-00155d82e908")</f>
        <v>https://kanzpp.ru/api/getInfo/image/a7179b7c-f718-11ee-a25d-00155d82e908</v>
      </c>
      <c r="U3249" s="6"/>
      <c r="V3249" s="33" t="s">
        <v>35</v>
      </c>
    </row>
    <row r="3250" spans="2:22" ht="22.95" customHeight="1" outlineLevel="3" x14ac:dyDescent="0.2">
      <c r="B3250" s="81" t="s">
        <v>10208</v>
      </c>
      <c r="C3250" s="81"/>
      <c r="D3250" s="81"/>
      <c r="L3250">
        <v>0</v>
      </c>
    </row>
    <row r="3251" spans="2:22" ht="22.95" customHeight="1" outlineLevel="4" x14ac:dyDescent="0.2">
      <c r="B3251" s="82" t="s">
        <v>10209</v>
      </c>
      <c r="C3251" s="82"/>
      <c r="D3251" s="82"/>
      <c r="L3251">
        <v>0</v>
      </c>
    </row>
    <row r="3252" spans="2:22" ht="21" customHeight="1" outlineLevel="5" x14ac:dyDescent="0.2">
      <c r="B3252" s="69">
        <v>2426</v>
      </c>
      <c r="C3252" s="6" t="s">
        <v>10210</v>
      </c>
      <c r="D3252" s="6" t="s">
        <v>10211</v>
      </c>
      <c r="E3252" s="7" t="s">
        <v>10212</v>
      </c>
      <c r="F3252" s="13"/>
      <c r="G3252" s="14"/>
      <c r="H3252" s="14"/>
      <c r="I3252" s="15">
        <v>20</v>
      </c>
      <c r="J3252" s="14" t="s">
        <v>144</v>
      </c>
      <c r="K3252" s="5">
        <v>7</v>
      </c>
      <c r="L3252" s="16">
        <v>26.533333333333331</v>
      </c>
      <c r="M3252" s="12"/>
      <c r="N3252" s="14">
        <f>L3252*M3252</f>
        <v>0</v>
      </c>
      <c r="O3252" s="23">
        <f>0.094*M3252</f>
        <v>0</v>
      </c>
      <c r="P3252" s="31">
        <f>0.0001*M3252</f>
        <v>0</v>
      </c>
      <c r="Q3252" s="25"/>
      <c r="R3252" s="26" t="s">
        <v>10213</v>
      </c>
      <c r="S3252" s="26" t="s">
        <v>93</v>
      </c>
      <c r="T3252" s="6" t="str">
        <f>HYPERLINK("https://kanzpp.ru/api/getInfo/image/744a9062-fb08-11ee-a25d-00155d82e908")</f>
        <v>https://kanzpp.ru/api/getInfo/image/744a9062-fb08-11ee-a25d-00155d82e908</v>
      </c>
      <c r="U3252" s="6"/>
      <c r="V3252" s="33" t="s">
        <v>35</v>
      </c>
    </row>
    <row r="3253" spans="2:22" ht="21" customHeight="1" outlineLevel="5" x14ac:dyDescent="0.2">
      <c r="B3253" s="69">
        <v>2427</v>
      </c>
      <c r="C3253" s="6" t="s">
        <v>10214</v>
      </c>
      <c r="D3253" s="6" t="s">
        <v>10215</v>
      </c>
      <c r="E3253" s="7" t="s">
        <v>10216</v>
      </c>
      <c r="F3253" s="13"/>
      <c r="G3253" s="14"/>
      <c r="H3253" s="14"/>
      <c r="I3253" s="15">
        <v>20</v>
      </c>
      <c r="J3253" s="14" t="s">
        <v>144</v>
      </c>
      <c r="K3253" s="5">
        <v>7</v>
      </c>
      <c r="L3253" s="16">
        <v>26.533333333333331</v>
      </c>
      <c r="M3253" s="12"/>
      <c r="N3253" s="14">
        <f>L3253*M3253</f>
        <v>0</v>
      </c>
      <c r="O3253" s="23">
        <f>0.094*M3253</f>
        <v>0</v>
      </c>
      <c r="P3253" s="31">
        <f>0.0001*M3253</f>
        <v>0</v>
      </c>
      <c r="Q3253" s="25"/>
      <c r="R3253" s="26" t="s">
        <v>10217</v>
      </c>
      <c r="S3253" s="26" t="s">
        <v>93</v>
      </c>
      <c r="T3253" s="6" t="str">
        <f>HYPERLINK("https://kanzpp.ru/api/getInfo/image/9550feb7-fb08-11ee-a25d-00155d82e908")</f>
        <v>https://kanzpp.ru/api/getInfo/image/9550feb7-fb08-11ee-a25d-00155d82e908</v>
      </c>
      <c r="U3253" s="6"/>
      <c r="V3253" s="33" t="s">
        <v>35</v>
      </c>
    </row>
    <row r="3254" spans="2:22" ht="22.95" customHeight="1" outlineLevel="4" x14ac:dyDescent="0.2">
      <c r="B3254" s="82" t="s">
        <v>10218</v>
      </c>
      <c r="C3254" s="82"/>
      <c r="D3254" s="82"/>
      <c r="L3254">
        <v>0</v>
      </c>
    </row>
    <row r="3255" spans="2:22" ht="21" customHeight="1" outlineLevel="5" x14ac:dyDescent="0.2">
      <c r="B3255" s="69">
        <v>2428</v>
      </c>
      <c r="C3255" s="6" t="s">
        <v>10219</v>
      </c>
      <c r="D3255" s="6" t="s">
        <v>10220</v>
      </c>
      <c r="E3255" s="7" t="s">
        <v>10221</v>
      </c>
      <c r="F3255" s="13"/>
      <c r="G3255" s="14"/>
      <c r="H3255" s="14"/>
      <c r="I3255" s="15">
        <v>20</v>
      </c>
      <c r="J3255" s="15">
        <v>222</v>
      </c>
      <c r="K3255" s="5">
        <v>7</v>
      </c>
      <c r="L3255" s="16">
        <v>73.333333333333329</v>
      </c>
      <c r="M3255" s="12"/>
      <c r="N3255" s="14">
        <f>L3255*M3255</f>
        <v>0</v>
      </c>
      <c r="O3255" s="23">
        <f>0.132*M3255</f>
        <v>0</v>
      </c>
      <c r="P3255" s="31">
        <f>0.0002*M3255</f>
        <v>0</v>
      </c>
      <c r="Q3255" s="25"/>
      <c r="R3255" s="26" t="s">
        <v>10222</v>
      </c>
      <c r="S3255" s="26" t="s">
        <v>93</v>
      </c>
      <c r="T3255" s="6" t="str">
        <f>HYPERLINK("https://kanzpp.ru/api/getInfo/image/fd60d3a0-fcc3-11e6-81a9-5cf3fc4a2490")</f>
        <v>https://kanzpp.ru/api/getInfo/image/fd60d3a0-fcc3-11e6-81a9-5cf3fc4a2490</v>
      </c>
      <c r="U3255" s="6"/>
      <c r="V3255" s="33" t="s">
        <v>35</v>
      </c>
    </row>
    <row r="3256" spans="2:22" ht="21" customHeight="1" outlineLevel="5" x14ac:dyDescent="0.2">
      <c r="B3256" s="70">
        <v>2429</v>
      </c>
      <c r="C3256" s="3" t="s">
        <v>10223</v>
      </c>
      <c r="D3256" s="3" t="s">
        <v>10224</v>
      </c>
      <c r="E3256" s="4" t="s">
        <v>10225</v>
      </c>
      <c r="F3256" s="8"/>
      <c r="G3256" s="9"/>
      <c r="H3256" s="9"/>
      <c r="I3256" s="10">
        <v>20</v>
      </c>
      <c r="J3256" s="10">
        <v>1</v>
      </c>
      <c r="K3256" s="2">
        <v>1</v>
      </c>
      <c r="L3256" s="19">
        <v>31.466666666666669</v>
      </c>
      <c r="M3256" s="12"/>
      <c r="N3256" s="9">
        <f>L3256*M3256</f>
        <v>0</v>
      </c>
      <c r="O3256" s="29">
        <f>0.132*M3256</f>
        <v>0</v>
      </c>
      <c r="P3256" s="20">
        <f>0.0002*M3256</f>
        <v>0</v>
      </c>
      <c r="Q3256" s="21"/>
      <c r="R3256" s="22" t="s">
        <v>10226</v>
      </c>
      <c r="S3256" s="22" t="s">
        <v>93</v>
      </c>
      <c r="T3256" s="3" t="str">
        <f>HYPERLINK("https://kanzpp.ru/api/getInfo/image/340b0740-fcc4-11e6-81a9-5cf3fc4a2490")</f>
        <v>https://kanzpp.ru/api/getInfo/image/340b0740-fcc4-11e6-81a9-5cf3fc4a2490</v>
      </c>
      <c r="U3256" s="3"/>
      <c r="V3256" s="32" t="s">
        <v>30</v>
      </c>
    </row>
    <row r="3257" spans="2:22" ht="21" customHeight="1" outlineLevel="5" x14ac:dyDescent="0.2">
      <c r="B3257" s="69">
        <v>2430</v>
      </c>
      <c r="C3257" s="6" t="s">
        <v>10227</v>
      </c>
      <c r="D3257" s="6" t="s">
        <v>10228</v>
      </c>
      <c r="E3257" s="7" t="s">
        <v>10229</v>
      </c>
      <c r="F3257" s="13"/>
      <c r="G3257" s="14"/>
      <c r="H3257" s="14"/>
      <c r="I3257" s="15">
        <v>20</v>
      </c>
      <c r="J3257" s="15">
        <v>183</v>
      </c>
      <c r="K3257" s="5">
        <v>7</v>
      </c>
      <c r="L3257" s="16">
        <v>73.333333333333329</v>
      </c>
      <c r="M3257" s="12"/>
      <c r="N3257" s="14">
        <f>L3257*M3257</f>
        <v>0</v>
      </c>
      <c r="O3257" s="23">
        <f>0.132*M3257</f>
        <v>0</v>
      </c>
      <c r="P3257" s="31">
        <f>0.0002*M3257</f>
        <v>0</v>
      </c>
      <c r="Q3257" s="25"/>
      <c r="R3257" s="26" t="s">
        <v>10230</v>
      </c>
      <c r="S3257" s="26" t="s">
        <v>93</v>
      </c>
      <c r="T3257" s="6" t="str">
        <f>HYPERLINK("https://kanzpp.ru/api/getInfo/image/62b61c60-fcc4-11e6-81a9-5cf3fc4a2490")</f>
        <v>https://kanzpp.ru/api/getInfo/image/62b61c60-fcc4-11e6-81a9-5cf3fc4a2490</v>
      </c>
      <c r="U3257" s="6"/>
      <c r="V3257" s="33" t="s">
        <v>35</v>
      </c>
    </row>
    <row r="3258" spans="2:22" ht="21" customHeight="1" outlineLevel="5" x14ac:dyDescent="0.2">
      <c r="B3258" s="69">
        <v>2431</v>
      </c>
      <c r="C3258" s="6" t="s">
        <v>10231</v>
      </c>
      <c r="D3258" s="6" t="s">
        <v>10232</v>
      </c>
      <c r="E3258" s="7" t="s">
        <v>10233</v>
      </c>
      <c r="F3258" s="13"/>
      <c r="G3258" s="14"/>
      <c r="H3258" s="14"/>
      <c r="I3258" s="15">
        <v>20</v>
      </c>
      <c r="J3258" s="15">
        <v>201</v>
      </c>
      <c r="K3258" s="5">
        <v>7</v>
      </c>
      <c r="L3258" s="16">
        <v>73.333333333333329</v>
      </c>
      <c r="M3258" s="12"/>
      <c r="N3258" s="14">
        <f>L3258*M3258</f>
        <v>0</v>
      </c>
      <c r="O3258" s="23">
        <f>0.132*M3258</f>
        <v>0</v>
      </c>
      <c r="P3258" s="31">
        <f>0.0002*M3258</f>
        <v>0</v>
      </c>
      <c r="Q3258" s="25"/>
      <c r="R3258" s="26" t="s">
        <v>10234</v>
      </c>
      <c r="S3258" s="26" t="s">
        <v>93</v>
      </c>
      <c r="T3258" s="6" t="str">
        <f>HYPERLINK("https://kanzpp.ru/api/getInfo/image/a4a2f120-fcc4-11e6-81a9-5cf3fc4a2490")</f>
        <v>https://kanzpp.ru/api/getInfo/image/a4a2f120-fcc4-11e6-81a9-5cf3fc4a2490</v>
      </c>
      <c r="U3258" s="6"/>
      <c r="V3258" s="33" t="s">
        <v>35</v>
      </c>
    </row>
    <row r="3259" spans="2:22" ht="22.95" customHeight="1" outlineLevel="2" x14ac:dyDescent="0.2">
      <c r="B3259" s="80" t="s">
        <v>10235</v>
      </c>
      <c r="C3259" s="80"/>
      <c r="D3259" s="80"/>
      <c r="L3259">
        <v>0</v>
      </c>
    </row>
    <row r="3260" spans="2:22" ht="22.95" customHeight="1" outlineLevel="3" x14ac:dyDescent="0.2">
      <c r="B3260" s="81" t="s">
        <v>10236</v>
      </c>
      <c r="C3260" s="81"/>
      <c r="D3260" s="81"/>
      <c r="L3260">
        <v>0</v>
      </c>
    </row>
    <row r="3261" spans="2:22" ht="21" customHeight="1" outlineLevel="4" x14ac:dyDescent="0.2">
      <c r="B3261" s="71">
        <v>2432</v>
      </c>
      <c r="C3261" s="37" t="s">
        <v>10237</v>
      </c>
      <c r="D3261" s="37" t="s">
        <v>10238</v>
      </c>
      <c r="E3261" s="38" t="s">
        <v>10239</v>
      </c>
      <c r="F3261" s="39"/>
      <c r="G3261" s="50">
        <v>1440</v>
      </c>
      <c r="H3261" s="41">
        <v>20</v>
      </c>
      <c r="I3261" s="41">
        <v>10</v>
      </c>
      <c r="J3261" s="41">
        <v>1</v>
      </c>
      <c r="K3261" s="36">
        <v>1</v>
      </c>
      <c r="L3261" s="42">
        <f>(264*(1-O3/100))/0.75</f>
        <v>352</v>
      </c>
      <c r="M3261" s="12"/>
      <c r="N3261" s="40">
        <f>L3261*M3261</f>
        <v>0</v>
      </c>
      <c r="O3261" s="43">
        <f>0.273*M3261</f>
        <v>0</v>
      </c>
      <c r="P3261" s="47">
        <f>0.00051*M3261</f>
        <v>0</v>
      </c>
      <c r="Q3261" s="44"/>
      <c r="R3261" s="45" t="s">
        <v>10240</v>
      </c>
      <c r="S3261" s="45" t="s">
        <v>93</v>
      </c>
      <c r="T3261" s="37" t="str">
        <f>HYPERLINK("https://kanzpp.ru/api/getInfo/image/2ab972ab-8123-11ed-a22a-00155d82e902")</f>
        <v>https://kanzpp.ru/api/getInfo/image/2ab972ab-8123-11ed-a22a-00155d82e902</v>
      </c>
      <c r="U3261" s="37"/>
    </row>
    <row r="3262" spans="2:22" ht="22.95" customHeight="1" outlineLevel="4" x14ac:dyDescent="0.2">
      <c r="B3262" s="82" t="s">
        <v>10241</v>
      </c>
      <c r="C3262" s="82"/>
      <c r="D3262" s="82"/>
      <c r="L3262">
        <v>0</v>
      </c>
    </row>
    <row r="3263" spans="2:22" ht="22.95" customHeight="1" outlineLevel="5" x14ac:dyDescent="0.2">
      <c r="B3263" s="83" t="s">
        <v>10242</v>
      </c>
      <c r="C3263" s="83"/>
      <c r="D3263" s="83"/>
      <c r="L3263">
        <v>0</v>
      </c>
    </row>
    <row r="3264" spans="2:22" ht="21" customHeight="1" outlineLevel="6" x14ac:dyDescent="0.2">
      <c r="B3264" s="69">
        <v>2433</v>
      </c>
      <c r="C3264" s="6" t="s">
        <v>10243</v>
      </c>
      <c r="D3264" s="6" t="s">
        <v>10244</v>
      </c>
      <c r="E3264" s="7" t="s">
        <v>10245</v>
      </c>
      <c r="F3264" s="13"/>
      <c r="G3264" s="14"/>
      <c r="H3264" s="15">
        <v>20</v>
      </c>
      <c r="I3264" s="15">
        <v>10</v>
      </c>
      <c r="J3264" s="15">
        <v>42</v>
      </c>
      <c r="K3264" s="5">
        <v>1</v>
      </c>
      <c r="L3264" s="16">
        <v>132</v>
      </c>
      <c r="M3264" s="12"/>
      <c r="N3264" s="14">
        <f>L3264*M3264</f>
        <v>0</v>
      </c>
      <c r="O3264" s="23">
        <f>0.376*M3264</f>
        <v>0</v>
      </c>
      <c r="P3264" s="24">
        <f>0.00072*M3264</f>
        <v>0</v>
      </c>
      <c r="Q3264" s="25"/>
      <c r="R3264" s="26" t="s">
        <v>10246</v>
      </c>
      <c r="S3264" s="26" t="s">
        <v>93</v>
      </c>
      <c r="T3264" s="6" t="str">
        <f>HYPERLINK("https://kanzpp.ru/api/getInfo/image/1aa1c2dc-deb6-11ed-a233-00155d82e902")</f>
        <v>https://kanzpp.ru/api/getInfo/image/1aa1c2dc-deb6-11ed-a233-00155d82e902</v>
      </c>
      <c r="U3264" s="6"/>
      <c r="V3264" s="33" t="s">
        <v>35</v>
      </c>
    </row>
    <row r="3265" spans="2:22" ht="21" customHeight="1" outlineLevel="6" x14ac:dyDescent="0.2">
      <c r="B3265" s="69">
        <v>2434</v>
      </c>
      <c r="C3265" s="6" t="s">
        <v>10247</v>
      </c>
      <c r="D3265" s="6" t="s">
        <v>10248</v>
      </c>
      <c r="E3265" s="7" t="s">
        <v>10249</v>
      </c>
      <c r="F3265" s="13"/>
      <c r="G3265" s="14"/>
      <c r="H3265" s="15">
        <v>20</v>
      </c>
      <c r="I3265" s="15">
        <v>10</v>
      </c>
      <c r="J3265" s="15">
        <v>3</v>
      </c>
      <c r="K3265" s="5">
        <v>1</v>
      </c>
      <c r="L3265" s="16">
        <v>132</v>
      </c>
      <c r="M3265" s="12"/>
      <c r="N3265" s="14">
        <f>L3265*M3265</f>
        <v>0</v>
      </c>
      <c r="O3265" s="23">
        <f>0.372*M3265</f>
        <v>0</v>
      </c>
      <c r="P3265" s="31">
        <f>0.0008*M3265</f>
        <v>0</v>
      </c>
      <c r="Q3265" s="25"/>
      <c r="R3265" s="26" t="s">
        <v>10250</v>
      </c>
      <c r="S3265" s="26" t="s">
        <v>93</v>
      </c>
      <c r="T3265" s="6" t="str">
        <f>HYPERLINK("https://kanzpp.ru/api/getInfo/image/767fc1f4-deb6-11ed-a233-00155d82e902")</f>
        <v>https://kanzpp.ru/api/getInfo/image/767fc1f4-deb6-11ed-a233-00155d82e902</v>
      </c>
      <c r="U3265" s="6"/>
      <c r="V3265" s="33" t="s">
        <v>35</v>
      </c>
    </row>
    <row r="3266" spans="2:22" ht="22.95" customHeight="1" outlineLevel="5" x14ac:dyDescent="0.2">
      <c r="B3266" s="83" t="s">
        <v>10251</v>
      </c>
      <c r="C3266" s="83"/>
      <c r="D3266" s="83"/>
      <c r="L3266">
        <v>0</v>
      </c>
    </row>
    <row r="3267" spans="2:22" ht="21" customHeight="1" outlineLevel="6" x14ac:dyDescent="0.2">
      <c r="B3267" s="70">
        <v>2435</v>
      </c>
      <c r="C3267" s="3" t="s">
        <v>10252</v>
      </c>
      <c r="D3267" s="3" t="s">
        <v>10253</v>
      </c>
      <c r="E3267" s="4" t="s">
        <v>10254</v>
      </c>
      <c r="F3267" s="8"/>
      <c r="G3267" s="9"/>
      <c r="H3267" s="10">
        <v>20</v>
      </c>
      <c r="I3267" s="10">
        <v>10</v>
      </c>
      <c r="J3267" s="10">
        <v>21</v>
      </c>
      <c r="K3267" s="2">
        <v>1</v>
      </c>
      <c r="L3267" s="18">
        <v>139.09333333333333</v>
      </c>
      <c r="M3267" s="12"/>
      <c r="N3267" s="9">
        <f>L3267*M3267</f>
        <v>0</v>
      </c>
      <c r="O3267" s="29">
        <f>0.371*M3267</f>
        <v>0</v>
      </c>
      <c r="P3267" s="30">
        <f>0.00074*M3267</f>
        <v>0</v>
      </c>
      <c r="Q3267" s="21"/>
      <c r="R3267" s="22" t="s">
        <v>10255</v>
      </c>
      <c r="S3267" s="22" t="s">
        <v>93</v>
      </c>
      <c r="T3267" s="3" t="str">
        <f>HYPERLINK("https://kanzpp.ru/api/getInfo/image/dc5d65c8-deb7-11ed-a233-00155d82e902")</f>
        <v>https://kanzpp.ru/api/getInfo/image/dc5d65c8-deb7-11ed-a233-00155d82e902</v>
      </c>
      <c r="U3267" s="3"/>
      <c r="V3267" s="32" t="s">
        <v>30</v>
      </c>
    </row>
    <row r="3268" spans="2:22" ht="21" customHeight="1" outlineLevel="6" x14ac:dyDescent="0.2">
      <c r="B3268" s="70">
        <v>2436</v>
      </c>
      <c r="C3268" s="3" t="s">
        <v>10256</v>
      </c>
      <c r="D3268" s="3" t="s">
        <v>10257</v>
      </c>
      <c r="E3268" s="4" t="s">
        <v>10258</v>
      </c>
      <c r="F3268" s="8"/>
      <c r="G3268" s="9"/>
      <c r="H3268" s="10">
        <v>20</v>
      </c>
      <c r="I3268" s="10">
        <v>10</v>
      </c>
      <c r="J3268" s="10">
        <v>1</v>
      </c>
      <c r="K3268" s="2">
        <v>1</v>
      </c>
      <c r="L3268" s="18">
        <v>139.09333333333333</v>
      </c>
      <c r="M3268" s="12"/>
      <c r="N3268" s="9">
        <f>L3268*M3268</f>
        <v>0</v>
      </c>
      <c r="O3268" s="29">
        <f>0.363*M3268</f>
        <v>0</v>
      </c>
      <c r="P3268" s="30">
        <f>0.00086*M3268</f>
        <v>0</v>
      </c>
      <c r="Q3268" s="21"/>
      <c r="R3268" s="22" t="s">
        <v>10259</v>
      </c>
      <c r="S3268" s="22" t="s">
        <v>93</v>
      </c>
      <c r="T3268" s="3" t="str">
        <f>HYPERLINK("https://kanzpp.ru/api/getInfo/image/31dc5c5b-deb8-11ed-a233-00155d82e902")</f>
        <v>https://kanzpp.ru/api/getInfo/image/31dc5c5b-deb8-11ed-a233-00155d82e902</v>
      </c>
      <c r="U3268" s="3"/>
      <c r="V3268" s="32" t="s">
        <v>30</v>
      </c>
    </row>
    <row r="3269" spans="2:22" ht="21" customHeight="1" outlineLevel="6" x14ac:dyDescent="0.2">
      <c r="B3269" s="70">
        <v>2437</v>
      </c>
      <c r="C3269" s="3" t="s">
        <v>10260</v>
      </c>
      <c r="D3269" s="3" t="s">
        <v>10261</v>
      </c>
      <c r="E3269" s="4" t="s">
        <v>10262</v>
      </c>
      <c r="F3269" s="8"/>
      <c r="G3269" s="9"/>
      <c r="H3269" s="10">
        <v>20</v>
      </c>
      <c r="I3269" s="10">
        <v>10</v>
      </c>
      <c r="J3269" s="10">
        <v>1</v>
      </c>
      <c r="K3269" s="2">
        <v>1</v>
      </c>
      <c r="L3269" s="18">
        <v>112.50666666666666</v>
      </c>
      <c r="M3269" s="12"/>
      <c r="N3269" s="9">
        <f>L3269*M3269</f>
        <v>0</v>
      </c>
      <c r="O3269" s="29">
        <f>0.376*M3269</f>
        <v>0</v>
      </c>
      <c r="P3269" s="30">
        <f>0.00061*M3269</f>
        <v>0</v>
      </c>
      <c r="Q3269" s="21"/>
      <c r="R3269" s="22" t="s">
        <v>10263</v>
      </c>
      <c r="S3269" s="22" t="s">
        <v>93</v>
      </c>
      <c r="T3269" s="3" t="str">
        <f>HYPERLINK("https://kanzpp.ru/api/getInfo/image/f8519d5c-deaf-11ed-a233-00155d82e902")</f>
        <v>https://kanzpp.ru/api/getInfo/image/f8519d5c-deaf-11ed-a233-00155d82e902</v>
      </c>
      <c r="U3269" s="3"/>
      <c r="V3269" s="32" t="s">
        <v>30</v>
      </c>
    </row>
    <row r="3270" spans="2:22" ht="22.95" customHeight="1" outlineLevel="5" x14ac:dyDescent="0.2">
      <c r="B3270" s="83" t="s">
        <v>10264</v>
      </c>
      <c r="C3270" s="83"/>
      <c r="D3270" s="83"/>
      <c r="L3270">
        <v>0</v>
      </c>
    </row>
    <row r="3271" spans="2:22" ht="21" customHeight="1" outlineLevel="6" x14ac:dyDescent="0.2">
      <c r="B3271" s="69">
        <v>2438</v>
      </c>
      <c r="C3271" s="6" t="s">
        <v>10265</v>
      </c>
      <c r="D3271" s="6" t="s">
        <v>10266</v>
      </c>
      <c r="E3271" s="7" t="s">
        <v>10267</v>
      </c>
      <c r="F3271" s="13"/>
      <c r="G3271" s="14"/>
      <c r="H3271" s="15">
        <v>20</v>
      </c>
      <c r="I3271" s="15">
        <v>10</v>
      </c>
      <c r="J3271" s="14" t="s">
        <v>144</v>
      </c>
      <c r="K3271" s="5">
        <v>1</v>
      </c>
      <c r="L3271" s="16">
        <v>238.66666666666666</v>
      </c>
      <c r="M3271" s="12"/>
      <c r="N3271" s="14">
        <f>L3271*M3271</f>
        <v>0</v>
      </c>
      <c r="O3271" s="23">
        <f>0.372*M3271</f>
        <v>0</v>
      </c>
      <c r="P3271" s="24">
        <f>0.00057*M3271</f>
        <v>0</v>
      </c>
      <c r="Q3271" s="25"/>
      <c r="R3271" s="26" t="s">
        <v>10268</v>
      </c>
      <c r="S3271" s="26" t="s">
        <v>93</v>
      </c>
      <c r="T3271" s="6" t="str">
        <f>HYPERLINK("https://kanzpp.ru/api/getInfo/image/a93b9099-de80-11ed-a233-00155d82e902")</f>
        <v>https://kanzpp.ru/api/getInfo/image/a93b9099-de80-11ed-a233-00155d82e902</v>
      </c>
      <c r="U3271" s="6"/>
      <c r="V3271" s="33" t="s">
        <v>35</v>
      </c>
    </row>
    <row r="3272" spans="2:22" ht="22.95" customHeight="1" outlineLevel="5" x14ac:dyDescent="0.2">
      <c r="B3272" s="83" t="s">
        <v>10269</v>
      </c>
      <c r="C3272" s="83"/>
      <c r="D3272" s="83"/>
      <c r="L3272">
        <v>0</v>
      </c>
    </row>
    <row r="3273" spans="2:22" ht="21" customHeight="1" outlineLevel="6" x14ac:dyDescent="0.2">
      <c r="B3273" s="70">
        <v>2439</v>
      </c>
      <c r="C3273" s="3" t="s">
        <v>10270</v>
      </c>
      <c r="D3273" s="3" t="s">
        <v>10271</v>
      </c>
      <c r="E3273" s="4" t="s">
        <v>10272</v>
      </c>
      <c r="F3273" s="8"/>
      <c r="G3273" s="9"/>
      <c r="H3273" s="10">
        <v>20</v>
      </c>
      <c r="I3273" s="10">
        <v>10</v>
      </c>
      <c r="J3273" s="10">
        <v>3</v>
      </c>
      <c r="K3273" s="2">
        <v>1</v>
      </c>
      <c r="L3273" s="18">
        <v>128.09333333333333</v>
      </c>
      <c r="M3273" s="12"/>
      <c r="N3273" s="9">
        <f>L3273*M3273</f>
        <v>0</v>
      </c>
      <c r="O3273" s="29">
        <f>0.331*M3273</f>
        <v>0</v>
      </c>
      <c r="P3273" s="30">
        <f>0.00056*M3273</f>
        <v>0</v>
      </c>
      <c r="Q3273" s="21"/>
      <c r="R3273" s="22" t="s">
        <v>10273</v>
      </c>
      <c r="S3273" s="22" t="s">
        <v>93</v>
      </c>
      <c r="T3273" s="3" t="str">
        <f>HYPERLINK("https://kanzpp.ru/api/getInfo/image/43a3b9a5-deaa-11ed-a233-00155d82e902")</f>
        <v>https://kanzpp.ru/api/getInfo/image/43a3b9a5-deaa-11ed-a233-00155d82e902</v>
      </c>
      <c r="U3273" s="3"/>
      <c r="V3273" s="32" t="s">
        <v>30</v>
      </c>
    </row>
    <row r="3274" spans="2:22" ht="22.95" customHeight="1" outlineLevel="5" x14ac:dyDescent="0.2">
      <c r="B3274" s="83" t="s">
        <v>10274</v>
      </c>
      <c r="C3274" s="83"/>
      <c r="D3274" s="83"/>
      <c r="L3274">
        <v>0</v>
      </c>
    </row>
    <row r="3275" spans="2:22" ht="21" customHeight="1" outlineLevel="6" x14ac:dyDescent="0.2">
      <c r="B3275" s="70">
        <v>2440</v>
      </c>
      <c r="C3275" s="3" t="s">
        <v>10275</v>
      </c>
      <c r="D3275" s="3" t="s">
        <v>10276</v>
      </c>
      <c r="E3275" s="4" t="s">
        <v>10277</v>
      </c>
      <c r="F3275" s="8"/>
      <c r="G3275" s="9"/>
      <c r="H3275" s="10">
        <v>20</v>
      </c>
      <c r="I3275" s="10">
        <v>10</v>
      </c>
      <c r="J3275" s="10">
        <v>13</v>
      </c>
      <c r="K3275" s="2">
        <v>1</v>
      </c>
      <c r="L3275" s="18">
        <v>138.01333333333335</v>
      </c>
      <c r="M3275" s="12"/>
      <c r="N3275" s="9">
        <f>L3275*M3275</f>
        <v>0</v>
      </c>
      <c r="O3275" s="29">
        <f>0.401*M3275</f>
        <v>0</v>
      </c>
      <c r="P3275" s="30">
        <f>0.00071*M3275</f>
        <v>0</v>
      </c>
      <c r="Q3275" s="21"/>
      <c r="R3275" s="22" t="s">
        <v>10278</v>
      </c>
      <c r="S3275" s="22" t="s">
        <v>93</v>
      </c>
      <c r="T3275" s="3" t="str">
        <f>HYPERLINK("https://kanzpp.ru/api/getInfo/image/c19296c5-de97-11ed-a233-00155d82e902")</f>
        <v>https://kanzpp.ru/api/getInfo/image/c19296c5-de97-11ed-a233-00155d82e902</v>
      </c>
      <c r="U3275" s="3"/>
      <c r="V3275" s="32" t="s">
        <v>30</v>
      </c>
    </row>
    <row r="3276" spans="2:22" ht="22.95" customHeight="1" outlineLevel="5" x14ac:dyDescent="0.2">
      <c r="B3276" s="83" t="s">
        <v>10279</v>
      </c>
      <c r="C3276" s="83"/>
      <c r="D3276" s="83"/>
      <c r="L3276">
        <v>0</v>
      </c>
    </row>
    <row r="3277" spans="2:22" ht="21" customHeight="1" outlineLevel="6" x14ac:dyDescent="0.2">
      <c r="B3277" s="69">
        <v>2441</v>
      </c>
      <c r="C3277" s="6" t="s">
        <v>10280</v>
      </c>
      <c r="D3277" s="6" t="s">
        <v>10281</v>
      </c>
      <c r="E3277" s="7" t="s">
        <v>10282</v>
      </c>
      <c r="F3277" s="13"/>
      <c r="G3277" s="14"/>
      <c r="H3277" s="15">
        <v>20</v>
      </c>
      <c r="I3277" s="15">
        <v>10</v>
      </c>
      <c r="J3277" s="15">
        <v>36</v>
      </c>
      <c r="K3277" s="5">
        <v>1</v>
      </c>
      <c r="L3277" s="16">
        <v>132</v>
      </c>
      <c r="M3277" s="12"/>
      <c r="N3277" s="14">
        <f>L3277*M3277</f>
        <v>0</v>
      </c>
      <c r="O3277" s="23">
        <f>0.379*M3277</f>
        <v>0</v>
      </c>
      <c r="P3277" s="24">
        <f>0.00065*M3277</f>
        <v>0</v>
      </c>
      <c r="Q3277" s="25"/>
      <c r="R3277" s="26" t="s">
        <v>10283</v>
      </c>
      <c r="S3277" s="26" t="s">
        <v>93</v>
      </c>
      <c r="T3277" s="6" t="str">
        <f>HYPERLINK("https://kanzpp.ru/api/getInfo/image/4bfaeec0-de93-11ed-a233-00155d82e902")</f>
        <v>https://kanzpp.ru/api/getInfo/image/4bfaeec0-de93-11ed-a233-00155d82e902</v>
      </c>
      <c r="U3277" s="6"/>
      <c r="V3277" s="33" t="s">
        <v>35</v>
      </c>
    </row>
    <row r="3278" spans="2:22" ht="21" customHeight="1" outlineLevel="6" x14ac:dyDescent="0.2">
      <c r="B3278" s="69">
        <v>2442</v>
      </c>
      <c r="C3278" s="6" t="s">
        <v>10284</v>
      </c>
      <c r="D3278" s="6" t="s">
        <v>10285</v>
      </c>
      <c r="E3278" s="7" t="s">
        <v>10286</v>
      </c>
      <c r="F3278" s="13"/>
      <c r="G3278" s="14"/>
      <c r="H3278" s="15">
        <v>20</v>
      </c>
      <c r="I3278" s="15">
        <v>10</v>
      </c>
      <c r="J3278" s="15">
        <v>98</v>
      </c>
      <c r="K3278" s="5">
        <v>1</v>
      </c>
      <c r="L3278" s="16">
        <v>132</v>
      </c>
      <c r="M3278" s="12"/>
      <c r="N3278" s="14">
        <f>L3278*M3278</f>
        <v>0</v>
      </c>
      <c r="O3278" s="23">
        <f>0.372*M3278</f>
        <v>0</v>
      </c>
      <c r="P3278" s="24">
        <f>0.00057*M3278</f>
        <v>0</v>
      </c>
      <c r="Q3278" s="25"/>
      <c r="R3278" s="26" t="s">
        <v>10287</v>
      </c>
      <c r="S3278" s="26" t="s">
        <v>93</v>
      </c>
      <c r="T3278" s="6" t="str">
        <f>HYPERLINK("https://kanzpp.ru/api/getInfo/image/246c0304-de94-11ed-a233-00155d82e902")</f>
        <v>https://kanzpp.ru/api/getInfo/image/246c0304-de94-11ed-a233-00155d82e902</v>
      </c>
      <c r="U3278" s="6"/>
      <c r="V3278" s="33" t="s">
        <v>35</v>
      </c>
    </row>
    <row r="3279" spans="2:22" ht="22.95" customHeight="1" outlineLevel="5" x14ac:dyDescent="0.2">
      <c r="B3279" s="83" t="s">
        <v>10288</v>
      </c>
      <c r="C3279" s="83"/>
      <c r="D3279" s="83"/>
      <c r="L3279">
        <v>0</v>
      </c>
    </row>
    <row r="3280" spans="2:22" ht="21" customHeight="1" outlineLevel="6" x14ac:dyDescent="0.2">
      <c r="B3280" s="69">
        <v>2443</v>
      </c>
      <c r="C3280" s="6" t="s">
        <v>10289</v>
      </c>
      <c r="D3280" s="6" t="s">
        <v>10290</v>
      </c>
      <c r="E3280" s="7" t="s">
        <v>10291</v>
      </c>
      <c r="F3280" s="13"/>
      <c r="G3280" s="14"/>
      <c r="H3280" s="15">
        <v>20</v>
      </c>
      <c r="I3280" s="15">
        <v>10</v>
      </c>
      <c r="J3280" s="15">
        <v>2</v>
      </c>
      <c r="K3280" s="5">
        <v>1</v>
      </c>
      <c r="L3280" s="16">
        <v>132</v>
      </c>
      <c r="M3280" s="12"/>
      <c r="N3280" s="14">
        <f>L3280*M3280</f>
        <v>0</v>
      </c>
      <c r="O3280" s="23">
        <f>0.372*M3280</f>
        <v>0</v>
      </c>
      <c r="P3280" s="24">
        <f>0.00057*M3280</f>
        <v>0</v>
      </c>
      <c r="Q3280" s="25"/>
      <c r="R3280" s="26" t="s">
        <v>10292</v>
      </c>
      <c r="S3280" s="26" t="s">
        <v>93</v>
      </c>
      <c r="T3280" s="6" t="str">
        <f>HYPERLINK("https://kanzpp.ru/api/getInfo/image/776411e1-de88-11ed-a233-00155d82e902")</f>
        <v>https://kanzpp.ru/api/getInfo/image/776411e1-de88-11ed-a233-00155d82e902</v>
      </c>
      <c r="U3280" s="6"/>
      <c r="V3280" s="33" t="s">
        <v>35</v>
      </c>
    </row>
    <row r="3281" spans="2:22" ht="21" customHeight="1" outlineLevel="6" x14ac:dyDescent="0.2">
      <c r="B3281" s="69">
        <v>2444</v>
      </c>
      <c r="C3281" s="6" t="s">
        <v>10293</v>
      </c>
      <c r="D3281" s="6" t="s">
        <v>10294</v>
      </c>
      <c r="E3281" s="7" t="s">
        <v>10295</v>
      </c>
      <c r="F3281" s="13"/>
      <c r="G3281" s="14"/>
      <c r="H3281" s="15">
        <v>20</v>
      </c>
      <c r="I3281" s="15">
        <v>10</v>
      </c>
      <c r="J3281" s="15">
        <v>41</v>
      </c>
      <c r="K3281" s="5">
        <v>1</v>
      </c>
      <c r="L3281" s="16">
        <v>132</v>
      </c>
      <c r="M3281" s="12"/>
      <c r="N3281" s="14">
        <f>L3281*M3281</f>
        <v>0</v>
      </c>
      <c r="O3281" s="23">
        <f>0.388*M3281</f>
        <v>0</v>
      </c>
      <c r="P3281" s="24">
        <f>0.00071*M3281</f>
        <v>0</v>
      </c>
      <c r="Q3281" s="25"/>
      <c r="R3281" s="26" t="s">
        <v>10296</v>
      </c>
      <c r="S3281" s="26" t="s">
        <v>93</v>
      </c>
      <c r="T3281" s="6" t="str">
        <f>HYPERLINK("https://kanzpp.ru/api/getInfo/image/ed49abbe-de88-11ed-a233-00155d82e902")</f>
        <v>https://kanzpp.ru/api/getInfo/image/ed49abbe-de88-11ed-a233-00155d82e902</v>
      </c>
      <c r="U3281" s="6"/>
      <c r="V3281" s="33" t="s">
        <v>35</v>
      </c>
    </row>
    <row r="3282" spans="2:22" ht="21" customHeight="1" outlineLevel="6" x14ac:dyDescent="0.2">
      <c r="B3282" s="69">
        <v>2445</v>
      </c>
      <c r="C3282" s="6" t="s">
        <v>10297</v>
      </c>
      <c r="D3282" s="6" t="s">
        <v>10298</v>
      </c>
      <c r="E3282" s="7" t="s">
        <v>10299</v>
      </c>
      <c r="F3282" s="13"/>
      <c r="G3282" s="14"/>
      <c r="H3282" s="15">
        <v>20</v>
      </c>
      <c r="I3282" s="15">
        <v>10</v>
      </c>
      <c r="J3282" s="15">
        <v>113</v>
      </c>
      <c r="K3282" s="5">
        <v>1</v>
      </c>
      <c r="L3282" s="16">
        <v>132</v>
      </c>
      <c r="M3282" s="12"/>
      <c r="N3282" s="14">
        <f>L3282*M3282</f>
        <v>0</v>
      </c>
      <c r="O3282" s="23">
        <f>0.385*M3282</f>
        <v>0</v>
      </c>
      <c r="P3282" s="24">
        <f>0.00071*M3282</f>
        <v>0</v>
      </c>
      <c r="Q3282" s="25"/>
      <c r="R3282" s="26" t="s">
        <v>10300</v>
      </c>
      <c r="S3282" s="26" t="s">
        <v>93</v>
      </c>
      <c r="T3282" s="6" t="str">
        <f>HYPERLINK("https://kanzpp.ru/api/getInfo/image/3e84b478-de89-11ed-a233-00155d82e902")</f>
        <v>https://kanzpp.ru/api/getInfo/image/3e84b478-de89-11ed-a233-00155d82e902</v>
      </c>
      <c r="U3282" s="6"/>
      <c r="V3282" s="33" t="s">
        <v>35</v>
      </c>
    </row>
    <row r="3283" spans="2:22" ht="21" customHeight="1" outlineLevel="6" x14ac:dyDescent="0.2">
      <c r="B3283" s="70">
        <v>2446</v>
      </c>
      <c r="C3283" s="3" t="s">
        <v>10301</v>
      </c>
      <c r="D3283" s="3" t="s">
        <v>10302</v>
      </c>
      <c r="E3283" s="4" t="s">
        <v>10303</v>
      </c>
      <c r="F3283" s="8"/>
      <c r="G3283" s="9"/>
      <c r="H3283" s="10">
        <v>20</v>
      </c>
      <c r="I3283" s="10">
        <v>10</v>
      </c>
      <c r="J3283" s="10">
        <v>1</v>
      </c>
      <c r="K3283" s="2">
        <v>1</v>
      </c>
      <c r="L3283" s="19">
        <v>104.8</v>
      </c>
      <c r="M3283" s="12"/>
      <c r="N3283" s="9">
        <f>L3283*M3283</f>
        <v>0</v>
      </c>
      <c r="O3283" s="29">
        <f>0.478*M3283</f>
        <v>0</v>
      </c>
      <c r="P3283" s="29">
        <f>0.001*M3283</f>
        <v>0</v>
      </c>
      <c r="Q3283" s="21"/>
      <c r="R3283" s="22" t="s">
        <v>10304</v>
      </c>
      <c r="S3283" s="22" t="s">
        <v>93</v>
      </c>
      <c r="T3283" s="3" t="str">
        <f>HYPERLINK("https://kanzpp.ru/api/getInfo/image/09f788c8-e5c8-11ee-a25a-00155d82e908")</f>
        <v>https://kanzpp.ru/api/getInfo/image/09f788c8-e5c8-11ee-a25a-00155d82e908</v>
      </c>
      <c r="U3283" s="3"/>
      <c r="V3283" s="32" t="s">
        <v>30</v>
      </c>
    </row>
    <row r="3284" spans="2:22" ht="22.95" customHeight="1" outlineLevel="2" x14ac:dyDescent="0.2">
      <c r="B3284" s="80" t="s">
        <v>10305</v>
      </c>
      <c r="C3284" s="80"/>
      <c r="D3284" s="80"/>
      <c r="L3284">
        <v>0</v>
      </c>
    </row>
    <row r="3285" spans="2:22" ht="22.95" customHeight="1" outlineLevel="3" x14ac:dyDescent="0.2">
      <c r="B3285" s="81" t="s">
        <v>10306</v>
      </c>
      <c r="C3285" s="81"/>
      <c r="D3285" s="81"/>
      <c r="L3285">
        <v>0</v>
      </c>
    </row>
    <row r="3286" spans="2:22" ht="21" customHeight="1" outlineLevel="4" x14ac:dyDescent="0.2">
      <c r="B3286" s="69">
        <v>2447</v>
      </c>
      <c r="C3286" s="6" t="s">
        <v>10307</v>
      </c>
      <c r="D3286" s="6" t="s">
        <v>10308</v>
      </c>
      <c r="E3286" s="7" t="s">
        <v>493</v>
      </c>
      <c r="F3286" s="13"/>
      <c r="G3286" s="14"/>
      <c r="H3286" s="14"/>
      <c r="I3286" s="15">
        <v>20</v>
      </c>
      <c r="J3286" s="15">
        <v>144</v>
      </c>
      <c r="K3286" s="5">
        <v>5</v>
      </c>
      <c r="L3286" s="16">
        <v>13.200000000000001</v>
      </c>
      <c r="M3286" s="12"/>
      <c r="N3286" s="14">
        <f t="shared" ref="N3286:N3292" si="151">L3286*M3286</f>
        <v>0</v>
      </c>
      <c r="O3286" s="23">
        <f t="shared" ref="O3286:O3292" si="152">0.085*M3286</f>
        <v>0</v>
      </c>
      <c r="P3286" s="24">
        <f>0.00015*M3286</f>
        <v>0</v>
      </c>
      <c r="Q3286" s="25"/>
      <c r="R3286" s="26" t="s">
        <v>494</v>
      </c>
      <c r="S3286" s="26" t="s">
        <v>93</v>
      </c>
      <c r="T3286" s="6" t="str">
        <f>HYPERLINK("https://kanzpp.ru/api/getInfo/image/f5c4127c-cecb-11ed-a230-00155d82e902")</f>
        <v>https://kanzpp.ru/api/getInfo/image/f5c4127c-cecb-11ed-a230-00155d82e902</v>
      </c>
      <c r="U3286" s="6"/>
      <c r="V3286" s="33" t="s">
        <v>35</v>
      </c>
    </row>
    <row r="3287" spans="2:22" ht="21" customHeight="1" outlineLevel="4" x14ac:dyDescent="0.2">
      <c r="B3287" s="69">
        <v>2448</v>
      </c>
      <c r="C3287" s="6" t="s">
        <v>10309</v>
      </c>
      <c r="D3287" s="6" t="s">
        <v>10310</v>
      </c>
      <c r="E3287" s="7" t="s">
        <v>10311</v>
      </c>
      <c r="F3287" s="13"/>
      <c r="G3287" s="14"/>
      <c r="H3287" s="14"/>
      <c r="I3287" s="15">
        <v>20</v>
      </c>
      <c r="J3287" s="15">
        <v>20</v>
      </c>
      <c r="K3287" s="5">
        <v>5</v>
      </c>
      <c r="L3287" s="16">
        <v>13.200000000000001</v>
      </c>
      <c r="M3287" s="12"/>
      <c r="N3287" s="14">
        <f t="shared" si="151"/>
        <v>0</v>
      </c>
      <c r="O3287" s="23">
        <f t="shared" si="152"/>
        <v>0</v>
      </c>
      <c r="P3287" s="24">
        <f>0.00015*M3287</f>
        <v>0</v>
      </c>
      <c r="Q3287" s="25"/>
      <c r="R3287" s="26" t="s">
        <v>10312</v>
      </c>
      <c r="S3287" s="26" t="s">
        <v>93</v>
      </c>
      <c r="T3287" s="6" t="str">
        <f>HYPERLINK("https://kanzpp.ru/api/getInfo/image/280f38bd-cecd-11ed-a230-00155d82e902")</f>
        <v>https://kanzpp.ru/api/getInfo/image/280f38bd-cecd-11ed-a230-00155d82e902</v>
      </c>
      <c r="U3287" s="6"/>
      <c r="V3287" s="33" t="s">
        <v>35</v>
      </c>
    </row>
    <row r="3288" spans="2:22" ht="21" customHeight="1" outlineLevel="4" x14ac:dyDescent="0.2">
      <c r="B3288" s="69">
        <v>2449</v>
      </c>
      <c r="C3288" s="6" t="s">
        <v>10313</v>
      </c>
      <c r="D3288" s="6" t="s">
        <v>10314</v>
      </c>
      <c r="E3288" s="7" t="s">
        <v>10315</v>
      </c>
      <c r="F3288" s="13"/>
      <c r="G3288" s="14"/>
      <c r="H3288" s="14"/>
      <c r="I3288" s="15">
        <v>20</v>
      </c>
      <c r="J3288" s="15">
        <v>96</v>
      </c>
      <c r="K3288" s="5">
        <v>5</v>
      </c>
      <c r="L3288" s="16">
        <v>26.533333333333331</v>
      </c>
      <c r="M3288" s="12"/>
      <c r="N3288" s="14">
        <f t="shared" si="151"/>
        <v>0</v>
      </c>
      <c r="O3288" s="23">
        <f t="shared" si="152"/>
        <v>0</v>
      </c>
      <c r="P3288" s="24">
        <f>0.00016*M3288</f>
        <v>0</v>
      </c>
      <c r="Q3288" s="25"/>
      <c r="R3288" s="26" t="s">
        <v>10316</v>
      </c>
      <c r="S3288" s="26" t="s">
        <v>93</v>
      </c>
      <c r="T3288" s="6" t="str">
        <f>HYPERLINK("https://kanzpp.ru/api/getInfo/image/85a474c5-cecc-11ed-a230-00155d82e902")</f>
        <v>https://kanzpp.ru/api/getInfo/image/85a474c5-cecc-11ed-a230-00155d82e902</v>
      </c>
      <c r="U3288" s="6"/>
      <c r="V3288" s="33" t="s">
        <v>35</v>
      </c>
    </row>
    <row r="3289" spans="2:22" ht="21" customHeight="1" outlineLevel="4" x14ac:dyDescent="0.2">
      <c r="B3289" s="69">
        <v>2450</v>
      </c>
      <c r="C3289" s="6" t="s">
        <v>10317</v>
      </c>
      <c r="D3289" s="6" t="s">
        <v>10318</v>
      </c>
      <c r="E3289" s="7" t="s">
        <v>10319</v>
      </c>
      <c r="F3289" s="13"/>
      <c r="G3289" s="14"/>
      <c r="H3289" s="14"/>
      <c r="I3289" s="15">
        <v>20</v>
      </c>
      <c r="J3289" s="15">
        <v>333</v>
      </c>
      <c r="K3289" s="5">
        <v>5</v>
      </c>
      <c r="L3289" s="16">
        <v>13.200000000000001</v>
      </c>
      <c r="M3289" s="12"/>
      <c r="N3289" s="14">
        <f t="shared" si="151"/>
        <v>0</v>
      </c>
      <c r="O3289" s="23">
        <f t="shared" si="152"/>
        <v>0</v>
      </c>
      <c r="P3289" s="24">
        <f>0.00016*M3289</f>
        <v>0</v>
      </c>
      <c r="Q3289" s="25"/>
      <c r="R3289" s="26" t="s">
        <v>10320</v>
      </c>
      <c r="S3289" s="26" t="s">
        <v>93</v>
      </c>
      <c r="T3289" s="6" t="str">
        <f>HYPERLINK("https://kanzpp.ru/api/getInfo/image/baea651e-cecb-11ed-a230-00155d82e902")</f>
        <v>https://kanzpp.ru/api/getInfo/image/baea651e-cecb-11ed-a230-00155d82e902</v>
      </c>
      <c r="U3289" s="6"/>
      <c r="V3289" s="33" t="s">
        <v>35</v>
      </c>
    </row>
    <row r="3290" spans="2:22" ht="21" customHeight="1" outlineLevel="4" x14ac:dyDescent="0.2">
      <c r="B3290" s="69">
        <v>2451</v>
      </c>
      <c r="C3290" s="6" t="s">
        <v>10321</v>
      </c>
      <c r="D3290" s="6" t="s">
        <v>10322</v>
      </c>
      <c r="E3290" s="7" t="s">
        <v>10323</v>
      </c>
      <c r="F3290" s="13"/>
      <c r="G3290" s="14"/>
      <c r="H3290" s="14"/>
      <c r="I3290" s="15">
        <v>20</v>
      </c>
      <c r="J3290" s="15">
        <v>212</v>
      </c>
      <c r="K3290" s="5">
        <v>5</v>
      </c>
      <c r="L3290" s="16">
        <v>13.200000000000001</v>
      </c>
      <c r="M3290" s="12"/>
      <c r="N3290" s="14">
        <f t="shared" si="151"/>
        <v>0</v>
      </c>
      <c r="O3290" s="23">
        <f t="shared" si="152"/>
        <v>0</v>
      </c>
      <c r="P3290" s="24">
        <f>0.00015*M3290</f>
        <v>0</v>
      </c>
      <c r="Q3290" s="25"/>
      <c r="R3290" s="26" t="s">
        <v>10324</v>
      </c>
      <c r="S3290" s="26" t="s">
        <v>93</v>
      </c>
      <c r="T3290" s="6" t="str">
        <f>HYPERLINK("https://kanzpp.ru/api/getInfo/image/ded1a409-cecc-11ed-a230-00155d82e902")</f>
        <v>https://kanzpp.ru/api/getInfo/image/ded1a409-cecc-11ed-a230-00155d82e902</v>
      </c>
      <c r="U3290" s="6"/>
      <c r="V3290" s="33" t="s">
        <v>35</v>
      </c>
    </row>
    <row r="3291" spans="2:22" ht="21" customHeight="1" outlineLevel="4" x14ac:dyDescent="0.2">
      <c r="B3291" s="69">
        <v>2452</v>
      </c>
      <c r="C3291" s="6" t="s">
        <v>10325</v>
      </c>
      <c r="D3291" s="6" t="s">
        <v>10326</v>
      </c>
      <c r="E3291" s="7" t="s">
        <v>10327</v>
      </c>
      <c r="F3291" s="13"/>
      <c r="G3291" s="14"/>
      <c r="H3291" s="14"/>
      <c r="I3291" s="15">
        <v>20</v>
      </c>
      <c r="J3291" s="14" t="s">
        <v>144</v>
      </c>
      <c r="K3291" s="5">
        <v>5</v>
      </c>
      <c r="L3291" s="16">
        <v>13.200000000000001</v>
      </c>
      <c r="M3291" s="12"/>
      <c r="N3291" s="14">
        <f t="shared" si="151"/>
        <v>0</v>
      </c>
      <c r="O3291" s="23">
        <f t="shared" si="152"/>
        <v>0</v>
      </c>
      <c r="P3291" s="24">
        <f>0.00015*M3291</f>
        <v>0</v>
      </c>
      <c r="Q3291" s="25"/>
      <c r="R3291" s="26" t="s">
        <v>10328</v>
      </c>
      <c r="S3291" s="26" t="s">
        <v>93</v>
      </c>
      <c r="T3291" s="6" t="str">
        <f>HYPERLINK("https://kanzpp.ru/api/getInfo/image/18fad7eb-cecc-11ed-a230-00155d82e902")</f>
        <v>https://kanzpp.ru/api/getInfo/image/18fad7eb-cecc-11ed-a230-00155d82e902</v>
      </c>
      <c r="U3291" s="6"/>
      <c r="V3291" s="33" t="s">
        <v>35</v>
      </c>
    </row>
    <row r="3292" spans="2:22" ht="21" customHeight="1" outlineLevel="4" x14ac:dyDescent="0.2">
      <c r="B3292" s="69">
        <v>2453</v>
      </c>
      <c r="C3292" s="6" t="s">
        <v>10329</v>
      </c>
      <c r="D3292" s="6" t="s">
        <v>10330</v>
      </c>
      <c r="E3292" s="7" t="s">
        <v>497</v>
      </c>
      <c r="F3292" s="13"/>
      <c r="G3292" s="14"/>
      <c r="H3292" s="14"/>
      <c r="I3292" s="15">
        <v>20</v>
      </c>
      <c r="J3292" s="15">
        <v>59</v>
      </c>
      <c r="K3292" s="5">
        <v>5</v>
      </c>
      <c r="L3292" s="16">
        <v>13.200000000000001</v>
      </c>
      <c r="M3292" s="12"/>
      <c r="N3292" s="14">
        <f t="shared" si="151"/>
        <v>0</v>
      </c>
      <c r="O3292" s="23">
        <f t="shared" si="152"/>
        <v>0</v>
      </c>
      <c r="P3292" s="24">
        <f>0.00015*M3292</f>
        <v>0</v>
      </c>
      <c r="Q3292" s="25"/>
      <c r="R3292" s="26" t="s">
        <v>498</v>
      </c>
      <c r="S3292" s="26" t="s">
        <v>93</v>
      </c>
      <c r="T3292" s="6" t="str">
        <f>HYPERLINK("https://kanzpp.ru/api/getInfo/image/39d92246-cecc-11ed-a230-00155d82e902")</f>
        <v>https://kanzpp.ru/api/getInfo/image/39d92246-cecc-11ed-a230-00155d82e902</v>
      </c>
      <c r="U3292" s="6"/>
      <c r="V3292" s="33" t="s">
        <v>35</v>
      </c>
    </row>
    <row r="3293" spans="2:22" ht="22.95" customHeight="1" outlineLevel="3" x14ac:dyDescent="0.2">
      <c r="B3293" s="81" t="s">
        <v>10331</v>
      </c>
      <c r="C3293" s="81"/>
      <c r="D3293" s="81"/>
      <c r="L3293">
        <v>0</v>
      </c>
    </row>
    <row r="3294" spans="2:22" ht="21" customHeight="1" outlineLevel="4" x14ac:dyDescent="0.2">
      <c r="B3294" s="69">
        <v>2454</v>
      </c>
      <c r="C3294" s="6" t="s">
        <v>10332</v>
      </c>
      <c r="D3294" s="6" t="s">
        <v>477</v>
      </c>
      <c r="E3294" s="7" t="s">
        <v>478</v>
      </c>
      <c r="F3294" s="13"/>
      <c r="G3294" s="14"/>
      <c r="H3294" s="14"/>
      <c r="I3294" s="15">
        <v>20</v>
      </c>
      <c r="J3294" s="14" t="s">
        <v>144</v>
      </c>
      <c r="K3294" s="5">
        <v>4</v>
      </c>
      <c r="L3294" s="16">
        <v>13.200000000000001</v>
      </c>
      <c r="M3294" s="12"/>
      <c r="N3294" s="14">
        <f>L3294*M3294</f>
        <v>0</v>
      </c>
      <c r="O3294" s="23">
        <f>0.232*M3294</f>
        <v>0</v>
      </c>
      <c r="P3294" s="24">
        <f>0.00026*M3294</f>
        <v>0</v>
      </c>
      <c r="Q3294" s="25"/>
      <c r="R3294" s="26" t="s">
        <v>10333</v>
      </c>
      <c r="S3294" s="26" t="s">
        <v>93</v>
      </c>
      <c r="T3294" s="6" t="str">
        <f>HYPERLINK("https://kanzpp.ru/api/getInfo/image/732a2af3-b73c-11ed-a230-00155d82e902")</f>
        <v>https://kanzpp.ru/api/getInfo/image/732a2af3-b73c-11ed-a230-00155d82e902</v>
      </c>
      <c r="U3294" s="6"/>
      <c r="V3294" s="33" t="s">
        <v>35</v>
      </c>
    </row>
    <row r="3295" spans="2:22" ht="21" customHeight="1" outlineLevel="4" x14ac:dyDescent="0.2">
      <c r="B3295" s="69">
        <v>2455</v>
      </c>
      <c r="C3295" s="6" t="s">
        <v>10334</v>
      </c>
      <c r="D3295" s="6" t="s">
        <v>10335</v>
      </c>
      <c r="E3295" s="7" t="s">
        <v>10336</v>
      </c>
      <c r="F3295" s="13"/>
      <c r="G3295" s="14"/>
      <c r="H3295" s="14"/>
      <c r="I3295" s="15">
        <v>20</v>
      </c>
      <c r="J3295" s="14" t="s">
        <v>144</v>
      </c>
      <c r="K3295" s="5">
        <v>4</v>
      </c>
      <c r="L3295" s="16">
        <v>13.200000000000001</v>
      </c>
      <c r="M3295" s="12"/>
      <c r="N3295" s="14">
        <f>L3295*M3295</f>
        <v>0</v>
      </c>
      <c r="O3295" s="23">
        <f>0.222*M3295</f>
        <v>0</v>
      </c>
      <c r="P3295" s="24">
        <f>0.00029*M3295</f>
        <v>0</v>
      </c>
      <c r="Q3295" s="25"/>
      <c r="R3295" s="26" t="s">
        <v>10337</v>
      </c>
      <c r="S3295" s="26" t="s">
        <v>93</v>
      </c>
      <c r="T3295" s="6" t="str">
        <f>HYPERLINK("https://kanzpp.ru/api/getInfo/image/c03b6db1-b73c-11ed-a230-00155d82e902")</f>
        <v>https://kanzpp.ru/api/getInfo/image/c03b6db1-b73c-11ed-a230-00155d82e902</v>
      </c>
      <c r="U3295" s="6"/>
      <c r="V3295" s="33" t="s">
        <v>35</v>
      </c>
    </row>
    <row r="3296" spans="2:22" ht="21" customHeight="1" outlineLevel="4" x14ac:dyDescent="0.2">
      <c r="B3296" s="69">
        <v>2456</v>
      </c>
      <c r="C3296" s="6" t="s">
        <v>10338</v>
      </c>
      <c r="D3296" s="6" t="s">
        <v>10339</v>
      </c>
      <c r="E3296" s="7" t="s">
        <v>10340</v>
      </c>
      <c r="F3296" s="13"/>
      <c r="G3296" s="14"/>
      <c r="H3296" s="14"/>
      <c r="I3296" s="15">
        <v>20</v>
      </c>
      <c r="J3296" s="14" t="s">
        <v>144</v>
      </c>
      <c r="K3296" s="5">
        <v>4</v>
      </c>
      <c r="L3296" s="16">
        <v>13.200000000000001</v>
      </c>
      <c r="M3296" s="12"/>
      <c r="N3296" s="14">
        <f>L3296*M3296</f>
        <v>0</v>
      </c>
      <c r="O3296" s="23">
        <f>0.228*M3296</f>
        <v>0</v>
      </c>
      <c r="P3296" s="24">
        <f>0.00029*M3296</f>
        <v>0</v>
      </c>
      <c r="Q3296" s="25"/>
      <c r="R3296" s="26" t="s">
        <v>10341</v>
      </c>
      <c r="S3296" s="26" t="s">
        <v>93</v>
      </c>
      <c r="T3296" s="6" t="str">
        <f>HYPERLINK("https://kanzpp.ru/api/getInfo/image/9994ff6f-b73c-11ed-a230-00155d82e902")</f>
        <v>https://kanzpp.ru/api/getInfo/image/9994ff6f-b73c-11ed-a230-00155d82e902</v>
      </c>
      <c r="U3296" s="6"/>
      <c r="V3296" s="33" t="s">
        <v>35</v>
      </c>
    </row>
    <row r="3297" spans="2:22" ht="21" customHeight="1" outlineLevel="4" x14ac:dyDescent="0.2">
      <c r="B3297" s="69">
        <v>2457</v>
      </c>
      <c r="C3297" s="6" t="s">
        <v>10342</v>
      </c>
      <c r="D3297" s="6" t="s">
        <v>10343</v>
      </c>
      <c r="E3297" s="7" t="s">
        <v>10344</v>
      </c>
      <c r="F3297" s="13"/>
      <c r="G3297" s="14"/>
      <c r="H3297" s="14"/>
      <c r="I3297" s="15">
        <v>20</v>
      </c>
      <c r="J3297" s="14" t="s">
        <v>144</v>
      </c>
      <c r="K3297" s="5">
        <v>4</v>
      </c>
      <c r="L3297" s="16">
        <v>13.200000000000001</v>
      </c>
      <c r="M3297" s="12"/>
      <c r="N3297" s="14">
        <f>L3297*M3297</f>
        <v>0</v>
      </c>
      <c r="O3297" s="23">
        <f>0.224*M3297</f>
        <v>0</v>
      </c>
      <c r="P3297" s="24">
        <f>0.00026*M3297</f>
        <v>0</v>
      </c>
      <c r="Q3297" s="25"/>
      <c r="R3297" s="26" t="s">
        <v>10345</v>
      </c>
      <c r="S3297" s="26" t="s">
        <v>93</v>
      </c>
      <c r="T3297" s="6" t="str">
        <f>HYPERLINK("https://kanzpp.ru/api/getInfo/image/1b8953da-b73c-11ed-a230-00155d82e902")</f>
        <v>https://kanzpp.ru/api/getInfo/image/1b8953da-b73c-11ed-a230-00155d82e902</v>
      </c>
      <c r="U3297" s="6"/>
      <c r="V3297" s="33" t="s">
        <v>35</v>
      </c>
    </row>
    <row r="3298" spans="2:22" ht="21" customHeight="1" outlineLevel="4" x14ac:dyDescent="0.2">
      <c r="B3298" s="69">
        <v>2458</v>
      </c>
      <c r="C3298" s="6" t="s">
        <v>10346</v>
      </c>
      <c r="D3298" s="6" t="s">
        <v>10343</v>
      </c>
      <c r="E3298" s="7" t="s">
        <v>10344</v>
      </c>
      <c r="F3298" s="13"/>
      <c r="G3298" s="14"/>
      <c r="H3298" s="15">
        <v>40</v>
      </c>
      <c r="I3298" s="14"/>
      <c r="J3298" s="15">
        <v>210</v>
      </c>
      <c r="K3298" s="5">
        <v>4</v>
      </c>
      <c r="L3298" s="16">
        <v>26.533333333333331</v>
      </c>
      <c r="M3298" s="12"/>
      <c r="N3298" s="14">
        <f>L3298*M3298</f>
        <v>0</v>
      </c>
      <c r="O3298" s="23">
        <f>0.227*M3298</f>
        <v>0</v>
      </c>
      <c r="P3298" s="24">
        <f>0.00054*M3298</f>
        <v>0</v>
      </c>
      <c r="Q3298" s="25"/>
      <c r="R3298" s="26"/>
      <c r="S3298" s="26" t="s">
        <v>93</v>
      </c>
      <c r="T3298" s="6" t="str">
        <f>HYPERLINK("https://kanzpp.ru/api/getInfo/image/bb4c5a7f-57bb-11ee-a245-00155d82e902")</f>
        <v>https://kanzpp.ru/api/getInfo/image/bb4c5a7f-57bb-11ee-a245-00155d82e902</v>
      </c>
      <c r="U3298" s="6"/>
      <c r="V3298" s="33" t="s">
        <v>35</v>
      </c>
    </row>
    <row r="3299" spans="2:22" ht="22.95" customHeight="1" outlineLevel="3" x14ac:dyDescent="0.2">
      <c r="B3299" s="81" t="s">
        <v>10347</v>
      </c>
      <c r="C3299" s="81"/>
      <c r="D3299" s="81"/>
      <c r="L3299">
        <v>0</v>
      </c>
    </row>
    <row r="3300" spans="2:22" ht="21" customHeight="1" outlineLevel="4" x14ac:dyDescent="0.2">
      <c r="B3300" s="69">
        <v>2459</v>
      </c>
      <c r="C3300" s="6" t="s">
        <v>10348</v>
      </c>
      <c r="D3300" s="6" t="s">
        <v>10349</v>
      </c>
      <c r="E3300" s="7" t="s">
        <v>10350</v>
      </c>
      <c r="F3300" s="13"/>
      <c r="G3300" s="14"/>
      <c r="H3300" s="14"/>
      <c r="I3300" s="15">
        <v>20</v>
      </c>
      <c r="J3300" s="15">
        <v>86</v>
      </c>
      <c r="K3300" s="5">
        <v>5</v>
      </c>
      <c r="L3300" s="16">
        <v>13.200000000000001</v>
      </c>
      <c r="M3300" s="12"/>
      <c r="N3300" s="14">
        <f>L3300*M3300</f>
        <v>0</v>
      </c>
      <c r="O3300" s="23">
        <f>0.175*M3300</f>
        <v>0</v>
      </c>
      <c r="P3300" s="24">
        <f>0.00026*M3300</f>
        <v>0</v>
      </c>
      <c r="Q3300" s="25"/>
      <c r="R3300" s="26" t="s">
        <v>10351</v>
      </c>
      <c r="S3300" s="26" t="s">
        <v>93</v>
      </c>
      <c r="T3300" s="6" t="str">
        <f>HYPERLINK("https://kanzpp.ru/api/getInfo/image/abd876e0-6997-11ed-a22a-00155d82e902")</f>
        <v>https://kanzpp.ru/api/getInfo/image/abd876e0-6997-11ed-a22a-00155d82e902</v>
      </c>
      <c r="U3300" s="6"/>
      <c r="V3300" s="33" t="s">
        <v>35</v>
      </c>
    </row>
    <row r="3301" spans="2:22" ht="21" customHeight="1" outlineLevel="4" x14ac:dyDescent="0.2">
      <c r="B3301" s="69">
        <v>2460</v>
      </c>
      <c r="C3301" s="6" t="s">
        <v>10352</v>
      </c>
      <c r="D3301" s="6" t="s">
        <v>10353</v>
      </c>
      <c r="E3301" s="7" t="s">
        <v>10354</v>
      </c>
      <c r="F3301" s="13"/>
      <c r="G3301" s="14"/>
      <c r="H3301" s="14"/>
      <c r="I3301" s="15">
        <v>20</v>
      </c>
      <c r="J3301" s="15">
        <v>10</v>
      </c>
      <c r="K3301" s="5">
        <v>5</v>
      </c>
      <c r="L3301" s="16">
        <v>13.200000000000001</v>
      </c>
      <c r="M3301" s="12"/>
      <c r="N3301" s="14">
        <f>L3301*M3301</f>
        <v>0</v>
      </c>
      <c r="O3301" s="23">
        <f>0.177*M3301</f>
        <v>0</v>
      </c>
      <c r="P3301" s="24">
        <f>0.00029*M3301</f>
        <v>0</v>
      </c>
      <c r="Q3301" s="25"/>
      <c r="R3301" s="26" t="s">
        <v>10355</v>
      </c>
      <c r="S3301" s="26" t="s">
        <v>93</v>
      </c>
      <c r="T3301" s="6" t="str">
        <f>HYPERLINK("https://kanzpp.ru/api/getInfo/image/fac7fdb5-6996-11ed-a22a-00155d82e902")</f>
        <v>https://kanzpp.ru/api/getInfo/image/fac7fdb5-6996-11ed-a22a-00155d82e902</v>
      </c>
      <c r="U3301" s="6"/>
      <c r="V3301" s="33" t="s">
        <v>35</v>
      </c>
    </row>
    <row r="3302" spans="2:22" ht="21" customHeight="1" outlineLevel="4" x14ac:dyDescent="0.2">
      <c r="B3302" s="69">
        <v>2461</v>
      </c>
      <c r="C3302" s="6" t="s">
        <v>10356</v>
      </c>
      <c r="D3302" s="6" t="s">
        <v>10357</v>
      </c>
      <c r="E3302" s="7" t="s">
        <v>10358</v>
      </c>
      <c r="F3302" s="13"/>
      <c r="G3302" s="14"/>
      <c r="H3302" s="14"/>
      <c r="I3302" s="15">
        <v>20</v>
      </c>
      <c r="J3302" s="15">
        <v>61</v>
      </c>
      <c r="K3302" s="5">
        <v>5</v>
      </c>
      <c r="L3302" s="16">
        <v>26.533333333333331</v>
      </c>
      <c r="M3302" s="12"/>
      <c r="N3302" s="14">
        <f>L3302*M3302</f>
        <v>0</v>
      </c>
      <c r="O3302" s="23">
        <f>0.175*M3302</f>
        <v>0</v>
      </c>
      <c r="P3302" s="24">
        <f>0.00032*M3302</f>
        <v>0</v>
      </c>
      <c r="Q3302" s="25"/>
      <c r="R3302" s="26" t="s">
        <v>10359</v>
      </c>
      <c r="S3302" s="26" t="s">
        <v>93</v>
      </c>
      <c r="T3302" s="6" t="str">
        <f>HYPERLINK("https://kanzpp.ru/api/getInfo/image/5c7f0d2a-6997-11ed-a22a-00155d82e902")</f>
        <v>https://kanzpp.ru/api/getInfo/image/5c7f0d2a-6997-11ed-a22a-00155d82e902</v>
      </c>
      <c r="U3302" s="6"/>
      <c r="V3302" s="33" t="s">
        <v>35</v>
      </c>
    </row>
    <row r="3303" spans="2:22" ht="22.95" customHeight="1" outlineLevel="2" x14ac:dyDescent="0.2">
      <c r="B3303" s="80" t="s">
        <v>10360</v>
      </c>
      <c r="C3303" s="80"/>
      <c r="D3303" s="80"/>
      <c r="L3303">
        <v>0</v>
      </c>
    </row>
    <row r="3304" spans="2:22" ht="22.95" customHeight="1" outlineLevel="3" x14ac:dyDescent="0.2">
      <c r="B3304" s="81" t="s">
        <v>10361</v>
      </c>
      <c r="C3304" s="81"/>
      <c r="D3304" s="81"/>
      <c r="L3304">
        <v>0</v>
      </c>
    </row>
    <row r="3305" spans="2:22" ht="21" customHeight="1" outlineLevel="4" x14ac:dyDescent="0.2">
      <c r="B3305" s="69">
        <v>2462</v>
      </c>
      <c r="C3305" s="6" t="s">
        <v>10362</v>
      </c>
      <c r="D3305" s="6" t="s">
        <v>10363</v>
      </c>
      <c r="E3305" s="7" t="s">
        <v>10364</v>
      </c>
      <c r="F3305" s="13"/>
      <c r="G3305" s="14"/>
      <c r="H3305" s="15">
        <v>30</v>
      </c>
      <c r="I3305" s="14"/>
      <c r="J3305" s="15">
        <v>444</v>
      </c>
      <c r="K3305" s="5">
        <v>10</v>
      </c>
      <c r="L3305" s="16">
        <v>13.200000000000001</v>
      </c>
      <c r="M3305" s="12"/>
      <c r="N3305" s="14">
        <f>L3305*M3305</f>
        <v>0</v>
      </c>
      <c r="O3305" s="23">
        <f>0.077*M3305</f>
        <v>0</v>
      </c>
      <c r="P3305" s="24">
        <f>0.00012*M3305</f>
        <v>0</v>
      </c>
      <c r="Q3305" s="25"/>
      <c r="R3305" s="26" t="s">
        <v>10365</v>
      </c>
      <c r="S3305" s="26" t="s">
        <v>93</v>
      </c>
      <c r="T3305" s="6" t="str">
        <f>HYPERLINK("https://kanzpp.ru/api/getInfo/image/11275808-d3b8-11ed-a230-00155d82e902")</f>
        <v>https://kanzpp.ru/api/getInfo/image/11275808-d3b8-11ed-a230-00155d82e902</v>
      </c>
      <c r="U3305" s="6"/>
      <c r="V3305" s="33" t="s">
        <v>35</v>
      </c>
    </row>
    <row r="3306" spans="2:22" ht="22.95" customHeight="1" outlineLevel="3" x14ac:dyDescent="0.2">
      <c r="B3306" s="81" t="s">
        <v>10366</v>
      </c>
      <c r="C3306" s="81"/>
      <c r="D3306" s="81"/>
      <c r="L3306">
        <v>0</v>
      </c>
    </row>
    <row r="3307" spans="2:22" ht="21" customHeight="1" outlineLevel="4" x14ac:dyDescent="0.2">
      <c r="B3307" s="69">
        <v>2463</v>
      </c>
      <c r="C3307" s="6" t="s">
        <v>10367</v>
      </c>
      <c r="D3307" s="6" t="s">
        <v>10368</v>
      </c>
      <c r="E3307" s="7" t="s">
        <v>10369</v>
      </c>
      <c r="F3307" s="13"/>
      <c r="G3307" s="14"/>
      <c r="H3307" s="15">
        <v>27</v>
      </c>
      <c r="I3307" s="14"/>
      <c r="J3307" s="14" t="s">
        <v>144</v>
      </c>
      <c r="K3307" s="5">
        <v>4</v>
      </c>
      <c r="L3307" s="16">
        <v>96.373333333333335</v>
      </c>
      <c r="M3307" s="12"/>
      <c r="N3307" s="14">
        <f>L3307*M3307</f>
        <v>0</v>
      </c>
      <c r="O3307" s="23">
        <f>0.182*M3307</f>
        <v>0</v>
      </c>
      <c r="P3307" s="31">
        <f>0.0002*M3307</f>
        <v>0</v>
      </c>
      <c r="Q3307" s="25"/>
      <c r="R3307" s="26" t="s">
        <v>10370</v>
      </c>
      <c r="S3307" s="26" t="s">
        <v>93</v>
      </c>
      <c r="T3307" s="6" t="str">
        <f>HYPERLINK("https://kanzpp.ru/api/getInfo/image/c7284102-f8d4-11ef-a274-00155d82e908")</f>
        <v>https://kanzpp.ru/api/getInfo/image/c7284102-f8d4-11ef-a274-00155d82e908</v>
      </c>
      <c r="U3307" s="6"/>
      <c r="V3307" s="33" t="s">
        <v>35</v>
      </c>
    </row>
    <row r="3308" spans="2:22" ht="21" customHeight="1" outlineLevel="4" x14ac:dyDescent="0.2">
      <c r="B3308" s="69">
        <v>2464</v>
      </c>
      <c r="C3308" s="6" t="s">
        <v>10371</v>
      </c>
      <c r="D3308" s="6" t="s">
        <v>10372</v>
      </c>
      <c r="E3308" s="7" t="s">
        <v>10373</v>
      </c>
      <c r="F3308" s="13"/>
      <c r="G3308" s="14"/>
      <c r="H3308" s="15">
        <v>27</v>
      </c>
      <c r="I3308" s="14"/>
      <c r="J3308" s="14" t="s">
        <v>144</v>
      </c>
      <c r="K3308" s="5">
        <v>4</v>
      </c>
      <c r="L3308" s="16">
        <v>96.373333333333335</v>
      </c>
      <c r="M3308" s="12"/>
      <c r="N3308" s="14">
        <f>L3308*M3308</f>
        <v>0</v>
      </c>
      <c r="O3308" s="23">
        <f>0.188*M3308</f>
        <v>0</v>
      </c>
      <c r="P3308" s="24">
        <f>0.00021*M3308</f>
        <v>0</v>
      </c>
      <c r="Q3308" s="25"/>
      <c r="R3308" s="26" t="s">
        <v>10374</v>
      </c>
      <c r="S3308" s="26" t="s">
        <v>93</v>
      </c>
      <c r="T3308" s="6" t="str">
        <f>HYPERLINK("https://kanzpp.ru/api/getInfo/image/17efcd51-f8d5-11ef-a274-00155d82e908")</f>
        <v>https://kanzpp.ru/api/getInfo/image/17efcd51-f8d5-11ef-a274-00155d82e908</v>
      </c>
      <c r="U3308" s="6"/>
      <c r="V3308" s="33" t="s">
        <v>35</v>
      </c>
    </row>
    <row r="3309" spans="2:22" ht="21" customHeight="1" outlineLevel="4" x14ac:dyDescent="0.2">
      <c r="B3309" s="69">
        <v>2465</v>
      </c>
      <c r="C3309" s="6" t="s">
        <v>10375</v>
      </c>
      <c r="D3309" s="6" t="s">
        <v>10376</v>
      </c>
      <c r="E3309" s="7" t="s">
        <v>10377</v>
      </c>
      <c r="F3309" s="13"/>
      <c r="G3309" s="14"/>
      <c r="H3309" s="15">
        <v>27</v>
      </c>
      <c r="I3309" s="14"/>
      <c r="J3309" s="14" t="s">
        <v>144</v>
      </c>
      <c r="K3309" s="5">
        <v>4</v>
      </c>
      <c r="L3309" s="16">
        <v>96.373333333333335</v>
      </c>
      <c r="M3309" s="12"/>
      <c r="N3309" s="14">
        <f>L3309*M3309</f>
        <v>0</v>
      </c>
      <c r="O3309" s="23">
        <f>0.183*M3309</f>
        <v>0</v>
      </c>
      <c r="P3309" s="31">
        <f>0.0002*M3309</f>
        <v>0</v>
      </c>
      <c r="Q3309" s="25"/>
      <c r="R3309" s="26" t="s">
        <v>10378</v>
      </c>
      <c r="S3309" s="26" t="s">
        <v>93</v>
      </c>
      <c r="T3309" s="6" t="str">
        <f>HYPERLINK("https://kanzpp.ru/api/getInfo/image/fc3cacf0-f8d4-11ef-a274-00155d82e908")</f>
        <v>https://kanzpp.ru/api/getInfo/image/fc3cacf0-f8d4-11ef-a274-00155d82e908</v>
      </c>
      <c r="U3309" s="6"/>
      <c r="V3309" s="33" t="s">
        <v>35</v>
      </c>
    </row>
    <row r="3310" spans="2:22" ht="21" customHeight="1" outlineLevel="4" x14ac:dyDescent="0.2">
      <c r="B3310" s="69">
        <v>2466</v>
      </c>
      <c r="C3310" s="6" t="s">
        <v>10379</v>
      </c>
      <c r="D3310" s="6" t="s">
        <v>10380</v>
      </c>
      <c r="E3310" s="7" t="s">
        <v>10381</v>
      </c>
      <c r="F3310" s="13"/>
      <c r="G3310" s="14"/>
      <c r="H3310" s="15">
        <v>27</v>
      </c>
      <c r="I3310" s="14"/>
      <c r="J3310" s="14" t="s">
        <v>144</v>
      </c>
      <c r="K3310" s="5">
        <v>4</v>
      </c>
      <c r="L3310" s="16">
        <v>96.373333333333335</v>
      </c>
      <c r="M3310" s="12"/>
      <c r="N3310" s="14">
        <f>L3310*M3310</f>
        <v>0</v>
      </c>
      <c r="O3310" s="23">
        <f>0.175*M3310</f>
        <v>0</v>
      </c>
      <c r="P3310" s="31">
        <f>0.0002*M3310</f>
        <v>0</v>
      </c>
      <c r="Q3310" s="25"/>
      <c r="R3310" s="26" t="s">
        <v>10382</v>
      </c>
      <c r="S3310" s="26" t="s">
        <v>93</v>
      </c>
      <c r="T3310" s="6" t="str">
        <f>HYPERLINK("https://kanzpp.ru/api/getInfo/image/961a8928-f8d4-11ef-a274-00155d82e908")</f>
        <v>https://kanzpp.ru/api/getInfo/image/961a8928-f8d4-11ef-a274-00155d82e908</v>
      </c>
      <c r="U3310" s="6"/>
      <c r="V3310" s="33" t="s">
        <v>35</v>
      </c>
    </row>
    <row r="3311" spans="2:22" ht="22.95" customHeight="1" outlineLevel="3" x14ac:dyDescent="0.2">
      <c r="B3311" s="81" t="s">
        <v>10383</v>
      </c>
      <c r="C3311" s="81"/>
      <c r="D3311" s="81"/>
      <c r="L3311">
        <v>0</v>
      </c>
    </row>
    <row r="3312" spans="2:22" ht="21" customHeight="1" outlineLevel="4" x14ac:dyDescent="0.2">
      <c r="B3312" s="69">
        <v>2467</v>
      </c>
      <c r="C3312" s="6" t="s">
        <v>10384</v>
      </c>
      <c r="D3312" s="6" t="s">
        <v>10385</v>
      </c>
      <c r="E3312" s="7" t="s">
        <v>10386</v>
      </c>
      <c r="F3312" s="13"/>
      <c r="G3312" s="14"/>
      <c r="H3312" s="15">
        <v>27</v>
      </c>
      <c r="I3312" s="14"/>
      <c r="J3312" s="15">
        <v>376</v>
      </c>
      <c r="K3312" s="5">
        <v>4</v>
      </c>
      <c r="L3312" s="16">
        <v>13.200000000000001</v>
      </c>
      <c r="M3312" s="12"/>
      <c r="N3312" s="14">
        <f>L3312*M3312</f>
        <v>0</v>
      </c>
      <c r="O3312" s="28">
        <f>0.13*M3312</f>
        <v>0</v>
      </c>
      <c r="P3312" s="24">
        <f>0.00015*M3312</f>
        <v>0</v>
      </c>
      <c r="Q3312" s="25"/>
      <c r="R3312" s="26" t="s">
        <v>10387</v>
      </c>
      <c r="S3312" s="26" t="s">
        <v>93</v>
      </c>
      <c r="T3312" s="6" t="str">
        <f>HYPERLINK("https://kanzpp.ru/api/getInfo/image/0efb5039-84c4-11ec-a211-ac1f6b442185")</f>
        <v>https://kanzpp.ru/api/getInfo/image/0efb5039-84c4-11ec-a211-ac1f6b442185</v>
      </c>
      <c r="U3312" s="6"/>
      <c r="V3312" s="33" t="s">
        <v>35</v>
      </c>
    </row>
    <row r="3313" spans="2:22" ht="22.95" customHeight="1" outlineLevel="3" x14ac:dyDescent="0.2">
      <c r="B3313" s="81" t="s">
        <v>10388</v>
      </c>
      <c r="C3313" s="81"/>
      <c r="D3313" s="81"/>
      <c r="L3313">
        <v>0</v>
      </c>
    </row>
    <row r="3314" spans="2:22" ht="21" customHeight="1" outlineLevel="4" x14ac:dyDescent="0.2">
      <c r="B3314" s="69">
        <v>2468</v>
      </c>
      <c r="C3314" s="6" t="s">
        <v>10389</v>
      </c>
      <c r="D3314" s="6" t="s">
        <v>10390</v>
      </c>
      <c r="E3314" s="7" t="s">
        <v>10391</v>
      </c>
      <c r="F3314" s="13"/>
      <c r="G3314" s="14"/>
      <c r="H3314" s="15">
        <v>16</v>
      </c>
      <c r="I3314" s="14"/>
      <c r="J3314" s="15">
        <v>411</v>
      </c>
      <c r="K3314" s="5">
        <v>4</v>
      </c>
      <c r="L3314" s="16">
        <v>98.48</v>
      </c>
      <c r="M3314" s="12"/>
      <c r="N3314" s="14">
        <f>L3314*M3314</f>
        <v>0</v>
      </c>
      <c r="O3314" s="28">
        <f>0.21*M3314</f>
        <v>0</v>
      </c>
      <c r="P3314" s="31">
        <f>0.0004*M3314</f>
        <v>0</v>
      </c>
      <c r="Q3314" s="25"/>
      <c r="R3314" s="26" t="s">
        <v>10392</v>
      </c>
      <c r="S3314" s="26" t="s">
        <v>93</v>
      </c>
      <c r="T3314" s="6" t="str">
        <f>HYPERLINK("https://kanzpp.ru/api/getInfo/image/45f2aa73-f2a5-11e5-b4aa-5cf3fc4a2490")</f>
        <v>https://kanzpp.ru/api/getInfo/image/45f2aa73-f2a5-11e5-b4aa-5cf3fc4a2490</v>
      </c>
      <c r="U3314" s="6"/>
      <c r="V3314" s="33" t="s">
        <v>35</v>
      </c>
    </row>
    <row r="3315" spans="2:22" ht="21" customHeight="1" outlineLevel="4" x14ac:dyDescent="0.2">
      <c r="B3315" s="69">
        <v>2469</v>
      </c>
      <c r="C3315" s="6" t="s">
        <v>10393</v>
      </c>
      <c r="D3315" s="6" t="s">
        <v>10394</v>
      </c>
      <c r="E3315" s="7" t="s">
        <v>10395</v>
      </c>
      <c r="F3315" s="13"/>
      <c r="G3315" s="14"/>
      <c r="H3315" s="15">
        <v>16</v>
      </c>
      <c r="I3315" s="14"/>
      <c r="J3315" s="14" t="s">
        <v>144</v>
      </c>
      <c r="K3315" s="5">
        <v>4</v>
      </c>
      <c r="L3315" s="16">
        <v>98.48</v>
      </c>
      <c r="M3315" s="12"/>
      <c r="N3315" s="14">
        <f>L3315*M3315</f>
        <v>0</v>
      </c>
      <c r="O3315" s="23">
        <f>0.205*M3315</f>
        <v>0</v>
      </c>
      <c r="P3315" s="24">
        <f>0.00041*M3315</f>
        <v>0</v>
      </c>
      <c r="Q3315" s="25"/>
      <c r="R3315" s="26" t="s">
        <v>10396</v>
      </c>
      <c r="S3315" s="26" t="s">
        <v>93</v>
      </c>
      <c r="T3315" s="6" t="str">
        <f>HYPERLINK("https://kanzpp.ru/api/getInfo/image/396c5396-f2a5-11e5-b4aa-5cf3fc4a2490")</f>
        <v>https://kanzpp.ru/api/getInfo/image/396c5396-f2a5-11e5-b4aa-5cf3fc4a2490</v>
      </c>
      <c r="U3315" s="6"/>
      <c r="V3315" s="33" t="s">
        <v>35</v>
      </c>
    </row>
    <row r="3316" spans="2:22" ht="21" customHeight="1" outlineLevel="4" x14ac:dyDescent="0.2">
      <c r="B3316" s="69">
        <v>2470</v>
      </c>
      <c r="C3316" s="6" t="s">
        <v>10397</v>
      </c>
      <c r="D3316" s="6" t="s">
        <v>10398</v>
      </c>
      <c r="E3316" s="7" t="s">
        <v>10399</v>
      </c>
      <c r="F3316" s="13"/>
      <c r="G3316" s="14"/>
      <c r="H3316" s="15">
        <v>16</v>
      </c>
      <c r="I3316" s="14"/>
      <c r="J3316" s="15">
        <v>291</v>
      </c>
      <c r="K3316" s="5">
        <v>4</v>
      </c>
      <c r="L3316" s="16">
        <v>98.48</v>
      </c>
      <c r="M3316" s="12"/>
      <c r="N3316" s="14">
        <f>L3316*M3316</f>
        <v>0</v>
      </c>
      <c r="O3316" s="27">
        <f>0.1*M3316</f>
        <v>0</v>
      </c>
      <c r="P3316" s="31">
        <f>0.0004*M3316</f>
        <v>0</v>
      </c>
      <c r="Q3316" s="25"/>
      <c r="R3316" s="26" t="s">
        <v>10400</v>
      </c>
      <c r="S3316" s="26" t="s">
        <v>93</v>
      </c>
      <c r="T3316" s="6" t="str">
        <f>HYPERLINK("https://kanzpp.ru/api/getInfo/image/45f2aa75-f2a5-11e5-b4aa-5cf3fc4a2490")</f>
        <v>https://kanzpp.ru/api/getInfo/image/45f2aa75-f2a5-11e5-b4aa-5cf3fc4a2490</v>
      </c>
      <c r="U3316" s="6"/>
      <c r="V3316" s="33" t="s">
        <v>35</v>
      </c>
    </row>
    <row r="3317" spans="2:22" ht="21" customHeight="1" outlineLevel="4" x14ac:dyDescent="0.2">
      <c r="B3317" s="69">
        <v>2471</v>
      </c>
      <c r="C3317" s="6" t="s">
        <v>10401</v>
      </c>
      <c r="D3317" s="6" t="s">
        <v>10402</v>
      </c>
      <c r="E3317" s="7" t="s">
        <v>10403</v>
      </c>
      <c r="F3317" s="13"/>
      <c r="G3317" s="14"/>
      <c r="H3317" s="15">
        <v>16</v>
      </c>
      <c r="I3317" s="14"/>
      <c r="J3317" s="15">
        <v>331</v>
      </c>
      <c r="K3317" s="5">
        <v>4</v>
      </c>
      <c r="L3317" s="16">
        <v>98.48</v>
      </c>
      <c r="M3317" s="12"/>
      <c r="N3317" s="14">
        <f>L3317*M3317</f>
        <v>0</v>
      </c>
      <c r="O3317" s="28">
        <f>0.21*M3317</f>
        <v>0</v>
      </c>
      <c r="P3317" s="31">
        <f>0.0004*M3317</f>
        <v>0</v>
      </c>
      <c r="Q3317" s="25"/>
      <c r="R3317" s="26" t="s">
        <v>10404</v>
      </c>
      <c r="S3317" s="26" t="s">
        <v>93</v>
      </c>
      <c r="T3317" s="6" t="str">
        <f>HYPERLINK("https://kanzpp.ru/api/getInfo/image/4bef9d70-f2a5-11e5-b4aa-5cf3fc4a2490")</f>
        <v>https://kanzpp.ru/api/getInfo/image/4bef9d70-f2a5-11e5-b4aa-5cf3fc4a2490</v>
      </c>
      <c r="U3317" s="6"/>
      <c r="V3317" s="33" t="s">
        <v>35</v>
      </c>
    </row>
    <row r="3318" spans="2:22" ht="21" customHeight="1" outlineLevel="4" x14ac:dyDescent="0.2">
      <c r="B3318" s="69">
        <v>2472</v>
      </c>
      <c r="C3318" s="6" t="s">
        <v>10405</v>
      </c>
      <c r="D3318" s="6" t="s">
        <v>10406</v>
      </c>
      <c r="E3318" s="7" t="s">
        <v>10407</v>
      </c>
      <c r="F3318" s="13"/>
      <c r="G3318" s="14"/>
      <c r="H3318" s="15">
        <v>16</v>
      </c>
      <c r="I3318" s="14"/>
      <c r="J3318" s="14" t="s">
        <v>144</v>
      </c>
      <c r="K3318" s="5">
        <v>4</v>
      </c>
      <c r="L3318" s="16">
        <v>98.48</v>
      </c>
      <c r="M3318" s="12"/>
      <c r="N3318" s="14">
        <f>L3318*M3318</f>
        <v>0</v>
      </c>
      <c r="O3318" s="23">
        <f>0.205*M3318</f>
        <v>0</v>
      </c>
      <c r="P3318" s="24">
        <f>0.00041*M3318</f>
        <v>0</v>
      </c>
      <c r="Q3318" s="25"/>
      <c r="R3318" s="26" t="s">
        <v>10408</v>
      </c>
      <c r="S3318" s="26" t="s">
        <v>93</v>
      </c>
      <c r="T3318" s="6" t="str">
        <f>HYPERLINK("https://kanzpp.ru/api/getInfo/image/2c1ba82e-f2a5-11e5-b4aa-5cf3fc4a2490")</f>
        <v>https://kanzpp.ru/api/getInfo/image/2c1ba82e-f2a5-11e5-b4aa-5cf3fc4a2490</v>
      </c>
      <c r="U3318" s="6"/>
      <c r="V3318" s="33" t="s">
        <v>35</v>
      </c>
    </row>
    <row r="3319" spans="2:22" ht="22.95" customHeight="1" outlineLevel="3" x14ac:dyDescent="0.2">
      <c r="B3319" s="81" t="s">
        <v>10409</v>
      </c>
      <c r="C3319" s="81"/>
      <c r="D3319" s="81"/>
      <c r="L3319">
        <v>0</v>
      </c>
    </row>
    <row r="3320" spans="2:22" ht="22.95" customHeight="1" outlineLevel="4" x14ac:dyDescent="0.2">
      <c r="B3320" s="82" t="s">
        <v>10410</v>
      </c>
      <c r="C3320" s="82"/>
      <c r="D3320" s="82"/>
      <c r="L3320">
        <v>0</v>
      </c>
    </row>
    <row r="3321" spans="2:22" ht="21" customHeight="1" outlineLevel="5" x14ac:dyDescent="0.2">
      <c r="B3321" s="69">
        <v>2473</v>
      </c>
      <c r="C3321" s="6" t="s">
        <v>10411</v>
      </c>
      <c r="D3321" s="6" t="s">
        <v>10412</v>
      </c>
      <c r="E3321" s="7" t="s">
        <v>10413</v>
      </c>
      <c r="F3321" s="13"/>
      <c r="G3321" s="14"/>
      <c r="H3321" s="15">
        <v>40</v>
      </c>
      <c r="I3321" s="15">
        <v>20</v>
      </c>
      <c r="J3321" s="14" t="s">
        <v>144</v>
      </c>
      <c r="K3321" s="5">
        <v>3</v>
      </c>
      <c r="L3321" s="16">
        <v>130.18666666666667</v>
      </c>
      <c r="M3321" s="12"/>
      <c r="N3321" s="14">
        <f t="shared" ref="N3321:N3331" si="153">L3321*M3321</f>
        <v>0</v>
      </c>
      <c r="O3321" s="23">
        <f>0.248*M3321</f>
        <v>0</v>
      </c>
      <c r="P3321" s="24">
        <f>0.00074*M3321</f>
        <v>0</v>
      </c>
      <c r="Q3321" s="25"/>
      <c r="R3321" s="26" t="s">
        <v>10414</v>
      </c>
      <c r="S3321" s="26" t="s">
        <v>93</v>
      </c>
      <c r="T3321" s="6" t="str">
        <f>HYPERLINK("https://kanzpp.ru/api/getInfo/image/1a0a1b36-9438-11ee-a250-00155d82e908")</f>
        <v>https://kanzpp.ru/api/getInfo/image/1a0a1b36-9438-11ee-a250-00155d82e908</v>
      </c>
      <c r="U3321" s="6"/>
      <c r="V3321" s="33" t="s">
        <v>35</v>
      </c>
    </row>
    <row r="3322" spans="2:22" ht="21" customHeight="1" outlineLevel="5" x14ac:dyDescent="0.2">
      <c r="B3322" s="69">
        <v>2474</v>
      </c>
      <c r="C3322" s="6" t="s">
        <v>10415</v>
      </c>
      <c r="D3322" s="6" t="s">
        <v>10416</v>
      </c>
      <c r="E3322" s="7" t="s">
        <v>10417</v>
      </c>
      <c r="F3322" s="13"/>
      <c r="G3322" s="14"/>
      <c r="H3322" s="15">
        <v>40</v>
      </c>
      <c r="I3322" s="15">
        <v>20</v>
      </c>
      <c r="J3322" s="14" t="s">
        <v>144</v>
      </c>
      <c r="K3322" s="5">
        <v>3</v>
      </c>
      <c r="L3322" s="16">
        <v>130.18666666666667</v>
      </c>
      <c r="M3322" s="12"/>
      <c r="N3322" s="14">
        <f t="shared" si="153"/>
        <v>0</v>
      </c>
      <c r="O3322" s="23">
        <f>0.249*M3322</f>
        <v>0</v>
      </c>
      <c r="P3322" s="24">
        <f>0.00045*M3322</f>
        <v>0</v>
      </c>
      <c r="Q3322" s="25"/>
      <c r="R3322" s="26" t="s">
        <v>10418</v>
      </c>
      <c r="S3322" s="26" t="s">
        <v>93</v>
      </c>
      <c r="T3322" s="6" t="str">
        <f>HYPERLINK("https://kanzpp.ru/api/getInfo/image/e916bef1-9437-11ee-a250-00155d82e908")</f>
        <v>https://kanzpp.ru/api/getInfo/image/e916bef1-9437-11ee-a250-00155d82e908</v>
      </c>
      <c r="U3322" s="6"/>
      <c r="V3322" s="33" t="s">
        <v>35</v>
      </c>
    </row>
    <row r="3323" spans="2:22" ht="21" customHeight="1" outlineLevel="5" x14ac:dyDescent="0.2">
      <c r="B3323" s="69">
        <v>2475</v>
      </c>
      <c r="C3323" s="6" t="s">
        <v>10419</v>
      </c>
      <c r="D3323" s="6" t="s">
        <v>10420</v>
      </c>
      <c r="E3323" s="7" t="s">
        <v>10421</v>
      </c>
      <c r="F3323" s="13"/>
      <c r="G3323" s="14"/>
      <c r="H3323" s="15">
        <v>40</v>
      </c>
      <c r="I3323" s="15">
        <v>20</v>
      </c>
      <c r="J3323" s="15">
        <v>1</v>
      </c>
      <c r="K3323" s="5">
        <v>1</v>
      </c>
      <c r="L3323" s="16">
        <v>130.18666666666667</v>
      </c>
      <c r="M3323" s="12"/>
      <c r="N3323" s="14">
        <f t="shared" si="153"/>
        <v>0</v>
      </c>
      <c r="O3323" s="23">
        <f>0.253*M3323</f>
        <v>0</v>
      </c>
      <c r="P3323" s="24">
        <f>0.00045*M3323</f>
        <v>0</v>
      </c>
      <c r="Q3323" s="25"/>
      <c r="R3323" s="26" t="s">
        <v>10422</v>
      </c>
      <c r="S3323" s="26" t="s">
        <v>93</v>
      </c>
      <c r="T3323" s="6" t="str">
        <f>HYPERLINK("https://kanzpp.ru/api/getInfo/image/86808311-9438-11ee-a250-00155d82e908")</f>
        <v>https://kanzpp.ru/api/getInfo/image/86808311-9438-11ee-a250-00155d82e908</v>
      </c>
      <c r="U3323" s="6"/>
      <c r="V3323" s="33" t="s">
        <v>35</v>
      </c>
    </row>
    <row r="3324" spans="2:22" ht="21" customHeight="1" outlineLevel="5" x14ac:dyDescent="0.2">
      <c r="B3324" s="69">
        <v>2476</v>
      </c>
      <c r="C3324" s="6" t="s">
        <v>10423</v>
      </c>
      <c r="D3324" s="6" t="s">
        <v>10424</v>
      </c>
      <c r="E3324" s="7" t="s">
        <v>10425</v>
      </c>
      <c r="F3324" s="13"/>
      <c r="G3324" s="14"/>
      <c r="H3324" s="15">
        <v>40</v>
      </c>
      <c r="I3324" s="15">
        <v>20</v>
      </c>
      <c r="J3324" s="14" t="s">
        <v>144</v>
      </c>
      <c r="K3324" s="5">
        <v>3</v>
      </c>
      <c r="L3324" s="16">
        <v>130.18666666666667</v>
      </c>
      <c r="M3324" s="12"/>
      <c r="N3324" s="14">
        <f t="shared" si="153"/>
        <v>0</v>
      </c>
      <c r="O3324" s="28">
        <f>0.25*M3324</f>
        <v>0</v>
      </c>
      <c r="P3324" s="24">
        <f>0.00078*M3324</f>
        <v>0</v>
      </c>
      <c r="Q3324" s="25"/>
      <c r="R3324" s="26" t="s">
        <v>10426</v>
      </c>
      <c r="S3324" s="26" t="s">
        <v>93</v>
      </c>
      <c r="T3324" s="6" t="str">
        <f>HYPERLINK("https://kanzpp.ru/api/getInfo/image/4d7c6ee7-9438-11ee-a250-00155d82e908")</f>
        <v>https://kanzpp.ru/api/getInfo/image/4d7c6ee7-9438-11ee-a250-00155d82e908</v>
      </c>
      <c r="U3324" s="6"/>
      <c r="V3324" s="33" t="s">
        <v>35</v>
      </c>
    </row>
    <row r="3325" spans="2:22" ht="21" customHeight="1" outlineLevel="5" x14ac:dyDescent="0.2">
      <c r="B3325" s="69">
        <v>2477</v>
      </c>
      <c r="C3325" s="6" t="s">
        <v>10427</v>
      </c>
      <c r="D3325" s="6" t="s">
        <v>10428</v>
      </c>
      <c r="E3325" s="7" t="s">
        <v>10429</v>
      </c>
      <c r="F3325" s="13"/>
      <c r="G3325" s="14"/>
      <c r="H3325" s="15">
        <v>40</v>
      </c>
      <c r="I3325" s="15">
        <v>20</v>
      </c>
      <c r="J3325" s="14" t="s">
        <v>144</v>
      </c>
      <c r="K3325" s="5">
        <v>3</v>
      </c>
      <c r="L3325" s="16">
        <v>130.18666666666667</v>
      </c>
      <c r="M3325" s="12"/>
      <c r="N3325" s="14">
        <f t="shared" si="153"/>
        <v>0</v>
      </c>
      <c r="O3325" s="23">
        <f>0.252*M3325</f>
        <v>0</v>
      </c>
      <c r="P3325" s="24">
        <f>0.00045*M3325</f>
        <v>0</v>
      </c>
      <c r="Q3325" s="25"/>
      <c r="R3325" s="26" t="s">
        <v>10430</v>
      </c>
      <c r="S3325" s="26" t="s">
        <v>93</v>
      </c>
      <c r="T3325" s="6" t="str">
        <f>HYPERLINK("https://kanzpp.ru/api/getInfo/image/f412a34e-9438-11ee-a250-00155d82e908")</f>
        <v>https://kanzpp.ru/api/getInfo/image/f412a34e-9438-11ee-a250-00155d82e908</v>
      </c>
      <c r="U3325" s="6"/>
      <c r="V3325" s="33" t="s">
        <v>35</v>
      </c>
    </row>
    <row r="3326" spans="2:22" ht="21" customHeight="1" outlineLevel="5" x14ac:dyDescent="0.2">
      <c r="B3326" s="69">
        <v>2478</v>
      </c>
      <c r="C3326" s="6" t="s">
        <v>10431</v>
      </c>
      <c r="D3326" s="6" t="s">
        <v>10432</v>
      </c>
      <c r="E3326" s="7" t="s">
        <v>10433</v>
      </c>
      <c r="F3326" s="13"/>
      <c r="G3326" s="14"/>
      <c r="H3326" s="15">
        <v>40</v>
      </c>
      <c r="I3326" s="15">
        <v>20</v>
      </c>
      <c r="J3326" s="15">
        <v>147</v>
      </c>
      <c r="K3326" s="5">
        <v>3</v>
      </c>
      <c r="L3326" s="16">
        <v>125.98666666666666</v>
      </c>
      <c r="M3326" s="12"/>
      <c r="N3326" s="14">
        <f t="shared" si="153"/>
        <v>0</v>
      </c>
      <c r="O3326" s="23">
        <f>0.249*M3326</f>
        <v>0</v>
      </c>
      <c r="P3326" s="24">
        <f>0.00013*M3326</f>
        <v>0</v>
      </c>
      <c r="Q3326" s="25"/>
      <c r="R3326" s="26" t="s">
        <v>10434</v>
      </c>
      <c r="S3326" s="26" t="s">
        <v>93</v>
      </c>
      <c r="T3326" s="6" t="str">
        <f>HYPERLINK("https://kanzpp.ru/api/getInfo/image/3fea512b-81c6-11ed-a22a-00155d82e902")</f>
        <v>https://kanzpp.ru/api/getInfo/image/3fea512b-81c6-11ed-a22a-00155d82e902</v>
      </c>
      <c r="U3326" s="6"/>
      <c r="V3326" s="33" t="s">
        <v>35</v>
      </c>
    </row>
    <row r="3327" spans="2:22" ht="21" customHeight="1" outlineLevel="5" x14ac:dyDescent="0.2">
      <c r="B3327" s="69">
        <v>2479</v>
      </c>
      <c r="C3327" s="6" t="s">
        <v>10435</v>
      </c>
      <c r="D3327" s="6" t="s">
        <v>10436</v>
      </c>
      <c r="E3327" s="7" t="s">
        <v>10437</v>
      </c>
      <c r="F3327" s="13"/>
      <c r="G3327" s="14"/>
      <c r="H3327" s="15">
        <v>40</v>
      </c>
      <c r="I3327" s="15">
        <v>20</v>
      </c>
      <c r="J3327" s="14" t="s">
        <v>144</v>
      </c>
      <c r="K3327" s="5">
        <v>3</v>
      </c>
      <c r="L3327" s="16">
        <v>125.98666666666666</v>
      </c>
      <c r="M3327" s="12"/>
      <c r="N3327" s="14">
        <f t="shared" si="153"/>
        <v>0</v>
      </c>
      <c r="O3327" s="23">
        <f>0.248*M3327</f>
        <v>0</v>
      </c>
      <c r="P3327" s="24">
        <f>0.00018*M3327</f>
        <v>0</v>
      </c>
      <c r="Q3327" s="25"/>
      <c r="R3327" s="26" t="s">
        <v>10438</v>
      </c>
      <c r="S3327" s="26" t="s">
        <v>93</v>
      </c>
      <c r="T3327" s="6" t="str">
        <f>HYPERLINK("https://kanzpp.ru/api/getInfo/image/623aa805-81c7-11ed-a22a-00155d82e902")</f>
        <v>https://kanzpp.ru/api/getInfo/image/623aa805-81c7-11ed-a22a-00155d82e902</v>
      </c>
      <c r="U3327" s="6"/>
      <c r="V3327" s="33" t="s">
        <v>35</v>
      </c>
    </row>
    <row r="3328" spans="2:22" ht="21" customHeight="1" outlineLevel="5" x14ac:dyDescent="0.2">
      <c r="B3328" s="69">
        <v>2480</v>
      </c>
      <c r="C3328" s="6" t="s">
        <v>10439</v>
      </c>
      <c r="D3328" s="6" t="s">
        <v>10440</v>
      </c>
      <c r="E3328" s="7" t="s">
        <v>10441</v>
      </c>
      <c r="F3328" s="13"/>
      <c r="G3328" s="14"/>
      <c r="H3328" s="15">
        <v>40</v>
      </c>
      <c r="I3328" s="15">
        <v>20</v>
      </c>
      <c r="J3328" s="14" t="s">
        <v>144</v>
      </c>
      <c r="K3328" s="5">
        <v>3</v>
      </c>
      <c r="L3328" s="16">
        <v>125.98666666666666</v>
      </c>
      <c r="M3328" s="12"/>
      <c r="N3328" s="14">
        <f t="shared" si="153"/>
        <v>0</v>
      </c>
      <c r="O3328" s="23">
        <f>0.249*M3328</f>
        <v>0</v>
      </c>
      <c r="P3328" s="24">
        <f>0.00062*M3328</f>
        <v>0</v>
      </c>
      <c r="Q3328" s="25"/>
      <c r="R3328" s="26" t="s">
        <v>10442</v>
      </c>
      <c r="S3328" s="26" t="s">
        <v>93</v>
      </c>
      <c r="T3328" s="6" t="str">
        <f>HYPERLINK("https://kanzpp.ru/api/getInfo/image/f8439460-81c6-11ed-a22a-00155d82e902")</f>
        <v>https://kanzpp.ru/api/getInfo/image/f8439460-81c6-11ed-a22a-00155d82e902</v>
      </c>
      <c r="U3328" s="6"/>
      <c r="V3328" s="33" t="s">
        <v>35</v>
      </c>
    </row>
    <row r="3329" spans="2:22" ht="21" customHeight="1" outlineLevel="5" x14ac:dyDescent="0.2">
      <c r="B3329" s="69">
        <v>2481</v>
      </c>
      <c r="C3329" s="6" t="s">
        <v>10443</v>
      </c>
      <c r="D3329" s="6" t="s">
        <v>10444</v>
      </c>
      <c r="E3329" s="7" t="s">
        <v>10445</v>
      </c>
      <c r="F3329" s="13"/>
      <c r="G3329" s="14"/>
      <c r="H3329" s="15">
        <v>40</v>
      </c>
      <c r="I3329" s="15">
        <v>20</v>
      </c>
      <c r="J3329" s="14" t="s">
        <v>144</v>
      </c>
      <c r="K3329" s="5">
        <v>3</v>
      </c>
      <c r="L3329" s="16">
        <v>125.98666666666666</v>
      </c>
      <c r="M3329" s="12"/>
      <c r="N3329" s="14">
        <f t="shared" si="153"/>
        <v>0</v>
      </c>
      <c r="O3329" s="23">
        <f>0.255*M3329</f>
        <v>0</v>
      </c>
      <c r="P3329" s="24">
        <f>0.00009*M3329</f>
        <v>0</v>
      </c>
      <c r="Q3329" s="25"/>
      <c r="R3329" s="26" t="s">
        <v>10446</v>
      </c>
      <c r="S3329" s="26" t="s">
        <v>93</v>
      </c>
      <c r="T3329" s="6" t="str">
        <f>HYPERLINK("https://kanzpp.ru/api/getInfo/image/c692fad1-81c6-11ed-a22a-00155d82e902")</f>
        <v>https://kanzpp.ru/api/getInfo/image/c692fad1-81c6-11ed-a22a-00155d82e902</v>
      </c>
      <c r="U3329" s="6"/>
      <c r="V3329" s="33" t="s">
        <v>35</v>
      </c>
    </row>
    <row r="3330" spans="2:22" ht="21" customHeight="1" outlineLevel="5" x14ac:dyDescent="0.2">
      <c r="B3330" s="69">
        <v>2482</v>
      </c>
      <c r="C3330" s="6" t="s">
        <v>10447</v>
      </c>
      <c r="D3330" s="6" t="s">
        <v>10448</v>
      </c>
      <c r="E3330" s="7" t="s">
        <v>10449</v>
      </c>
      <c r="F3330" s="13"/>
      <c r="G3330" s="14"/>
      <c r="H3330" s="15">
        <v>40</v>
      </c>
      <c r="I3330" s="15">
        <v>20</v>
      </c>
      <c r="J3330" s="14" t="s">
        <v>144</v>
      </c>
      <c r="K3330" s="5">
        <v>3</v>
      </c>
      <c r="L3330" s="16">
        <v>125.98666666666666</v>
      </c>
      <c r="M3330" s="12"/>
      <c r="N3330" s="14">
        <f t="shared" si="153"/>
        <v>0</v>
      </c>
      <c r="O3330" s="23">
        <f>0.246*M3330</f>
        <v>0</v>
      </c>
      <c r="P3330" s="24">
        <f>0.00061*M3330</f>
        <v>0</v>
      </c>
      <c r="Q3330" s="25"/>
      <c r="R3330" s="26" t="s">
        <v>10450</v>
      </c>
      <c r="S3330" s="26" t="s">
        <v>93</v>
      </c>
      <c r="T3330" s="6" t="str">
        <f>HYPERLINK("https://kanzpp.ru/api/getInfo/image/36f8292e-81c7-11ed-a22a-00155d82e902")</f>
        <v>https://kanzpp.ru/api/getInfo/image/36f8292e-81c7-11ed-a22a-00155d82e902</v>
      </c>
      <c r="U3330" s="6"/>
      <c r="V3330" s="33" t="s">
        <v>35</v>
      </c>
    </row>
    <row r="3331" spans="2:22" ht="21" customHeight="1" outlineLevel="5" x14ac:dyDescent="0.2">
      <c r="B3331" s="69">
        <v>2483</v>
      </c>
      <c r="C3331" s="6" t="s">
        <v>10451</v>
      </c>
      <c r="D3331" s="6" t="s">
        <v>10452</v>
      </c>
      <c r="E3331" s="7" t="s">
        <v>10453</v>
      </c>
      <c r="F3331" s="13"/>
      <c r="G3331" s="14"/>
      <c r="H3331" s="15">
        <v>40</v>
      </c>
      <c r="I3331" s="15">
        <v>20</v>
      </c>
      <c r="J3331" s="15">
        <v>77</v>
      </c>
      <c r="K3331" s="5">
        <v>3</v>
      </c>
      <c r="L3331" s="16">
        <v>125.98666666666666</v>
      </c>
      <c r="M3331" s="12"/>
      <c r="N3331" s="14">
        <f t="shared" si="153"/>
        <v>0</v>
      </c>
      <c r="O3331" s="23">
        <f>0.254*M3331</f>
        <v>0</v>
      </c>
      <c r="P3331" s="24">
        <f>0.00079*M3331</f>
        <v>0</v>
      </c>
      <c r="Q3331" s="25"/>
      <c r="R3331" s="26" t="s">
        <v>10454</v>
      </c>
      <c r="S3331" s="26" t="s">
        <v>93</v>
      </c>
      <c r="T3331" s="6" t="str">
        <f>HYPERLINK("https://kanzpp.ru/api/getInfo/image/9b5c9565-81c6-11ed-a22a-00155d82e902")</f>
        <v>https://kanzpp.ru/api/getInfo/image/9b5c9565-81c6-11ed-a22a-00155d82e902</v>
      </c>
      <c r="U3331" s="6"/>
      <c r="V3331" s="33" t="s">
        <v>35</v>
      </c>
    </row>
    <row r="3332" spans="2:22" ht="22.95" customHeight="1" outlineLevel="4" x14ac:dyDescent="0.2">
      <c r="B3332" s="82" t="s">
        <v>10455</v>
      </c>
      <c r="C3332" s="82"/>
      <c r="D3332" s="82"/>
      <c r="L3332">
        <v>0</v>
      </c>
    </row>
    <row r="3333" spans="2:22" ht="21" customHeight="1" outlineLevel="5" x14ac:dyDescent="0.2">
      <c r="B3333" s="69">
        <v>2484</v>
      </c>
      <c r="C3333" s="6" t="s">
        <v>10456</v>
      </c>
      <c r="D3333" s="6" t="s">
        <v>10457</v>
      </c>
      <c r="E3333" s="7" t="s">
        <v>10458</v>
      </c>
      <c r="F3333" s="13"/>
      <c r="G3333" s="14"/>
      <c r="H3333" s="15">
        <v>40</v>
      </c>
      <c r="I3333" s="15">
        <v>20</v>
      </c>
      <c r="J3333" s="14" t="s">
        <v>144</v>
      </c>
      <c r="K3333" s="5">
        <v>3</v>
      </c>
      <c r="L3333" s="16">
        <v>140.68</v>
      </c>
      <c r="M3333" s="12"/>
      <c r="N3333" s="14">
        <f t="shared" ref="N3333:N3338" si="154">L3333*M3333</f>
        <v>0</v>
      </c>
      <c r="O3333" s="23">
        <f>0.253*M3333</f>
        <v>0</v>
      </c>
      <c r="P3333" s="24">
        <f>0.00045*M3333</f>
        <v>0</v>
      </c>
      <c r="Q3333" s="25"/>
      <c r="R3333" s="26" t="s">
        <v>10459</v>
      </c>
      <c r="S3333" s="26" t="s">
        <v>93</v>
      </c>
      <c r="T3333" s="6" t="str">
        <f>HYPERLINK("https://kanzpp.ru/api/getInfo/image/0d9f0c3a-943e-11ee-a250-00155d82e908")</f>
        <v>https://kanzpp.ru/api/getInfo/image/0d9f0c3a-943e-11ee-a250-00155d82e908</v>
      </c>
      <c r="U3333" s="6"/>
      <c r="V3333" s="33" t="s">
        <v>35</v>
      </c>
    </row>
    <row r="3334" spans="2:22" ht="21" customHeight="1" outlineLevel="5" x14ac:dyDescent="0.2">
      <c r="B3334" s="69">
        <v>2485</v>
      </c>
      <c r="C3334" s="6" t="s">
        <v>10460</v>
      </c>
      <c r="D3334" s="6" t="s">
        <v>10461</v>
      </c>
      <c r="E3334" s="7" t="s">
        <v>10462</v>
      </c>
      <c r="F3334" s="13"/>
      <c r="G3334" s="14"/>
      <c r="H3334" s="15">
        <v>40</v>
      </c>
      <c r="I3334" s="15">
        <v>20</v>
      </c>
      <c r="J3334" s="14" t="s">
        <v>144</v>
      </c>
      <c r="K3334" s="5">
        <v>3</v>
      </c>
      <c r="L3334" s="16">
        <v>140.68</v>
      </c>
      <c r="M3334" s="12"/>
      <c r="N3334" s="14">
        <f t="shared" si="154"/>
        <v>0</v>
      </c>
      <c r="O3334" s="23">
        <f>0.241*M3334</f>
        <v>0</v>
      </c>
      <c r="P3334" s="24">
        <f>0.00068*M3334</f>
        <v>0</v>
      </c>
      <c r="Q3334" s="25"/>
      <c r="R3334" s="26" t="s">
        <v>10463</v>
      </c>
      <c r="S3334" s="26" t="s">
        <v>93</v>
      </c>
      <c r="T3334" s="6" t="str">
        <f>HYPERLINK("https://kanzpp.ru/api/getInfo/image/9930ea02-943e-11ee-a250-00155d82e908")</f>
        <v>https://kanzpp.ru/api/getInfo/image/9930ea02-943e-11ee-a250-00155d82e908</v>
      </c>
      <c r="U3334" s="6"/>
      <c r="V3334" s="33" t="s">
        <v>35</v>
      </c>
    </row>
    <row r="3335" spans="2:22" ht="21" customHeight="1" outlineLevel="5" x14ac:dyDescent="0.2">
      <c r="B3335" s="69">
        <v>2486</v>
      </c>
      <c r="C3335" s="6" t="s">
        <v>10464</v>
      </c>
      <c r="D3335" s="6" t="s">
        <v>10465</v>
      </c>
      <c r="E3335" s="7" t="s">
        <v>10466</v>
      </c>
      <c r="F3335" s="13"/>
      <c r="G3335" s="14"/>
      <c r="H3335" s="15">
        <v>40</v>
      </c>
      <c r="I3335" s="15">
        <v>20</v>
      </c>
      <c r="J3335" s="14" t="s">
        <v>144</v>
      </c>
      <c r="K3335" s="5">
        <v>3</v>
      </c>
      <c r="L3335" s="16">
        <v>140.68</v>
      </c>
      <c r="M3335" s="12"/>
      <c r="N3335" s="14">
        <f t="shared" si="154"/>
        <v>0</v>
      </c>
      <c r="O3335" s="23">
        <f>0.249*M3335</f>
        <v>0</v>
      </c>
      <c r="P3335" s="24">
        <f>0.00046*M3335</f>
        <v>0</v>
      </c>
      <c r="Q3335" s="25"/>
      <c r="R3335" s="26" t="s">
        <v>10467</v>
      </c>
      <c r="S3335" s="26" t="s">
        <v>93</v>
      </c>
      <c r="T3335" s="6" t="str">
        <f>HYPERLINK("https://kanzpp.ru/api/getInfo/image/e11a7e19-943d-11ee-a250-00155d82e908")</f>
        <v>https://kanzpp.ru/api/getInfo/image/e11a7e19-943d-11ee-a250-00155d82e908</v>
      </c>
      <c r="U3335" s="6"/>
      <c r="V3335" s="33" t="s">
        <v>35</v>
      </c>
    </row>
    <row r="3336" spans="2:22" ht="21" customHeight="1" outlineLevel="5" x14ac:dyDescent="0.2">
      <c r="B3336" s="69">
        <v>2487</v>
      </c>
      <c r="C3336" s="6" t="s">
        <v>10468</v>
      </c>
      <c r="D3336" s="6" t="s">
        <v>10469</v>
      </c>
      <c r="E3336" s="7" t="s">
        <v>10470</v>
      </c>
      <c r="F3336" s="13"/>
      <c r="G3336" s="14"/>
      <c r="H3336" s="15">
        <v>40</v>
      </c>
      <c r="I3336" s="15">
        <v>20</v>
      </c>
      <c r="J3336" s="14" t="s">
        <v>144</v>
      </c>
      <c r="K3336" s="5">
        <v>3</v>
      </c>
      <c r="L3336" s="16">
        <v>140.68</v>
      </c>
      <c r="M3336" s="12"/>
      <c r="N3336" s="14">
        <f t="shared" si="154"/>
        <v>0</v>
      </c>
      <c r="O3336" s="23">
        <f>0.254*M3336</f>
        <v>0</v>
      </c>
      <c r="P3336" s="24">
        <f>0.00045*M3336</f>
        <v>0</v>
      </c>
      <c r="Q3336" s="25"/>
      <c r="R3336" s="26" t="s">
        <v>10471</v>
      </c>
      <c r="S3336" s="26" t="s">
        <v>93</v>
      </c>
      <c r="T3336" s="6" t="str">
        <f>HYPERLINK("https://kanzpp.ru/api/getInfo/image/5ba60383-943e-11ee-a250-00155d82e908")</f>
        <v>https://kanzpp.ru/api/getInfo/image/5ba60383-943e-11ee-a250-00155d82e908</v>
      </c>
      <c r="U3336" s="6"/>
      <c r="V3336" s="33" t="s">
        <v>35</v>
      </c>
    </row>
    <row r="3337" spans="2:22" ht="21" customHeight="1" outlineLevel="5" x14ac:dyDescent="0.2">
      <c r="B3337" s="69">
        <v>2488</v>
      </c>
      <c r="C3337" s="6" t="s">
        <v>10472</v>
      </c>
      <c r="D3337" s="6" t="s">
        <v>10473</v>
      </c>
      <c r="E3337" s="7" t="s">
        <v>10474</v>
      </c>
      <c r="F3337" s="13"/>
      <c r="G3337" s="14"/>
      <c r="H3337" s="15">
        <v>40</v>
      </c>
      <c r="I3337" s="15">
        <v>20</v>
      </c>
      <c r="J3337" s="14" t="s">
        <v>144</v>
      </c>
      <c r="K3337" s="5">
        <v>3</v>
      </c>
      <c r="L3337" s="16">
        <v>140.68</v>
      </c>
      <c r="M3337" s="12"/>
      <c r="N3337" s="14">
        <f t="shared" si="154"/>
        <v>0</v>
      </c>
      <c r="O3337" s="23">
        <f>0.253*M3337</f>
        <v>0</v>
      </c>
      <c r="P3337" s="24">
        <f>0.00076*M3337</f>
        <v>0</v>
      </c>
      <c r="Q3337" s="25"/>
      <c r="R3337" s="26" t="s">
        <v>10475</v>
      </c>
      <c r="S3337" s="26" t="s">
        <v>93</v>
      </c>
      <c r="T3337" s="6" t="str">
        <f>HYPERLINK("https://kanzpp.ru/api/getInfo/image/3710cfc0-943e-11ee-a250-00155d82e908")</f>
        <v>https://kanzpp.ru/api/getInfo/image/3710cfc0-943e-11ee-a250-00155d82e908</v>
      </c>
      <c r="U3337" s="6"/>
      <c r="V3337" s="33" t="s">
        <v>35</v>
      </c>
    </row>
    <row r="3338" spans="2:22" ht="21" customHeight="1" outlineLevel="5" x14ac:dyDescent="0.2">
      <c r="B3338" s="69">
        <v>2489</v>
      </c>
      <c r="C3338" s="6" t="s">
        <v>10476</v>
      </c>
      <c r="D3338" s="6" t="s">
        <v>10477</v>
      </c>
      <c r="E3338" s="7" t="s">
        <v>10478</v>
      </c>
      <c r="F3338" s="13"/>
      <c r="G3338" s="14"/>
      <c r="H3338" s="15">
        <v>40</v>
      </c>
      <c r="I3338" s="15">
        <v>20</v>
      </c>
      <c r="J3338" s="14" t="s">
        <v>144</v>
      </c>
      <c r="K3338" s="5">
        <v>3</v>
      </c>
      <c r="L3338" s="16">
        <v>140.68</v>
      </c>
      <c r="M3338" s="12"/>
      <c r="N3338" s="14">
        <f t="shared" si="154"/>
        <v>0</v>
      </c>
      <c r="O3338" s="23">
        <f>0.248*M3338</f>
        <v>0</v>
      </c>
      <c r="P3338" s="24">
        <f>0.00076*M3338</f>
        <v>0</v>
      </c>
      <c r="Q3338" s="25"/>
      <c r="R3338" s="26" t="s">
        <v>10479</v>
      </c>
      <c r="S3338" s="26" t="s">
        <v>93</v>
      </c>
      <c r="T3338" s="6" t="str">
        <f>HYPERLINK("https://kanzpp.ru/api/getInfo/image/79f1de77-943e-11ee-a250-00155d82e908")</f>
        <v>https://kanzpp.ru/api/getInfo/image/79f1de77-943e-11ee-a250-00155d82e908</v>
      </c>
      <c r="U3338" s="6"/>
      <c r="V3338" s="33" t="s">
        <v>35</v>
      </c>
    </row>
    <row r="3339" spans="2:22" ht="22.95" customHeight="1" outlineLevel="2" x14ac:dyDescent="0.2">
      <c r="B3339" s="80" t="s">
        <v>10480</v>
      </c>
      <c r="C3339" s="80"/>
      <c r="D3339" s="80"/>
      <c r="L3339">
        <v>0</v>
      </c>
    </row>
    <row r="3340" spans="2:22" ht="22.95" customHeight="1" outlineLevel="3" x14ac:dyDescent="0.2">
      <c r="B3340" s="81" t="s">
        <v>10481</v>
      </c>
      <c r="C3340" s="81"/>
      <c r="D3340" s="81"/>
      <c r="L3340">
        <v>0</v>
      </c>
    </row>
    <row r="3341" spans="2:22" ht="21" customHeight="1" outlineLevel="4" x14ac:dyDescent="0.2">
      <c r="B3341" s="69">
        <v>2490</v>
      </c>
      <c r="C3341" s="6" t="s">
        <v>10482</v>
      </c>
      <c r="D3341" s="6" t="s">
        <v>10483</v>
      </c>
      <c r="E3341" s="7" t="s">
        <v>10484</v>
      </c>
      <c r="F3341" s="13"/>
      <c r="G3341" s="14"/>
      <c r="H3341" s="15">
        <v>50</v>
      </c>
      <c r="I3341" s="14"/>
      <c r="J3341" s="15">
        <v>455</v>
      </c>
      <c r="K3341" s="5">
        <v>6</v>
      </c>
      <c r="L3341" s="16">
        <v>78.666666666666671</v>
      </c>
      <c r="M3341" s="12"/>
      <c r="N3341" s="14">
        <f t="shared" ref="N3341:N3346" si="155">L3341*M3341</f>
        <v>0</v>
      </c>
      <c r="O3341" s="23">
        <f>0.052*M3341</f>
        <v>0</v>
      </c>
      <c r="P3341" s="31">
        <f>0.0001*M3341</f>
        <v>0</v>
      </c>
      <c r="Q3341" s="25"/>
      <c r="R3341" s="26" t="s">
        <v>10485</v>
      </c>
      <c r="S3341" s="26" t="s">
        <v>93</v>
      </c>
      <c r="T3341" s="6" t="str">
        <f>HYPERLINK("https://kanzpp.ru/api/getInfo/image/69596ade-f5ab-11ee-a25b-00155d82e908")</f>
        <v>https://kanzpp.ru/api/getInfo/image/69596ade-f5ab-11ee-a25b-00155d82e908</v>
      </c>
      <c r="U3341" s="6"/>
      <c r="V3341" s="33" t="s">
        <v>35</v>
      </c>
    </row>
    <row r="3342" spans="2:22" ht="21" customHeight="1" outlineLevel="4" x14ac:dyDescent="0.2">
      <c r="B3342" s="69">
        <v>2491</v>
      </c>
      <c r="C3342" s="6" t="s">
        <v>10486</v>
      </c>
      <c r="D3342" s="6" t="s">
        <v>10487</v>
      </c>
      <c r="E3342" s="7" t="s">
        <v>10488</v>
      </c>
      <c r="F3342" s="13"/>
      <c r="G3342" s="14"/>
      <c r="H3342" s="15">
        <v>50</v>
      </c>
      <c r="I3342" s="14"/>
      <c r="J3342" s="15">
        <v>358</v>
      </c>
      <c r="K3342" s="5">
        <v>6</v>
      </c>
      <c r="L3342" s="16">
        <v>78.666666666666671</v>
      </c>
      <c r="M3342" s="12"/>
      <c r="N3342" s="14">
        <f t="shared" si="155"/>
        <v>0</v>
      </c>
      <c r="O3342" s="23">
        <f>0.052*M3342</f>
        <v>0</v>
      </c>
      <c r="P3342" s="31">
        <f>0.0001*M3342</f>
        <v>0</v>
      </c>
      <c r="Q3342" s="25"/>
      <c r="R3342" s="26" t="s">
        <v>10489</v>
      </c>
      <c r="S3342" s="26" t="s">
        <v>93</v>
      </c>
      <c r="T3342" s="6" t="str">
        <f>HYPERLINK("https://kanzpp.ru/api/getInfo/image/2c6bf9d1-f5ab-11ee-a25b-00155d82e908")</f>
        <v>https://kanzpp.ru/api/getInfo/image/2c6bf9d1-f5ab-11ee-a25b-00155d82e908</v>
      </c>
      <c r="U3342" s="6"/>
      <c r="V3342" s="33" t="s">
        <v>35</v>
      </c>
    </row>
    <row r="3343" spans="2:22" ht="21" customHeight="1" outlineLevel="4" x14ac:dyDescent="0.2">
      <c r="B3343" s="69">
        <v>2492</v>
      </c>
      <c r="C3343" s="6" t="s">
        <v>10490</v>
      </c>
      <c r="D3343" s="6" t="s">
        <v>10491</v>
      </c>
      <c r="E3343" s="7" t="s">
        <v>10492</v>
      </c>
      <c r="F3343" s="13"/>
      <c r="G3343" s="14"/>
      <c r="H3343" s="15">
        <v>50</v>
      </c>
      <c r="I3343" s="14"/>
      <c r="J3343" s="15">
        <v>7</v>
      </c>
      <c r="K3343" s="5">
        <v>6</v>
      </c>
      <c r="L3343" s="16">
        <v>87.733333333333334</v>
      </c>
      <c r="M3343" s="12"/>
      <c r="N3343" s="14">
        <f t="shared" si="155"/>
        <v>0</v>
      </c>
      <c r="O3343" s="28">
        <f>0.05*M3343</f>
        <v>0</v>
      </c>
      <c r="P3343" s="24">
        <f>0.00013*M3343</f>
        <v>0</v>
      </c>
      <c r="Q3343" s="25"/>
      <c r="R3343" s="26" t="s">
        <v>10493</v>
      </c>
      <c r="S3343" s="26" t="s">
        <v>93</v>
      </c>
      <c r="T3343" s="6" t="str">
        <f>HYPERLINK("https://kanzpp.ru/api/getInfo/image/cf4fa5d5-f5ab-11ee-a25b-00155d82e908")</f>
        <v>https://kanzpp.ru/api/getInfo/image/cf4fa5d5-f5ab-11ee-a25b-00155d82e908</v>
      </c>
      <c r="U3343" s="6"/>
      <c r="V3343" s="33" t="s">
        <v>35</v>
      </c>
    </row>
    <row r="3344" spans="2:22" ht="21" customHeight="1" outlineLevel="4" x14ac:dyDescent="0.2">
      <c r="B3344" s="69">
        <v>2493</v>
      </c>
      <c r="C3344" s="6" t="s">
        <v>10494</v>
      </c>
      <c r="D3344" s="6" t="s">
        <v>10495</v>
      </c>
      <c r="E3344" s="7" t="s">
        <v>10496</v>
      </c>
      <c r="F3344" s="13"/>
      <c r="G3344" s="14"/>
      <c r="H3344" s="15">
        <v>50</v>
      </c>
      <c r="I3344" s="14"/>
      <c r="J3344" s="15">
        <v>347</v>
      </c>
      <c r="K3344" s="5">
        <v>6</v>
      </c>
      <c r="L3344" s="16">
        <v>87.733333333333334</v>
      </c>
      <c r="M3344" s="12"/>
      <c r="N3344" s="14">
        <f t="shared" si="155"/>
        <v>0</v>
      </c>
      <c r="O3344" s="23">
        <f>0.052*M3344</f>
        <v>0</v>
      </c>
      <c r="P3344" s="31">
        <f>0.0001*M3344</f>
        <v>0</v>
      </c>
      <c r="Q3344" s="25"/>
      <c r="R3344" s="26" t="s">
        <v>10497</v>
      </c>
      <c r="S3344" s="26" t="s">
        <v>93</v>
      </c>
      <c r="T3344" s="6" t="str">
        <f>HYPERLINK("https://kanzpp.ru/api/getInfo/image/b0f589c7-f5ab-11ee-a25b-00155d82e908")</f>
        <v>https://kanzpp.ru/api/getInfo/image/b0f589c7-f5ab-11ee-a25b-00155d82e908</v>
      </c>
      <c r="U3344" s="6"/>
      <c r="V3344" s="33" t="s">
        <v>35</v>
      </c>
    </row>
    <row r="3345" spans="2:22" ht="21" customHeight="1" outlineLevel="4" x14ac:dyDescent="0.2">
      <c r="B3345" s="69">
        <v>2494</v>
      </c>
      <c r="C3345" s="6" t="s">
        <v>10498</v>
      </c>
      <c r="D3345" s="6" t="s">
        <v>10499</v>
      </c>
      <c r="E3345" s="7" t="s">
        <v>10500</v>
      </c>
      <c r="F3345" s="13"/>
      <c r="G3345" s="14"/>
      <c r="H3345" s="15">
        <v>50</v>
      </c>
      <c r="I3345" s="14"/>
      <c r="J3345" s="15">
        <v>372</v>
      </c>
      <c r="K3345" s="5">
        <v>6</v>
      </c>
      <c r="L3345" s="16">
        <v>78.666666666666671</v>
      </c>
      <c r="M3345" s="12"/>
      <c r="N3345" s="14">
        <f t="shared" si="155"/>
        <v>0</v>
      </c>
      <c r="O3345" s="23">
        <f>0.052*M3345</f>
        <v>0</v>
      </c>
      <c r="P3345" s="31">
        <f>0.0001*M3345</f>
        <v>0</v>
      </c>
      <c r="Q3345" s="25"/>
      <c r="R3345" s="26" t="s">
        <v>10501</v>
      </c>
      <c r="S3345" s="26" t="s">
        <v>93</v>
      </c>
      <c r="T3345" s="6" t="str">
        <f>HYPERLINK("https://kanzpp.ru/api/getInfo/image/8967d613-f5ab-11ee-a25b-00155d82e908")</f>
        <v>https://kanzpp.ru/api/getInfo/image/8967d613-f5ab-11ee-a25b-00155d82e908</v>
      </c>
      <c r="U3345" s="6"/>
      <c r="V3345" s="33" t="s">
        <v>35</v>
      </c>
    </row>
    <row r="3346" spans="2:22" ht="21" customHeight="1" outlineLevel="4" x14ac:dyDescent="0.2">
      <c r="B3346" s="69">
        <v>2495</v>
      </c>
      <c r="C3346" s="6" t="s">
        <v>10502</v>
      </c>
      <c r="D3346" s="6" t="s">
        <v>10503</v>
      </c>
      <c r="E3346" s="7" t="s">
        <v>10504</v>
      </c>
      <c r="F3346" s="13"/>
      <c r="G3346" s="14"/>
      <c r="H3346" s="15">
        <v>50</v>
      </c>
      <c r="I3346" s="14"/>
      <c r="J3346" s="15">
        <v>351</v>
      </c>
      <c r="K3346" s="5">
        <v>6</v>
      </c>
      <c r="L3346" s="16">
        <v>78.666666666666671</v>
      </c>
      <c r="M3346" s="12"/>
      <c r="N3346" s="14">
        <f t="shared" si="155"/>
        <v>0</v>
      </c>
      <c r="O3346" s="23">
        <f>0.052*M3346</f>
        <v>0</v>
      </c>
      <c r="P3346" s="31">
        <f>0.0001*M3346</f>
        <v>0</v>
      </c>
      <c r="Q3346" s="25"/>
      <c r="R3346" s="26" t="s">
        <v>10505</v>
      </c>
      <c r="S3346" s="26" t="s">
        <v>93</v>
      </c>
      <c r="T3346" s="6" t="str">
        <f>HYPERLINK("https://kanzpp.ru/api/getInfo/image/2abfbc12-f5ac-11ee-a25b-00155d82e908")</f>
        <v>https://kanzpp.ru/api/getInfo/image/2abfbc12-f5ac-11ee-a25b-00155d82e908</v>
      </c>
      <c r="U3346" s="6"/>
      <c r="V3346" s="33" t="s">
        <v>35</v>
      </c>
    </row>
    <row r="3347" spans="2:22" ht="22.95" customHeight="1" outlineLevel="1" x14ac:dyDescent="0.2">
      <c r="B3347" s="79" t="s">
        <v>10506</v>
      </c>
      <c r="C3347" s="79"/>
      <c r="D3347" s="79"/>
      <c r="L3347">
        <v>0</v>
      </c>
    </row>
    <row r="3348" spans="2:22" ht="22.95" customHeight="1" outlineLevel="2" x14ac:dyDescent="0.2">
      <c r="B3348" s="80" t="s">
        <v>10507</v>
      </c>
      <c r="C3348" s="80"/>
      <c r="D3348" s="80"/>
      <c r="L3348">
        <v>0</v>
      </c>
    </row>
    <row r="3349" spans="2:22" ht="21" customHeight="1" outlineLevel="3" x14ac:dyDescent="0.2">
      <c r="B3349" s="69">
        <v>2496</v>
      </c>
      <c r="C3349" s="6" t="s">
        <v>10508</v>
      </c>
      <c r="D3349" s="6" t="s">
        <v>10509</v>
      </c>
      <c r="E3349" s="7" t="s">
        <v>10510</v>
      </c>
      <c r="F3349" s="13"/>
      <c r="G3349" s="14"/>
      <c r="H3349" s="14"/>
      <c r="I3349" s="15">
        <v>10</v>
      </c>
      <c r="J3349" s="15">
        <v>393</v>
      </c>
      <c r="K3349" s="5">
        <v>3</v>
      </c>
      <c r="L3349" s="16">
        <v>158.66666666666666</v>
      </c>
      <c r="M3349" s="12"/>
      <c r="N3349" s="14">
        <f>L3349*M3349</f>
        <v>0</v>
      </c>
      <c r="O3349" s="23">
        <f>0.486*M3349</f>
        <v>0</v>
      </c>
      <c r="P3349" s="31">
        <f>0.0006*M3349</f>
        <v>0</v>
      </c>
      <c r="Q3349" s="25"/>
      <c r="R3349" s="26" t="s">
        <v>10511</v>
      </c>
      <c r="S3349" s="26" t="s">
        <v>93</v>
      </c>
      <c r="T3349" s="6" t="str">
        <f>HYPERLINK("https://kanzpp.ru/api/getInfo/image/abacc7ce-c686-11e1-81d3-5ef3fc502493")</f>
        <v>https://kanzpp.ru/api/getInfo/image/abacc7ce-c686-11e1-81d3-5ef3fc502493</v>
      </c>
      <c r="U3349" s="6"/>
      <c r="V3349" s="33" t="s">
        <v>35</v>
      </c>
    </row>
    <row r="3350" spans="2:22" ht="21" customHeight="1" outlineLevel="3" x14ac:dyDescent="0.2">
      <c r="B3350" s="69">
        <v>2497</v>
      </c>
      <c r="C3350" s="6" t="s">
        <v>10512</v>
      </c>
      <c r="D3350" s="6" t="s">
        <v>10513</v>
      </c>
      <c r="E3350" s="7" t="s">
        <v>10510</v>
      </c>
      <c r="F3350" s="13"/>
      <c r="G3350" s="14"/>
      <c r="H3350" s="15">
        <v>20</v>
      </c>
      <c r="I3350" s="14"/>
      <c r="J3350" s="15">
        <v>421</v>
      </c>
      <c r="K3350" s="5">
        <v>3</v>
      </c>
      <c r="L3350" s="16">
        <v>158.66666666666666</v>
      </c>
      <c r="M3350" s="12"/>
      <c r="N3350" s="14">
        <f>L3350*M3350</f>
        <v>0</v>
      </c>
      <c r="O3350" s="23">
        <f>0.486*M3350</f>
        <v>0</v>
      </c>
      <c r="P3350" s="31">
        <f>0.0006*M3350</f>
        <v>0</v>
      </c>
      <c r="Q3350" s="25"/>
      <c r="R3350" s="26"/>
      <c r="S3350" s="26" t="s">
        <v>93</v>
      </c>
      <c r="T3350" s="6" t="str">
        <f>HYPERLINK("https://kanzpp.ru/api/getInfo/image/b18b58fe-b0f9-11ec-a211-ac1f6b442185")</f>
        <v>https://kanzpp.ru/api/getInfo/image/b18b58fe-b0f9-11ec-a211-ac1f6b442185</v>
      </c>
      <c r="U3350" s="6" t="s">
        <v>10511</v>
      </c>
      <c r="V3350" s="33" t="s">
        <v>35</v>
      </c>
    </row>
    <row r="3351" spans="2:22" ht="22.95" customHeight="1" outlineLevel="1" x14ac:dyDescent="0.2">
      <c r="B3351" s="79" t="s">
        <v>10514</v>
      </c>
      <c r="C3351" s="79"/>
      <c r="D3351" s="79"/>
      <c r="L3351">
        <v>0</v>
      </c>
    </row>
    <row r="3352" spans="2:22" ht="22.95" customHeight="1" outlineLevel="2" x14ac:dyDescent="0.2">
      <c r="B3352" s="80" t="s">
        <v>10515</v>
      </c>
      <c r="C3352" s="80"/>
      <c r="D3352" s="80"/>
      <c r="L3352">
        <v>0</v>
      </c>
    </row>
    <row r="3353" spans="2:22" ht="22.95" customHeight="1" outlineLevel="3" x14ac:dyDescent="0.2">
      <c r="B3353" s="81" t="s">
        <v>10516</v>
      </c>
      <c r="C3353" s="81"/>
      <c r="D3353" s="81"/>
      <c r="L3353">
        <v>0</v>
      </c>
    </row>
    <row r="3354" spans="2:22" ht="21" customHeight="1" outlineLevel="4" x14ac:dyDescent="0.2">
      <c r="B3354" s="69">
        <v>2498</v>
      </c>
      <c r="C3354" s="6" t="s">
        <v>10517</v>
      </c>
      <c r="D3354" s="6" t="s">
        <v>10518</v>
      </c>
      <c r="E3354" s="7" t="s">
        <v>10519</v>
      </c>
      <c r="F3354" s="13"/>
      <c r="G3354" s="14"/>
      <c r="H3354" s="14"/>
      <c r="I3354" s="15">
        <v>20</v>
      </c>
      <c r="J3354" s="15">
        <v>171</v>
      </c>
      <c r="K3354" s="5">
        <v>20</v>
      </c>
      <c r="L3354" s="16">
        <v>6.5333333333333341</v>
      </c>
      <c r="M3354" s="12"/>
      <c r="N3354" s="14">
        <f>L3354*M3354</f>
        <v>0</v>
      </c>
      <c r="O3354" s="23">
        <f>0.066*M3354</f>
        <v>0</v>
      </c>
      <c r="P3354" s="24">
        <f>0.00007*M3354</f>
        <v>0</v>
      </c>
      <c r="Q3354" s="25"/>
      <c r="R3354" s="26" t="s">
        <v>10520</v>
      </c>
      <c r="S3354" s="26" t="s">
        <v>29</v>
      </c>
      <c r="T3354" s="6" t="str">
        <f>HYPERLINK("https://kanzpp.ru/api/getInfo/image/a252d8b4-67b4-11ec-a20f-ac1f6b442185")</f>
        <v>https://kanzpp.ru/api/getInfo/image/a252d8b4-67b4-11ec-a20f-ac1f6b442185</v>
      </c>
      <c r="U3354" s="6"/>
      <c r="V3354" s="33" t="s">
        <v>35</v>
      </c>
    </row>
    <row r="3355" spans="2:22" ht="21" customHeight="1" outlineLevel="4" x14ac:dyDescent="0.2">
      <c r="B3355" s="69">
        <v>2499</v>
      </c>
      <c r="C3355" s="6" t="s">
        <v>10521</v>
      </c>
      <c r="D3355" s="6" t="s">
        <v>10522</v>
      </c>
      <c r="E3355" s="7" t="s">
        <v>10523</v>
      </c>
      <c r="F3355" s="13"/>
      <c r="G3355" s="14"/>
      <c r="H3355" s="14"/>
      <c r="I3355" s="15">
        <v>20</v>
      </c>
      <c r="J3355" s="14" t="s">
        <v>144</v>
      </c>
      <c r="K3355" s="5">
        <v>20</v>
      </c>
      <c r="L3355" s="16">
        <v>6.5333333333333341</v>
      </c>
      <c r="M3355" s="12"/>
      <c r="N3355" s="14">
        <f>L3355*M3355</f>
        <v>0</v>
      </c>
      <c r="O3355" s="23">
        <f>0.066*M3355</f>
        <v>0</v>
      </c>
      <c r="P3355" s="24">
        <f>0.00007*M3355</f>
        <v>0</v>
      </c>
      <c r="Q3355" s="25"/>
      <c r="R3355" s="26" t="s">
        <v>10524</v>
      </c>
      <c r="S3355" s="26" t="s">
        <v>29</v>
      </c>
      <c r="T3355" s="6" t="str">
        <f>HYPERLINK("https://kanzpp.ru/api/getInfo/image/42a837bd-2327-11ea-a237-ac1f6b442184")</f>
        <v>https://kanzpp.ru/api/getInfo/image/42a837bd-2327-11ea-a237-ac1f6b442184</v>
      </c>
      <c r="U3355" s="6"/>
      <c r="V3355" s="33" t="s">
        <v>35</v>
      </c>
    </row>
    <row r="3356" spans="2:22" ht="21" customHeight="1" outlineLevel="4" x14ac:dyDescent="0.2">
      <c r="B3356" s="69">
        <v>2500</v>
      </c>
      <c r="C3356" s="6" t="s">
        <v>10525</v>
      </c>
      <c r="D3356" s="6" t="s">
        <v>10526</v>
      </c>
      <c r="E3356" s="7" t="s">
        <v>10527</v>
      </c>
      <c r="F3356" s="13"/>
      <c r="G3356" s="14"/>
      <c r="H3356" s="14"/>
      <c r="I3356" s="15">
        <v>20</v>
      </c>
      <c r="J3356" s="15">
        <v>507</v>
      </c>
      <c r="K3356" s="5">
        <v>20</v>
      </c>
      <c r="L3356" s="16">
        <v>6.5333333333333341</v>
      </c>
      <c r="M3356" s="12"/>
      <c r="N3356" s="14">
        <f>L3356*M3356</f>
        <v>0</v>
      </c>
      <c r="O3356" s="23">
        <f>0.066*M3356</f>
        <v>0</v>
      </c>
      <c r="P3356" s="24">
        <f>0.00007*M3356</f>
        <v>0</v>
      </c>
      <c r="Q3356" s="25"/>
      <c r="R3356" s="26" t="s">
        <v>10528</v>
      </c>
      <c r="S3356" s="26" t="s">
        <v>29</v>
      </c>
      <c r="T3356" s="6" t="str">
        <f>HYPERLINK("https://kanzpp.ru/api/getInfo/image/ba61b970-67b5-11ec-a20f-ac1f6b442185")</f>
        <v>https://kanzpp.ru/api/getInfo/image/ba61b970-67b5-11ec-a20f-ac1f6b442185</v>
      </c>
      <c r="U3356" s="6"/>
      <c r="V3356" s="33" t="s">
        <v>35</v>
      </c>
    </row>
    <row r="3357" spans="2:22" ht="22.95" customHeight="1" outlineLevel="3" x14ac:dyDescent="0.2">
      <c r="B3357" s="81" t="s">
        <v>10529</v>
      </c>
      <c r="C3357" s="81"/>
      <c r="D3357" s="81"/>
      <c r="L3357">
        <v>0</v>
      </c>
    </row>
    <row r="3358" spans="2:22" ht="21" customHeight="1" outlineLevel="4" x14ac:dyDescent="0.2">
      <c r="B3358" s="71">
        <v>2501</v>
      </c>
      <c r="C3358" s="37" t="s">
        <v>10530</v>
      </c>
      <c r="D3358" s="37" t="s">
        <v>10531</v>
      </c>
      <c r="E3358" s="38" t="s">
        <v>10532</v>
      </c>
      <c r="F3358" s="39"/>
      <c r="G3358" s="40"/>
      <c r="H3358" s="41">
        <v>20</v>
      </c>
      <c r="I3358" s="41">
        <v>1</v>
      </c>
      <c r="J3358" s="41">
        <v>2</v>
      </c>
      <c r="K3358" s="36">
        <v>2</v>
      </c>
      <c r="L3358" s="42">
        <f>(132*(1-O3/100))/0.75</f>
        <v>176</v>
      </c>
      <c r="M3358" s="12"/>
      <c r="N3358" s="40">
        <f>L3358*M3358</f>
        <v>0</v>
      </c>
      <c r="O3358" s="43">
        <f>0.151*M3358</f>
        <v>0</v>
      </c>
      <c r="P3358" s="47">
        <f>0.00026*M3358</f>
        <v>0</v>
      </c>
      <c r="Q3358" s="44"/>
      <c r="R3358" s="45" t="s">
        <v>10533</v>
      </c>
      <c r="S3358" s="45" t="s">
        <v>29</v>
      </c>
      <c r="T3358" s="37" t="str">
        <f>HYPERLINK("https://kanzpp.ru/api/getInfo/image/4718ee1b-dcdf-11f0-a28c-00155d82e908")</f>
        <v>https://kanzpp.ru/api/getInfo/image/4718ee1b-dcdf-11f0-a28c-00155d82e908</v>
      </c>
      <c r="U3358" s="37"/>
    </row>
    <row r="3359" spans="2:22" ht="21" customHeight="1" outlineLevel="4" x14ac:dyDescent="0.2">
      <c r="B3359" s="71">
        <v>2502</v>
      </c>
      <c r="C3359" s="37" t="s">
        <v>10534</v>
      </c>
      <c r="D3359" s="37" t="s">
        <v>10535</v>
      </c>
      <c r="E3359" s="38" t="s">
        <v>10536</v>
      </c>
      <c r="F3359" s="39"/>
      <c r="G3359" s="40"/>
      <c r="H3359" s="41">
        <v>20</v>
      </c>
      <c r="I3359" s="41">
        <v>1</v>
      </c>
      <c r="J3359" s="41">
        <v>6</v>
      </c>
      <c r="K3359" s="36">
        <v>4</v>
      </c>
      <c r="L3359" s="42">
        <f>(132*(1-O3/100))/0.75</f>
        <v>176</v>
      </c>
      <c r="M3359" s="12"/>
      <c r="N3359" s="40">
        <f>L3359*M3359</f>
        <v>0</v>
      </c>
      <c r="O3359" s="43">
        <f>0.156*M3359</f>
        <v>0</v>
      </c>
      <c r="P3359" s="47">
        <f>0.00018*M3359</f>
        <v>0</v>
      </c>
      <c r="Q3359" s="44"/>
      <c r="R3359" s="45" t="s">
        <v>10537</v>
      </c>
      <c r="S3359" s="45" t="s">
        <v>29</v>
      </c>
      <c r="T3359" s="37" t="str">
        <f>HYPERLINK("https://kanzpp.ru/api/getInfo/image/ce50c280-dcdf-11f0-a28c-00155d82e908")</f>
        <v>https://kanzpp.ru/api/getInfo/image/ce50c280-dcdf-11f0-a28c-00155d82e908</v>
      </c>
      <c r="U3359" s="37"/>
    </row>
    <row r="3360" spans="2:22" ht="22.95" customHeight="1" outlineLevel="2" x14ac:dyDescent="0.2">
      <c r="B3360" s="80" t="s">
        <v>10538</v>
      </c>
      <c r="C3360" s="80"/>
      <c r="D3360" s="80"/>
      <c r="L3360">
        <v>0</v>
      </c>
    </row>
    <row r="3361" spans="2:22" ht="21" customHeight="1" outlineLevel="3" x14ac:dyDescent="0.2">
      <c r="B3361" s="70">
        <v>2503</v>
      </c>
      <c r="C3361" s="3" t="s">
        <v>10539</v>
      </c>
      <c r="D3361" s="3" t="s">
        <v>10540</v>
      </c>
      <c r="E3361" s="4" t="s">
        <v>10541</v>
      </c>
      <c r="F3361" s="8"/>
      <c r="G3361" s="9"/>
      <c r="H3361" s="9"/>
      <c r="I3361" s="9"/>
      <c r="J3361" s="10">
        <v>80</v>
      </c>
      <c r="K3361" s="2">
        <v>1</v>
      </c>
      <c r="L3361" s="54">
        <v>41.173333333333332</v>
      </c>
      <c r="M3361" s="12"/>
      <c r="N3361" s="9">
        <f>L3361*M3361</f>
        <v>0</v>
      </c>
      <c r="O3361" s="29">
        <f>0.175*M3361</f>
        <v>0</v>
      </c>
      <c r="P3361" s="30">
        <f>0.00013*M3361</f>
        <v>0</v>
      </c>
      <c r="Q3361" s="21"/>
      <c r="R3361" s="22" t="s">
        <v>10542</v>
      </c>
      <c r="S3361" s="22" t="s">
        <v>93</v>
      </c>
      <c r="T3361" s="3"/>
      <c r="U3361" s="3"/>
      <c r="V3361" s="32" t="s">
        <v>30</v>
      </c>
    </row>
    <row r="3362" spans="2:22" ht="21" customHeight="1" outlineLevel="3" x14ac:dyDescent="0.2">
      <c r="B3362" s="70">
        <v>2504</v>
      </c>
      <c r="C3362" s="3" t="s">
        <v>10543</v>
      </c>
      <c r="D3362" s="3" t="s">
        <v>10544</v>
      </c>
      <c r="E3362" s="4" t="s">
        <v>10545</v>
      </c>
      <c r="F3362" s="8"/>
      <c r="G3362" s="9"/>
      <c r="H3362" s="9"/>
      <c r="I3362" s="9"/>
      <c r="J3362" s="10">
        <v>95</v>
      </c>
      <c r="K3362" s="2">
        <v>1</v>
      </c>
      <c r="L3362" s="54">
        <v>41.173333333333332</v>
      </c>
      <c r="M3362" s="12"/>
      <c r="N3362" s="9">
        <f>L3362*M3362</f>
        <v>0</v>
      </c>
      <c r="O3362" s="29">
        <f>0.158*M3362</f>
        <v>0</v>
      </c>
      <c r="P3362" s="30">
        <f>0.00106*M3362</f>
        <v>0</v>
      </c>
      <c r="Q3362" s="21"/>
      <c r="R3362" s="22" t="s">
        <v>10546</v>
      </c>
      <c r="S3362" s="22" t="s">
        <v>93</v>
      </c>
      <c r="T3362" s="3"/>
      <c r="U3362" s="3"/>
      <c r="V3362" s="32" t="s">
        <v>30</v>
      </c>
    </row>
    <row r="3363" spans="2:22" ht="21" customHeight="1" outlineLevel="3" x14ac:dyDescent="0.2">
      <c r="B3363" s="70">
        <v>2505</v>
      </c>
      <c r="C3363" s="3" t="s">
        <v>10547</v>
      </c>
      <c r="D3363" s="3" t="s">
        <v>10548</v>
      </c>
      <c r="E3363" s="4" t="s">
        <v>10549</v>
      </c>
      <c r="F3363" s="8"/>
      <c r="G3363" s="9"/>
      <c r="H3363" s="9"/>
      <c r="I3363" s="9"/>
      <c r="J3363" s="10">
        <v>99</v>
      </c>
      <c r="K3363" s="2">
        <v>1</v>
      </c>
      <c r="L3363" s="54">
        <v>41.173333333333332</v>
      </c>
      <c r="M3363" s="12"/>
      <c r="N3363" s="9">
        <f>L3363*M3363</f>
        <v>0</v>
      </c>
      <c r="O3363" s="29">
        <f>0.158*M3363</f>
        <v>0</v>
      </c>
      <c r="P3363" s="30">
        <f>0.00106*M3363</f>
        <v>0</v>
      </c>
      <c r="Q3363" s="21"/>
      <c r="R3363" s="22" t="s">
        <v>10550</v>
      </c>
      <c r="S3363" s="22" t="s">
        <v>93</v>
      </c>
      <c r="T3363" s="3"/>
      <c r="U3363" s="3"/>
      <c r="V3363" s="32" t="s">
        <v>30</v>
      </c>
    </row>
    <row r="3364" spans="2:22" ht="21" customHeight="1" outlineLevel="3" x14ac:dyDescent="0.2">
      <c r="B3364" s="69">
        <v>2506</v>
      </c>
      <c r="C3364" s="6" t="s">
        <v>10551</v>
      </c>
      <c r="D3364" s="6" t="s">
        <v>10552</v>
      </c>
      <c r="E3364" s="7" t="s">
        <v>10541</v>
      </c>
      <c r="F3364" s="13"/>
      <c r="G3364" s="14"/>
      <c r="H3364" s="14"/>
      <c r="I3364" s="14"/>
      <c r="J3364" s="14" t="s">
        <v>144</v>
      </c>
      <c r="K3364" s="5">
        <v>1</v>
      </c>
      <c r="L3364" s="16">
        <v>398.66666666666669</v>
      </c>
      <c r="M3364" s="12"/>
      <c r="N3364" s="14">
        <f>L3364*M3364</f>
        <v>0</v>
      </c>
      <c r="O3364" s="23">
        <f>1.226*M3364</f>
        <v>0</v>
      </c>
      <c r="P3364" s="24">
        <f>0.01123*M3364</f>
        <v>0</v>
      </c>
      <c r="Q3364" s="25"/>
      <c r="R3364" s="26" t="s">
        <v>10553</v>
      </c>
      <c r="S3364" s="26" t="s">
        <v>93</v>
      </c>
      <c r="T3364" s="6" t="str">
        <f>HYPERLINK("https://kanzpp.ru/api/getInfo/image/e5e06ef0-48f1-11ef-a262-00155d82e908")</f>
        <v>https://kanzpp.ru/api/getInfo/image/e5e06ef0-48f1-11ef-a262-00155d82e908</v>
      </c>
      <c r="U3364" s="6"/>
      <c r="V3364" s="33" t="s">
        <v>35</v>
      </c>
    </row>
    <row r="3365" spans="2:22" ht="21" customHeight="1" outlineLevel="3" x14ac:dyDescent="0.2">
      <c r="B3365" s="69">
        <v>2507</v>
      </c>
      <c r="C3365" s="6" t="s">
        <v>10554</v>
      </c>
      <c r="D3365" s="6" t="s">
        <v>10555</v>
      </c>
      <c r="E3365" s="7" t="s">
        <v>10549</v>
      </c>
      <c r="F3365" s="13"/>
      <c r="G3365" s="14"/>
      <c r="H3365" s="15">
        <v>1</v>
      </c>
      <c r="I3365" s="14"/>
      <c r="J3365" s="14" t="s">
        <v>144</v>
      </c>
      <c r="K3365" s="5">
        <v>1</v>
      </c>
      <c r="L3365" s="16">
        <v>398.66666666666669</v>
      </c>
      <c r="M3365" s="12"/>
      <c r="N3365" s="14">
        <f>L3365*M3365</f>
        <v>0</v>
      </c>
      <c r="O3365" s="23">
        <f>1.238*M3365</f>
        <v>0</v>
      </c>
      <c r="P3365" s="24">
        <f>0.01116*M3365</f>
        <v>0</v>
      </c>
      <c r="Q3365" s="25"/>
      <c r="R3365" s="26" t="s">
        <v>10556</v>
      </c>
      <c r="S3365" s="26" t="s">
        <v>93</v>
      </c>
      <c r="T3365" s="6" t="str">
        <f>HYPERLINK("https://kanzpp.ru/api/getInfo/image/a341f897-4902-11ef-a262-00155d82e908")</f>
        <v>https://kanzpp.ru/api/getInfo/image/a341f897-4902-11ef-a262-00155d82e908</v>
      </c>
      <c r="U3365" s="6"/>
      <c r="V3365" s="33" t="s">
        <v>35</v>
      </c>
    </row>
    <row r="3366" spans="2:22" ht="22.95" customHeight="1" outlineLevel="1" x14ac:dyDescent="0.2">
      <c r="B3366" s="79" t="s">
        <v>10557</v>
      </c>
      <c r="C3366" s="79"/>
      <c r="D3366" s="79"/>
      <c r="L3366">
        <v>0</v>
      </c>
    </row>
    <row r="3367" spans="2:22" ht="22.95" customHeight="1" outlineLevel="2" x14ac:dyDescent="0.2">
      <c r="B3367" s="80" t="s">
        <v>10558</v>
      </c>
      <c r="C3367" s="80"/>
      <c r="D3367" s="80"/>
      <c r="L3367">
        <v>0</v>
      </c>
    </row>
    <row r="3368" spans="2:22" ht="22.95" customHeight="1" outlineLevel="3" x14ac:dyDescent="0.2">
      <c r="B3368" s="81" t="s">
        <v>10559</v>
      </c>
      <c r="C3368" s="81"/>
      <c r="D3368" s="81"/>
      <c r="L3368">
        <v>0</v>
      </c>
    </row>
    <row r="3369" spans="2:22" ht="21" customHeight="1" outlineLevel="4" x14ac:dyDescent="0.2">
      <c r="B3369" s="69">
        <v>2508</v>
      </c>
      <c r="C3369" s="6" t="s">
        <v>10560</v>
      </c>
      <c r="D3369" s="6" t="s">
        <v>10561</v>
      </c>
      <c r="E3369" s="7" t="s">
        <v>10562</v>
      </c>
      <c r="F3369" s="13"/>
      <c r="G3369" s="14"/>
      <c r="H3369" s="15">
        <v>80</v>
      </c>
      <c r="I3369" s="15">
        <v>10</v>
      </c>
      <c r="J3369" s="15">
        <v>210</v>
      </c>
      <c r="K3369" s="5">
        <v>80</v>
      </c>
      <c r="L3369" s="16">
        <v>11.866666666666667</v>
      </c>
      <c r="M3369" s="12"/>
      <c r="N3369" s="14">
        <f>L3369*M3369</f>
        <v>0</v>
      </c>
      <c r="O3369" s="23">
        <f>0.109*M3369</f>
        <v>0</v>
      </c>
      <c r="P3369" s="24">
        <f>0.00028*M3369</f>
        <v>0</v>
      </c>
      <c r="Q3369" s="25"/>
      <c r="R3369" s="26" t="s">
        <v>10563</v>
      </c>
      <c r="S3369" s="26" t="s">
        <v>93</v>
      </c>
      <c r="T3369" s="6" t="str">
        <f>HYPERLINK("https://kanzpp.ru/api/getInfo/image/d6cde85a-97ca-11ed-a22d-00155d82e902")</f>
        <v>https://kanzpp.ru/api/getInfo/image/d6cde85a-97ca-11ed-a22d-00155d82e902</v>
      </c>
      <c r="U3369" s="6"/>
      <c r="V3369" s="33" t="s">
        <v>35</v>
      </c>
    </row>
    <row r="3370" spans="2:22" ht="21" customHeight="1" outlineLevel="4" x14ac:dyDescent="0.2">
      <c r="B3370" s="69">
        <v>2509</v>
      </c>
      <c r="C3370" s="6" t="s">
        <v>10564</v>
      </c>
      <c r="D3370" s="6" t="s">
        <v>10565</v>
      </c>
      <c r="E3370" s="7" t="s">
        <v>10566</v>
      </c>
      <c r="F3370" s="13"/>
      <c r="G3370" s="14"/>
      <c r="H3370" s="15">
        <v>96</v>
      </c>
      <c r="I3370" s="15">
        <v>16</v>
      </c>
      <c r="J3370" s="14" t="s">
        <v>144</v>
      </c>
      <c r="K3370" s="5">
        <v>96</v>
      </c>
      <c r="L3370" s="16">
        <v>4.1333333333333337</v>
      </c>
      <c r="M3370" s="12"/>
      <c r="N3370" s="14">
        <f>L3370*M3370</f>
        <v>0</v>
      </c>
      <c r="O3370" s="23">
        <f>0.033*M3370</f>
        <v>0</v>
      </c>
      <c r="P3370" s="24">
        <f>0.00013*M3370</f>
        <v>0</v>
      </c>
      <c r="Q3370" s="25"/>
      <c r="R3370" s="26" t="s">
        <v>10567</v>
      </c>
      <c r="S3370" s="26" t="s">
        <v>93</v>
      </c>
      <c r="T3370" s="6" t="str">
        <f>HYPERLINK("https://kanzpp.ru/api/getInfo/image/511fa3e2-97cb-11ed-a22d-00155d82e902")</f>
        <v>https://kanzpp.ru/api/getInfo/image/511fa3e2-97cb-11ed-a22d-00155d82e902</v>
      </c>
      <c r="U3370" s="6"/>
      <c r="V3370" s="33" t="s">
        <v>35</v>
      </c>
    </row>
    <row r="3371" spans="2:22" ht="22.95" customHeight="1" outlineLevel="2" x14ac:dyDescent="0.2">
      <c r="B3371" s="80" t="s">
        <v>10568</v>
      </c>
      <c r="C3371" s="80"/>
      <c r="D3371" s="80"/>
      <c r="L3371">
        <v>0</v>
      </c>
    </row>
    <row r="3372" spans="2:22" ht="22.95" customHeight="1" outlineLevel="3" x14ac:dyDescent="0.2">
      <c r="B3372" s="81" t="s">
        <v>10569</v>
      </c>
      <c r="C3372" s="81"/>
      <c r="D3372" s="81"/>
      <c r="L3372">
        <v>0</v>
      </c>
    </row>
    <row r="3373" spans="2:22" ht="22.95" customHeight="1" outlineLevel="4" x14ac:dyDescent="0.2">
      <c r="B3373" s="82" t="s">
        <v>10570</v>
      </c>
      <c r="C3373" s="82"/>
      <c r="D3373" s="82"/>
      <c r="L3373">
        <v>0</v>
      </c>
    </row>
    <row r="3374" spans="2:22" ht="21" customHeight="1" outlineLevel="5" x14ac:dyDescent="0.2">
      <c r="B3374" s="72">
        <v>2510</v>
      </c>
      <c r="C3374" s="56" t="s">
        <v>10571</v>
      </c>
      <c r="D3374" s="56" t="s">
        <v>10572</v>
      </c>
      <c r="E3374" s="57" t="s">
        <v>10573</v>
      </c>
      <c r="F3374" s="58"/>
      <c r="G3374" s="59"/>
      <c r="H3374" s="60">
        <v>64</v>
      </c>
      <c r="I3374" s="60">
        <v>2</v>
      </c>
      <c r="J3374" s="60">
        <v>576</v>
      </c>
      <c r="K3374" s="55">
        <v>64</v>
      </c>
      <c r="L3374" s="61">
        <f>(41.2*(1-O3/100))/0.75</f>
        <v>54.933333333333337</v>
      </c>
      <c r="M3374" s="12"/>
      <c r="N3374" s="59">
        <f>L3374*M3374</f>
        <v>0</v>
      </c>
      <c r="O3374" s="73">
        <f>0.08*M3374</f>
        <v>0</v>
      </c>
      <c r="P3374" s="63">
        <f>0.00017*M3374</f>
        <v>0</v>
      </c>
      <c r="Q3374" s="64" t="s">
        <v>344</v>
      </c>
      <c r="R3374" s="65" t="s">
        <v>10574</v>
      </c>
      <c r="S3374" s="65" t="s">
        <v>93</v>
      </c>
      <c r="T3374" s="56" t="str">
        <f>HYPERLINK("https://kanzpp.ru/api/getInfo/image/cda31e4c-fdd4-11f0-a28e-00155d82e908")</f>
        <v>https://kanzpp.ru/api/getInfo/image/cda31e4c-fdd4-11f0-a28e-00155d82e908</v>
      </c>
      <c r="U3374" s="56"/>
      <c r="V3374" s="66"/>
    </row>
    <row r="3375" spans="2:22" ht="21" customHeight="1" outlineLevel="5" x14ac:dyDescent="0.2">
      <c r="B3375" s="72">
        <v>2511</v>
      </c>
      <c r="C3375" s="56" t="s">
        <v>10575</v>
      </c>
      <c r="D3375" s="56" t="s">
        <v>10576</v>
      </c>
      <c r="E3375" s="57" t="s">
        <v>10577</v>
      </c>
      <c r="F3375" s="58"/>
      <c r="G3375" s="59"/>
      <c r="H3375" s="60">
        <v>64</v>
      </c>
      <c r="I3375" s="60">
        <v>2</v>
      </c>
      <c r="J3375" s="60">
        <v>784</v>
      </c>
      <c r="K3375" s="55">
        <v>64</v>
      </c>
      <c r="L3375" s="61">
        <f>(41.2*(1-O3/100))/0.75</f>
        <v>54.933333333333337</v>
      </c>
      <c r="M3375" s="12"/>
      <c r="N3375" s="59">
        <f>L3375*M3375</f>
        <v>0</v>
      </c>
      <c r="O3375" s="62">
        <f>0.076*M3375</f>
        <v>0</v>
      </c>
      <c r="P3375" s="63">
        <f>0.00011*M3375</f>
        <v>0</v>
      </c>
      <c r="Q3375" s="64" t="s">
        <v>344</v>
      </c>
      <c r="R3375" s="65" t="s">
        <v>10578</v>
      </c>
      <c r="S3375" s="65" t="s">
        <v>93</v>
      </c>
      <c r="T3375" s="56" t="str">
        <f>HYPERLINK("https://kanzpp.ru/api/getInfo/image/9b097af3-fdd4-11f0-a28e-00155d82e908")</f>
        <v>https://kanzpp.ru/api/getInfo/image/9b097af3-fdd4-11f0-a28e-00155d82e908</v>
      </c>
      <c r="U3375" s="56"/>
      <c r="V3375" s="66"/>
    </row>
    <row r="3376" spans="2:22" ht="21" customHeight="1" outlineLevel="5" x14ac:dyDescent="0.2">
      <c r="B3376" s="72">
        <v>2512</v>
      </c>
      <c r="C3376" s="56" t="s">
        <v>10579</v>
      </c>
      <c r="D3376" s="56" t="s">
        <v>10580</v>
      </c>
      <c r="E3376" s="57" t="s">
        <v>10581</v>
      </c>
      <c r="F3376" s="58"/>
      <c r="G3376" s="59"/>
      <c r="H3376" s="60">
        <v>64</v>
      </c>
      <c r="I3376" s="60">
        <v>2</v>
      </c>
      <c r="J3376" s="60">
        <v>150</v>
      </c>
      <c r="K3376" s="55">
        <v>64</v>
      </c>
      <c r="L3376" s="61">
        <f>(41.2*(1-O3/100))/0.75</f>
        <v>54.933333333333337</v>
      </c>
      <c r="M3376" s="12"/>
      <c r="N3376" s="59">
        <f>L3376*M3376</f>
        <v>0</v>
      </c>
      <c r="O3376" s="62">
        <f>0.072*M3376</f>
        <v>0</v>
      </c>
      <c r="P3376" s="63">
        <f>0.00011*M3376</f>
        <v>0</v>
      </c>
      <c r="Q3376" s="64" t="s">
        <v>344</v>
      </c>
      <c r="R3376" s="65" t="s">
        <v>10582</v>
      </c>
      <c r="S3376" s="65" t="s">
        <v>93</v>
      </c>
      <c r="T3376" s="56" t="str">
        <f>HYPERLINK("https://kanzpp.ru/api/getInfo/image/5b6eabbb-fdd4-11f0-a28e-00155d82e908")</f>
        <v>https://kanzpp.ru/api/getInfo/image/5b6eabbb-fdd4-11f0-a28e-00155d82e908</v>
      </c>
      <c r="U3376" s="56"/>
      <c r="V3376" s="66"/>
    </row>
    <row r="3377" spans="2:22" ht="21" customHeight="1" outlineLevel="5" x14ac:dyDescent="0.2">
      <c r="B3377" s="72">
        <v>2513</v>
      </c>
      <c r="C3377" s="56" t="s">
        <v>10583</v>
      </c>
      <c r="D3377" s="56" t="s">
        <v>10584</v>
      </c>
      <c r="E3377" s="57" t="s">
        <v>10585</v>
      </c>
      <c r="F3377" s="58"/>
      <c r="G3377" s="59"/>
      <c r="H3377" s="60">
        <v>64</v>
      </c>
      <c r="I3377" s="60">
        <v>2</v>
      </c>
      <c r="J3377" s="60">
        <v>460</v>
      </c>
      <c r="K3377" s="55">
        <v>64</v>
      </c>
      <c r="L3377" s="61">
        <f>(41.2*(1-O3/100))/0.75</f>
        <v>54.933333333333337</v>
      </c>
      <c r="M3377" s="12"/>
      <c r="N3377" s="59">
        <f>L3377*M3377</f>
        <v>0</v>
      </c>
      <c r="O3377" s="62">
        <f>0.069*M3377</f>
        <v>0</v>
      </c>
      <c r="P3377" s="63">
        <f>0.00011*M3377</f>
        <v>0</v>
      </c>
      <c r="Q3377" s="64" t="s">
        <v>344</v>
      </c>
      <c r="R3377" s="65" t="s">
        <v>10586</v>
      </c>
      <c r="S3377" s="65" t="s">
        <v>93</v>
      </c>
      <c r="T3377" s="56" t="str">
        <f>HYPERLINK("https://kanzpp.ru/api/getInfo/image/b4ee80b1-fdd4-11f0-a28e-00155d82e908")</f>
        <v>https://kanzpp.ru/api/getInfo/image/b4ee80b1-fdd4-11f0-a28e-00155d82e908</v>
      </c>
      <c r="U3377" s="56"/>
      <c r="V3377" s="66"/>
    </row>
    <row r="3378" spans="2:22" ht="22.95" customHeight="1" outlineLevel="4" x14ac:dyDescent="0.2">
      <c r="B3378" s="82" t="s">
        <v>10587</v>
      </c>
      <c r="C3378" s="82"/>
      <c r="D3378" s="82"/>
      <c r="L3378">
        <v>0</v>
      </c>
    </row>
    <row r="3379" spans="2:22" ht="21" customHeight="1" outlineLevel="5" x14ac:dyDescent="0.2">
      <c r="B3379" s="72">
        <v>2514</v>
      </c>
      <c r="C3379" s="56" t="s">
        <v>10588</v>
      </c>
      <c r="D3379" s="56" t="s">
        <v>10589</v>
      </c>
      <c r="E3379" s="57" t="s">
        <v>10590</v>
      </c>
      <c r="F3379" s="58"/>
      <c r="G3379" s="59"/>
      <c r="H3379" s="60">
        <v>64</v>
      </c>
      <c r="I3379" s="60">
        <v>2</v>
      </c>
      <c r="J3379" s="60">
        <v>224</v>
      </c>
      <c r="K3379" s="55">
        <v>64</v>
      </c>
      <c r="L3379" s="61">
        <f>(50.53*(1-O3/100))/0.75</f>
        <v>67.373333333333335</v>
      </c>
      <c r="M3379" s="12"/>
      <c r="N3379" s="59">
        <f>L3379*M3379</f>
        <v>0</v>
      </c>
      <c r="O3379" s="62">
        <f>0.093*M3379</f>
        <v>0</v>
      </c>
      <c r="P3379" s="63">
        <f>0.00011*M3379</f>
        <v>0</v>
      </c>
      <c r="Q3379" s="64" t="s">
        <v>344</v>
      </c>
      <c r="R3379" s="65" t="s">
        <v>10591</v>
      </c>
      <c r="S3379" s="65" t="s">
        <v>93</v>
      </c>
      <c r="T3379" s="56" t="str">
        <f>HYPERLINK("https://kanzpp.ru/api/getInfo/image/5ee729c3-fdd5-11f0-a28e-00155d82e908")</f>
        <v>https://kanzpp.ru/api/getInfo/image/5ee729c3-fdd5-11f0-a28e-00155d82e908</v>
      </c>
      <c r="U3379" s="56"/>
      <c r="V3379" s="66"/>
    </row>
    <row r="3380" spans="2:22" ht="21" customHeight="1" outlineLevel="5" x14ac:dyDescent="0.2">
      <c r="B3380" s="72">
        <v>2515</v>
      </c>
      <c r="C3380" s="56" t="s">
        <v>10592</v>
      </c>
      <c r="D3380" s="56" t="s">
        <v>10593</v>
      </c>
      <c r="E3380" s="57" t="s">
        <v>10594</v>
      </c>
      <c r="F3380" s="58"/>
      <c r="G3380" s="59"/>
      <c r="H3380" s="60">
        <v>64</v>
      </c>
      <c r="I3380" s="60">
        <v>2</v>
      </c>
      <c r="J3380" s="60">
        <v>82</v>
      </c>
      <c r="K3380" s="55">
        <v>64</v>
      </c>
      <c r="L3380" s="61">
        <f>(50.53*(1-O3/100))/0.75</f>
        <v>67.373333333333335</v>
      </c>
      <c r="M3380" s="12"/>
      <c r="N3380" s="59">
        <f>L3380*M3380</f>
        <v>0</v>
      </c>
      <c r="O3380" s="62">
        <f>0.091*M3380</f>
        <v>0</v>
      </c>
      <c r="P3380" s="63">
        <f>0.00017*M3380</f>
        <v>0</v>
      </c>
      <c r="Q3380" s="64" t="s">
        <v>344</v>
      </c>
      <c r="R3380" s="65" t="s">
        <v>10595</v>
      </c>
      <c r="S3380" s="65" t="s">
        <v>93</v>
      </c>
      <c r="T3380" s="56" t="str">
        <f>HYPERLINK("https://kanzpp.ru/api/getInfo/image/21e5fedf-fdd5-11f0-a28e-00155d82e908")</f>
        <v>https://kanzpp.ru/api/getInfo/image/21e5fedf-fdd5-11f0-a28e-00155d82e908</v>
      </c>
      <c r="U3380" s="56"/>
      <c r="V3380" s="66"/>
    </row>
    <row r="3381" spans="2:22" ht="21" customHeight="1" outlineLevel="5" x14ac:dyDescent="0.2">
      <c r="B3381" s="72">
        <v>2516</v>
      </c>
      <c r="C3381" s="56" t="s">
        <v>10596</v>
      </c>
      <c r="D3381" s="56" t="s">
        <v>10597</v>
      </c>
      <c r="E3381" s="57" t="s">
        <v>10598</v>
      </c>
      <c r="F3381" s="58"/>
      <c r="G3381" s="59"/>
      <c r="H3381" s="60">
        <v>64</v>
      </c>
      <c r="I3381" s="60">
        <v>2</v>
      </c>
      <c r="J3381" s="67">
        <v>1520</v>
      </c>
      <c r="K3381" s="55">
        <v>64</v>
      </c>
      <c r="L3381" s="61">
        <f>(50.53*(1-O3/100))/0.75</f>
        <v>67.373333333333335</v>
      </c>
      <c r="M3381" s="12"/>
      <c r="N3381" s="59">
        <f>L3381*M3381</f>
        <v>0</v>
      </c>
      <c r="O3381" s="62">
        <f>0.075*M3381</f>
        <v>0</v>
      </c>
      <c r="P3381" s="63">
        <f>0.00028*M3381</f>
        <v>0</v>
      </c>
      <c r="Q3381" s="64" t="s">
        <v>344</v>
      </c>
      <c r="R3381" s="65" t="s">
        <v>10599</v>
      </c>
      <c r="S3381" s="65" t="s">
        <v>93</v>
      </c>
      <c r="T3381" s="56" t="str">
        <f>HYPERLINK("https://kanzpp.ru/api/getInfo/image/48578552-fdd5-11f0-a28e-00155d82e908")</f>
        <v>https://kanzpp.ru/api/getInfo/image/48578552-fdd5-11f0-a28e-00155d82e908</v>
      </c>
      <c r="U3381" s="56"/>
      <c r="V3381" s="66"/>
    </row>
    <row r="3382" spans="2:22" ht="22.95" customHeight="1" outlineLevel="4" x14ac:dyDescent="0.2">
      <c r="B3382" s="82" t="s">
        <v>10600</v>
      </c>
      <c r="C3382" s="82"/>
      <c r="D3382" s="82"/>
      <c r="L3382">
        <v>0</v>
      </c>
    </row>
    <row r="3383" spans="2:22" ht="22.95" customHeight="1" outlineLevel="5" x14ac:dyDescent="0.2">
      <c r="B3383" s="83" t="s">
        <v>10601</v>
      </c>
      <c r="C3383" s="83"/>
      <c r="D3383" s="83"/>
      <c r="L3383">
        <v>0</v>
      </c>
    </row>
    <row r="3384" spans="2:22" ht="21" customHeight="1" outlineLevel="6" x14ac:dyDescent="0.2">
      <c r="B3384" s="69">
        <v>2517</v>
      </c>
      <c r="C3384" s="6" t="s">
        <v>10602</v>
      </c>
      <c r="D3384" s="6" t="s">
        <v>10603</v>
      </c>
      <c r="E3384" s="7" t="s">
        <v>10604</v>
      </c>
      <c r="F3384" s="13"/>
      <c r="G3384" s="14"/>
      <c r="H3384" s="14"/>
      <c r="I3384" s="15">
        <v>50</v>
      </c>
      <c r="J3384" s="17">
        <v>1000</v>
      </c>
      <c r="K3384" s="5">
        <v>50</v>
      </c>
      <c r="L3384" s="16">
        <v>13.200000000000001</v>
      </c>
      <c r="M3384" s="12"/>
      <c r="N3384" s="14">
        <f>L3384*M3384</f>
        <v>0</v>
      </c>
      <c r="O3384" s="28">
        <f>0.04*M3384</f>
        <v>0</v>
      </c>
      <c r="P3384" s="24">
        <f>0.00011*M3384</f>
        <v>0</v>
      </c>
      <c r="Q3384" s="25"/>
      <c r="R3384" s="26" t="s">
        <v>10605</v>
      </c>
      <c r="S3384" s="26" t="s">
        <v>93</v>
      </c>
      <c r="T3384" s="6" t="str">
        <f>HYPERLINK("https://kanzpp.ru/api/getInfo/image/011ff97f-0833-11ed-a215-ac1f6b442185")</f>
        <v>https://kanzpp.ru/api/getInfo/image/011ff97f-0833-11ed-a215-ac1f6b442185</v>
      </c>
      <c r="U3384" s="6"/>
      <c r="V3384" s="33" t="s">
        <v>35</v>
      </c>
    </row>
    <row r="3385" spans="2:22" ht="21" customHeight="1" outlineLevel="6" x14ac:dyDescent="0.2">
      <c r="B3385" s="69">
        <v>2518</v>
      </c>
      <c r="C3385" s="6" t="s">
        <v>10606</v>
      </c>
      <c r="D3385" s="6" t="s">
        <v>10607</v>
      </c>
      <c r="E3385" s="7" t="s">
        <v>10608</v>
      </c>
      <c r="F3385" s="13"/>
      <c r="G3385" s="14"/>
      <c r="H3385" s="14"/>
      <c r="I3385" s="15">
        <v>50</v>
      </c>
      <c r="J3385" s="15">
        <v>200</v>
      </c>
      <c r="K3385" s="5">
        <v>50</v>
      </c>
      <c r="L3385" s="16">
        <v>19.866666666666667</v>
      </c>
      <c r="M3385" s="12"/>
      <c r="N3385" s="14">
        <f>L3385*M3385</f>
        <v>0</v>
      </c>
      <c r="O3385" s="23">
        <f>0.043*M3385</f>
        <v>0</v>
      </c>
      <c r="P3385" s="24">
        <f>0.00006*M3385</f>
        <v>0</v>
      </c>
      <c r="Q3385" s="25"/>
      <c r="R3385" s="26" t="s">
        <v>10609</v>
      </c>
      <c r="S3385" s="26" t="s">
        <v>93</v>
      </c>
      <c r="T3385" s="6" t="str">
        <f>HYPERLINK("https://kanzpp.ru/api/getInfo/image/9a54ba2b-0c50-11ef-a25d-00155d82e908")</f>
        <v>https://kanzpp.ru/api/getInfo/image/9a54ba2b-0c50-11ef-a25d-00155d82e908</v>
      </c>
      <c r="U3385" s="6"/>
      <c r="V3385" s="33" t="s">
        <v>35</v>
      </c>
    </row>
    <row r="3386" spans="2:22" ht="21" customHeight="1" outlineLevel="6" x14ac:dyDescent="0.2">
      <c r="B3386" s="69">
        <v>2519</v>
      </c>
      <c r="C3386" s="6" t="s">
        <v>10610</v>
      </c>
      <c r="D3386" s="6" t="s">
        <v>10611</v>
      </c>
      <c r="E3386" s="7" t="s">
        <v>10612</v>
      </c>
      <c r="F3386" s="13"/>
      <c r="G3386" s="14"/>
      <c r="H3386" s="14"/>
      <c r="I3386" s="15">
        <v>50</v>
      </c>
      <c r="J3386" s="15">
        <v>450</v>
      </c>
      <c r="K3386" s="5">
        <v>50</v>
      </c>
      <c r="L3386" s="16">
        <v>13.200000000000001</v>
      </c>
      <c r="M3386" s="12"/>
      <c r="N3386" s="14">
        <f>L3386*M3386</f>
        <v>0</v>
      </c>
      <c r="O3386" s="28">
        <f>0.04*M3386</f>
        <v>0</v>
      </c>
      <c r="P3386" s="24">
        <f>0.00011*M3386</f>
        <v>0</v>
      </c>
      <c r="Q3386" s="25"/>
      <c r="R3386" s="26" t="s">
        <v>10613</v>
      </c>
      <c r="S3386" s="26" t="s">
        <v>93</v>
      </c>
      <c r="T3386" s="6" t="str">
        <f>HYPERLINK("https://kanzpp.ru/api/getInfo/image/3d4e4b4d-0833-11ed-a215-ac1f6b442185")</f>
        <v>https://kanzpp.ru/api/getInfo/image/3d4e4b4d-0833-11ed-a215-ac1f6b442185</v>
      </c>
      <c r="U3386" s="6"/>
      <c r="V3386" s="33" t="s">
        <v>35</v>
      </c>
    </row>
    <row r="3387" spans="2:22" ht="22.95" customHeight="1" outlineLevel="5" x14ac:dyDescent="0.2">
      <c r="B3387" s="83" t="s">
        <v>10614</v>
      </c>
      <c r="C3387" s="83"/>
      <c r="D3387" s="83"/>
      <c r="L3387">
        <v>0</v>
      </c>
    </row>
    <row r="3388" spans="2:22" ht="21" customHeight="1" outlineLevel="6" x14ac:dyDescent="0.2">
      <c r="B3388" s="69">
        <v>2520</v>
      </c>
      <c r="C3388" s="6" t="s">
        <v>10615</v>
      </c>
      <c r="D3388" s="6" t="s">
        <v>10616</v>
      </c>
      <c r="E3388" s="7" t="s">
        <v>10617</v>
      </c>
      <c r="F3388" s="13"/>
      <c r="G3388" s="14"/>
      <c r="H3388" s="14"/>
      <c r="I3388" s="15">
        <v>50</v>
      </c>
      <c r="J3388" s="15">
        <v>60</v>
      </c>
      <c r="K3388" s="5">
        <v>50</v>
      </c>
      <c r="L3388" s="16">
        <v>17.466666666666665</v>
      </c>
      <c r="M3388" s="12"/>
      <c r="N3388" s="14">
        <f>L3388*M3388</f>
        <v>0</v>
      </c>
      <c r="O3388" s="28">
        <f>0.04*M3388</f>
        <v>0</v>
      </c>
      <c r="P3388" s="24">
        <f>0.00011*M3388</f>
        <v>0</v>
      </c>
      <c r="Q3388" s="25"/>
      <c r="R3388" s="26" t="s">
        <v>10618</v>
      </c>
      <c r="S3388" s="26" t="s">
        <v>93</v>
      </c>
      <c r="T3388" s="6" t="str">
        <f>HYPERLINK("https://kanzpp.ru/api/getInfo/image/3bc933fd-6606-11eb-a26d-ac1f6b442184")</f>
        <v>https://kanzpp.ru/api/getInfo/image/3bc933fd-6606-11eb-a26d-ac1f6b442184</v>
      </c>
      <c r="U3388" s="6"/>
      <c r="V3388" s="33" t="s">
        <v>35</v>
      </c>
    </row>
    <row r="3389" spans="2:22" ht="22.95" customHeight="1" outlineLevel="4" x14ac:dyDescent="0.2">
      <c r="B3389" s="82" t="s">
        <v>10619</v>
      </c>
      <c r="C3389" s="82"/>
      <c r="D3389" s="82"/>
      <c r="L3389">
        <v>0</v>
      </c>
    </row>
    <row r="3390" spans="2:22" ht="22.95" customHeight="1" outlineLevel="5" x14ac:dyDescent="0.2">
      <c r="B3390" s="83" t="s">
        <v>10620</v>
      </c>
      <c r="C3390" s="83"/>
      <c r="D3390" s="83"/>
      <c r="L3390">
        <v>0</v>
      </c>
    </row>
    <row r="3391" spans="2:22" ht="21" customHeight="1" outlineLevel="6" x14ac:dyDescent="0.2">
      <c r="B3391" s="69">
        <v>2521</v>
      </c>
      <c r="C3391" s="6" t="s">
        <v>10621</v>
      </c>
      <c r="D3391" s="6" t="s">
        <v>10622</v>
      </c>
      <c r="E3391" s="7" t="s">
        <v>10623</v>
      </c>
      <c r="F3391" s="13"/>
      <c r="G3391" s="14"/>
      <c r="H3391" s="14"/>
      <c r="I3391" s="15">
        <v>30</v>
      </c>
      <c r="J3391" s="17">
        <v>1044</v>
      </c>
      <c r="K3391" s="5">
        <v>30</v>
      </c>
      <c r="L3391" s="16">
        <v>6.5333333333333341</v>
      </c>
      <c r="M3391" s="12"/>
      <c r="N3391" s="14">
        <f>L3391*M3391</f>
        <v>0</v>
      </c>
      <c r="O3391" s="23">
        <f>0.098*M3391</f>
        <v>0</v>
      </c>
      <c r="P3391" s="24">
        <f>0.00011*M3391</f>
        <v>0</v>
      </c>
      <c r="Q3391" s="25"/>
      <c r="R3391" s="26" t="s">
        <v>10624</v>
      </c>
      <c r="S3391" s="26" t="s">
        <v>93</v>
      </c>
      <c r="T3391" s="6" t="str">
        <f>HYPERLINK("https://kanzpp.ru/api/getInfo/image/8fd8200d-08b5-11ed-a215-ac1f6b442185")</f>
        <v>https://kanzpp.ru/api/getInfo/image/8fd8200d-08b5-11ed-a215-ac1f6b442185</v>
      </c>
      <c r="U3391" s="6"/>
      <c r="V3391" s="33" t="s">
        <v>35</v>
      </c>
    </row>
    <row r="3392" spans="2:22" ht="21" customHeight="1" outlineLevel="6" x14ac:dyDescent="0.2">
      <c r="B3392" s="69">
        <v>2522</v>
      </c>
      <c r="C3392" s="6" t="s">
        <v>10625</v>
      </c>
      <c r="D3392" s="6" t="s">
        <v>10626</v>
      </c>
      <c r="E3392" s="7" t="s">
        <v>10627</v>
      </c>
      <c r="F3392" s="13"/>
      <c r="G3392" s="14"/>
      <c r="H3392" s="14"/>
      <c r="I3392" s="15">
        <v>30</v>
      </c>
      <c r="J3392" s="15">
        <v>241</v>
      </c>
      <c r="K3392" s="5">
        <v>30</v>
      </c>
      <c r="L3392" s="16">
        <v>13.200000000000001</v>
      </c>
      <c r="M3392" s="12"/>
      <c r="N3392" s="14">
        <f>L3392*M3392</f>
        <v>0</v>
      </c>
      <c r="O3392" s="23">
        <f>0.098*M3392</f>
        <v>0</v>
      </c>
      <c r="P3392" s="24">
        <f>0.00011*M3392</f>
        <v>0</v>
      </c>
      <c r="Q3392" s="25"/>
      <c r="R3392" s="26" t="s">
        <v>10628</v>
      </c>
      <c r="S3392" s="26" t="s">
        <v>93</v>
      </c>
      <c r="T3392" s="6" t="str">
        <f>HYPERLINK("https://kanzpp.ru/api/getInfo/image/f605c456-661c-11eb-a26d-ac1f6b442184")</f>
        <v>https://kanzpp.ru/api/getInfo/image/f605c456-661c-11eb-a26d-ac1f6b442184</v>
      </c>
      <c r="U3392" s="6"/>
      <c r="V3392" s="33" t="s">
        <v>35</v>
      </c>
    </row>
    <row r="3393" spans="2:22" ht="21" customHeight="1" outlineLevel="6" x14ac:dyDescent="0.2">
      <c r="B3393" s="69">
        <v>2523</v>
      </c>
      <c r="C3393" s="6" t="s">
        <v>10629</v>
      </c>
      <c r="D3393" s="6" t="s">
        <v>10630</v>
      </c>
      <c r="E3393" s="7" t="s">
        <v>10631</v>
      </c>
      <c r="F3393" s="13"/>
      <c r="G3393" s="14"/>
      <c r="H3393" s="14"/>
      <c r="I3393" s="15">
        <v>30</v>
      </c>
      <c r="J3393" s="15">
        <v>735</v>
      </c>
      <c r="K3393" s="5">
        <v>30</v>
      </c>
      <c r="L3393" s="16">
        <v>6.5333333333333341</v>
      </c>
      <c r="M3393" s="12"/>
      <c r="N3393" s="14">
        <f>L3393*M3393</f>
        <v>0</v>
      </c>
      <c r="O3393" s="23">
        <f>0.098*M3393</f>
        <v>0</v>
      </c>
      <c r="P3393" s="24">
        <f>0.00011*M3393</f>
        <v>0</v>
      </c>
      <c r="Q3393" s="25"/>
      <c r="R3393" s="26" t="s">
        <v>10632</v>
      </c>
      <c r="S3393" s="26" t="s">
        <v>93</v>
      </c>
      <c r="T3393" s="6" t="str">
        <f>HYPERLINK("https://kanzpp.ru/api/getInfo/image/9172c9fd-661c-11eb-a26d-ac1f6b442184")</f>
        <v>https://kanzpp.ru/api/getInfo/image/9172c9fd-661c-11eb-a26d-ac1f6b442184</v>
      </c>
      <c r="U3393" s="6"/>
      <c r="V3393" s="33" t="s">
        <v>35</v>
      </c>
    </row>
    <row r="3394" spans="2:22" ht="22.95" customHeight="1" outlineLevel="5" x14ac:dyDescent="0.2">
      <c r="B3394" s="83" t="s">
        <v>10614</v>
      </c>
      <c r="C3394" s="83"/>
      <c r="D3394" s="83"/>
      <c r="L3394">
        <v>0</v>
      </c>
    </row>
    <row r="3395" spans="2:22" ht="21" customHeight="1" outlineLevel="6" x14ac:dyDescent="0.2">
      <c r="B3395" s="71">
        <v>2524</v>
      </c>
      <c r="C3395" s="37" t="s">
        <v>10633</v>
      </c>
      <c r="D3395" s="37" t="s">
        <v>10634</v>
      </c>
      <c r="E3395" s="38" t="s">
        <v>10635</v>
      </c>
      <c r="F3395" s="39"/>
      <c r="G3395" s="40"/>
      <c r="H3395" s="41">
        <v>125</v>
      </c>
      <c r="I3395" s="41">
        <v>5</v>
      </c>
      <c r="J3395" s="41">
        <v>10</v>
      </c>
      <c r="K3395" s="36">
        <v>10</v>
      </c>
      <c r="L3395" s="42">
        <f>(25.19*(1-O3/100))/0.75</f>
        <v>33.586666666666666</v>
      </c>
      <c r="M3395" s="12"/>
      <c r="N3395" s="40">
        <f>L3395*M3395</f>
        <v>0</v>
      </c>
      <c r="O3395" s="48">
        <f>0.04*M3395</f>
        <v>0</v>
      </c>
      <c r="P3395" s="47">
        <f>0.00011*M3395</f>
        <v>0</v>
      </c>
      <c r="Q3395" s="44"/>
      <c r="R3395" s="45"/>
      <c r="S3395" s="45" t="s">
        <v>93</v>
      </c>
      <c r="T3395" s="37" t="str">
        <f>HYPERLINK("https://kanzpp.ru/api/getInfo/image/0a51f57f-77a1-11ec-a210-ac1f6b442185")</f>
        <v>https://kanzpp.ru/api/getInfo/image/0a51f57f-77a1-11ec-a210-ac1f6b442185</v>
      </c>
      <c r="U3395" s="37"/>
    </row>
    <row r="3396" spans="2:22" ht="21" customHeight="1" outlineLevel="6" x14ac:dyDescent="0.2">
      <c r="B3396" s="69">
        <v>2525</v>
      </c>
      <c r="C3396" s="6" t="s">
        <v>10636</v>
      </c>
      <c r="D3396" s="6" t="s">
        <v>10637</v>
      </c>
      <c r="E3396" s="7" t="s">
        <v>10635</v>
      </c>
      <c r="F3396" s="13"/>
      <c r="G3396" s="14"/>
      <c r="H3396" s="14"/>
      <c r="I3396" s="15">
        <v>50</v>
      </c>
      <c r="J3396" s="15">
        <v>251</v>
      </c>
      <c r="K3396" s="5">
        <v>50</v>
      </c>
      <c r="L3396" s="16">
        <v>6</v>
      </c>
      <c r="M3396" s="12"/>
      <c r="N3396" s="14">
        <f>L3396*M3396</f>
        <v>0</v>
      </c>
      <c r="O3396" s="28">
        <f>0.04*M3396</f>
        <v>0</v>
      </c>
      <c r="P3396" s="24">
        <f>0.00011*M3396</f>
        <v>0</v>
      </c>
      <c r="Q3396" s="25"/>
      <c r="R3396" s="26" t="s">
        <v>10638</v>
      </c>
      <c r="S3396" s="26" t="s">
        <v>93</v>
      </c>
      <c r="T3396" s="6" t="str">
        <f>HYPERLINK("https://kanzpp.ru/api/getInfo/image/78aef283-6605-11eb-a26d-ac1f6b442184")</f>
        <v>https://kanzpp.ru/api/getInfo/image/78aef283-6605-11eb-a26d-ac1f6b442184</v>
      </c>
      <c r="U3396" s="6"/>
      <c r="V3396" s="33" t="s">
        <v>35</v>
      </c>
    </row>
    <row r="3397" spans="2:22" ht="22.95" customHeight="1" outlineLevel="3" x14ac:dyDescent="0.2">
      <c r="B3397" s="81" t="s">
        <v>10639</v>
      </c>
      <c r="C3397" s="81"/>
      <c r="D3397" s="81"/>
      <c r="L3397">
        <v>0</v>
      </c>
    </row>
    <row r="3398" spans="2:22" ht="22.95" customHeight="1" outlineLevel="4" x14ac:dyDescent="0.2">
      <c r="B3398" s="82" t="s">
        <v>10640</v>
      </c>
      <c r="C3398" s="82"/>
      <c r="D3398" s="82"/>
      <c r="L3398">
        <v>0</v>
      </c>
    </row>
    <row r="3399" spans="2:22" ht="21" customHeight="1" outlineLevel="5" x14ac:dyDescent="0.2">
      <c r="B3399" s="72">
        <v>2526</v>
      </c>
      <c r="C3399" s="56" t="s">
        <v>10641</v>
      </c>
      <c r="D3399" s="56" t="s">
        <v>10642</v>
      </c>
      <c r="E3399" s="57" t="s">
        <v>10643</v>
      </c>
      <c r="F3399" s="58"/>
      <c r="G3399" s="59"/>
      <c r="H3399" s="60">
        <v>64</v>
      </c>
      <c r="I3399" s="60">
        <v>2</v>
      </c>
      <c r="J3399" s="60">
        <v>488</v>
      </c>
      <c r="K3399" s="55">
        <v>64</v>
      </c>
      <c r="L3399" s="61">
        <f>(37.2*(1-O3/100))/0.75</f>
        <v>49.6</v>
      </c>
      <c r="M3399" s="12"/>
      <c r="N3399" s="59">
        <f>L3399*M3399</f>
        <v>0</v>
      </c>
      <c r="O3399" s="62">
        <f>0.062*M3399</f>
        <v>0</v>
      </c>
      <c r="P3399" s="63">
        <f>0.00014*M3399</f>
        <v>0</v>
      </c>
      <c r="Q3399" s="64" t="s">
        <v>344</v>
      </c>
      <c r="R3399" s="65" t="s">
        <v>10644</v>
      </c>
      <c r="S3399" s="65" t="s">
        <v>93</v>
      </c>
      <c r="T3399" s="56" t="str">
        <f>HYPERLINK("https://kanzpp.ru/api/getInfo/image/1bc95b8f-fdd7-11f0-a28e-00155d82e908")</f>
        <v>https://kanzpp.ru/api/getInfo/image/1bc95b8f-fdd7-11f0-a28e-00155d82e908</v>
      </c>
      <c r="U3399" s="56"/>
      <c r="V3399" s="66"/>
    </row>
    <row r="3400" spans="2:22" ht="21" customHeight="1" outlineLevel="5" x14ac:dyDescent="0.2">
      <c r="B3400" s="72">
        <v>2527</v>
      </c>
      <c r="C3400" s="56" t="s">
        <v>10645</v>
      </c>
      <c r="D3400" s="56" t="s">
        <v>10646</v>
      </c>
      <c r="E3400" s="57" t="s">
        <v>10647</v>
      </c>
      <c r="F3400" s="58"/>
      <c r="G3400" s="59"/>
      <c r="H3400" s="60">
        <v>64</v>
      </c>
      <c r="I3400" s="60">
        <v>2</v>
      </c>
      <c r="J3400" s="60">
        <v>64</v>
      </c>
      <c r="K3400" s="55">
        <v>64</v>
      </c>
      <c r="L3400" s="61">
        <f>(37.2*(1-O3/100))/0.75</f>
        <v>49.6</v>
      </c>
      <c r="M3400" s="12"/>
      <c r="N3400" s="59">
        <f>L3400*M3400</f>
        <v>0</v>
      </c>
      <c r="O3400" s="62">
        <f>0.068*M3400</f>
        <v>0</v>
      </c>
      <c r="P3400" s="63">
        <f>0.00011*M3400</f>
        <v>0</v>
      </c>
      <c r="Q3400" s="64" t="s">
        <v>344</v>
      </c>
      <c r="R3400" s="65" t="s">
        <v>10648</v>
      </c>
      <c r="S3400" s="65" t="s">
        <v>93</v>
      </c>
      <c r="T3400" s="56" t="str">
        <f>HYPERLINK("https://kanzpp.ru/api/getInfo/image/90653d8b-fdd7-11f0-a28e-00155d82e908")</f>
        <v>https://kanzpp.ru/api/getInfo/image/90653d8b-fdd7-11f0-a28e-00155d82e908</v>
      </c>
      <c r="U3400" s="56"/>
      <c r="V3400" s="66"/>
    </row>
    <row r="3401" spans="2:22" ht="21" customHeight="1" outlineLevel="5" x14ac:dyDescent="0.2">
      <c r="B3401" s="72">
        <v>2528</v>
      </c>
      <c r="C3401" s="56" t="s">
        <v>10649</v>
      </c>
      <c r="D3401" s="56" t="s">
        <v>10650</v>
      </c>
      <c r="E3401" s="57" t="s">
        <v>10651</v>
      </c>
      <c r="F3401" s="58"/>
      <c r="G3401" s="59"/>
      <c r="H3401" s="60">
        <v>64</v>
      </c>
      <c r="I3401" s="60">
        <v>2</v>
      </c>
      <c r="J3401" s="60">
        <v>128</v>
      </c>
      <c r="K3401" s="55">
        <v>64</v>
      </c>
      <c r="L3401" s="61">
        <f>(37.2*(1-O3/100))/0.75</f>
        <v>49.6</v>
      </c>
      <c r="M3401" s="12"/>
      <c r="N3401" s="59">
        <f>L3401*M3401</f>
        <v>0</v>
      </c>
      <c r="O3401" s="62">
        <f>0.065*M3401</f>
        <v>0</v>
      </c>
      <c r="P3401" s="63">
        <f>0.00018*M3401</f>
        <v>0</v>
      </c>
      <c r="Q3401" s="64" t="s">
        <v>344</v>
      </c>
      <c r="R3401" s="65" t="s">
        <v>10652</v>
      </c>
      <c r="S3401" s="65" t="s">
        <v>93</v>
      </c>
      <c r="T3401" s="56" t="str">
        <f>HYPERLINK("https://kanzpp.ru/api/getInfo/image/766e7689-fdd7-11f0-a28e-00155d82e908")</f>
        <v>https://kanzpp.ru/api/getInfo/image/766e7689-fdd7-11f0-a28e-00155d82e908</v>
      </c>
      <c r="U3401" s="56"/>
      <c r="V3401" s="66"/>
    </row>
    <row r="3402" spans="2:22" ht="21" customHeight="1" outlineLevel="5" x14ac:dyDescent="0.2">
      <c r="B3402" s="72">
        <v>2529</v>
      </c>
      <c r="C3402" s="56" t="s">
        <v>10653</v>
      </c>
      <c r="D3402" s="56" t="s">
        <v>10654</v>
      </c>
      <c r="E3402" s="57" t="s">
        <v>10655</v>
      </c>
      <c r="F3402" s="58"/>
      <c r="G3402" s="59"/>
      <c r="H3402" s="60">
        <v>64</v>
      </c>
      <c r="I3402" s="60">
        <v>2</v>
      </c>
      <c r="J3402" s="60">
        <v>606</v>
      </c>
      <c r="K3402" s="55">
        <v>64</v>
      </c>
      <c r="L3402" s="61">
        <f>(37.2*(1-O3/100))/0.75</f>
        <v>49.6</v>
      </c>
      <c r="M3402" s="12"/>
      <c r="N3402" s="59">
        <f>L3402*M3402</f>
        <v>0</v>
      </c>
      <c r="O3402" s="62">
        <f>0.066*M3402</f>
        <v>0</v>
      </c>
      <c r="P3402" s="63">
        <f>0.00011*M3402</f>
        <v>0</v>
      </c>
      <c r="Q3402" s="64" t="s">
        <v>344</v>
      </c>
      <c r="R3402" s="65" t="s">
        <v>10656</v>
      </c>
      <c r="S3402" s="65" t="s">
        <v>93</v>
      </c>
      <c r="T3402" s="56" t="str">
        <f>HYPERLINK("https://kanzpp.ru/api/getInfo/image/f46d4e9f-fdd7-11f0-a28e-00155d82e908")</f>
        <v>https://kanzpp.ru/api/getInfo/image/f46d4e9f-fdd7-11f0-a28e-00155d82e908</v>
      </c>
      <c r="U3402" s="56"/>
      <c r="V3402" s="66"/>
    </row>
    <row r="3403" spans="2:22" ht="22.95" customHeight="1" outlineLevel="2" x14ac:dyDescent="0.2">
      <c r="B3403" s="80" t="s">
        <v>10657</v>
      </c>
      <c r="C3403" s="80"/>
      <c r="D3403" s="80"/>
      <c r="L3403">
        <v>0</v>
      </c>
    </row>
    <row r="3404" spans="2:22" ht="22.95" customHeight="1" outlineLevel="3" x14ac:dyDescent="0.2">
      <c r="B3404" s="81" t="s">
        <v>10658</v>
      </c>
      <c r="C3404" s="81"/>
      <c r="D3404" s="81"/>
      <c r="L3404">
        <v>0</v>
      </c>
    </row>
    <row r="3405" spans="2:22" ht="22.95" customHeight="1" outlineLevel="4" x14ac:dyDescent="0.2">
      <c r="B3405" s="82" t="s">
        <v>10659</v>
      </c>
      <c r="C3405" s="82"/>
      <c r="D3405" s="82"/>
      <c r="L3405">
        <v>0</v>
      </c>
    </row>
    <row r="3406" spans="2:22" ht="22.95" customHeight="1" outlineLevel="5" x14ac:dyDescent="0.2">
      <c r="B3406" s="83" t="s">
        <v>10660</v>
      </c>
      <c r="C3406" s="83"/>
      <c r="D3406" s="83"/>
      <c r="L3406">
        <v>0</v>
      </c>
    </row>
    <row r="3407" spans="2:22" ht="21" customHeight="1" outlineLevel="6" x14ac:dyDescent="0.2">
      <c r="B3407" s="71">
        <v>2530</v>
      </c>
      <c r="C3407" s="37" t="s">
        <v>10661</v>
      </c>
      <c r="D3407" s="37" t="s">
        <v>10662</v>
      </c>
      <c r="E3407" s="38" t="s">
        <v>10663</v>
      </c>
      <c r="F3407" s="39"/>
      <c r="G3407" s="40"/>
      <c r="H3407" s="41">
        <v>80</v>
      </c>
      <c r="I3407" s="41">
        <v>10</v>
      </c>
      <c r="J3407" s="50">
        <v>3140</v>
      </c>
      <c r="K3407" s="36">
        <v>80</v>
      </c>
      <c r="L3407" s="42">
        <f>(44.8*(1-O3/100))/0.75</f>
        <v>59.733333333333327</v>
      </c>
      <c r="M3407" s="12"/>
      <c r="N3407" s="40">
        <f>L3407*M3407</f>
        <v>0</v>
      </c>
      <c r="O3407" s="43">
        <f>0.108*M3407</f>
        <v>0</v>
      </c>
      <c r="P3407" s="47">
        <f>0.00021*M3407</f>
        <v>0</v>
      </c>
      <c r="Q3407" s="44"/>
      <c r="R3407" s="45" t="s">
        <v>10664</v>
      </c>
      <c r="S3407" s="45" t="s">
        <v>93</v>
      </c>
      <c r="T3407" s="37" t="str">
        <f>HYPERLINK("https://kanzpp.ru/api/getInfo/image/56690f4b-3b9a-11f0-a27c-00155d82e908")</f>
        <v>https://kanzpp.ru/api/getInfo/image/56690f4b-3b9a-11f0-a27c-00155d82e908</v>
      </c>
      <c r="U3407" s="37"/>
    </row>
    <row r="3408" spans="2:22" ht="21" customHeight="1" outlineLevel="6" x14ac:dyDescent="0.2">
      <c r="B3408" s="71">
        <v>2531</v>
      </c>
      <c r="C3408" s="37" t="s">
        <v>10665</v>
      </c>
      <c r="D3408" s="37" t="s">
        <v>10666</v>
      </c>
      <c r="E3408" s="38" t="s">
        <v>10667</v>
      </c>
      <c r="F3408" s="39"/>
      <c r="G3408" s="40"/>
      <c r="H3408" s="41">
        <v>80</v>
      </c>
      <c r="I3408" s="41">
        <v>10</v>
      </c>
      <c r="J3408" s="41">
        <v>418</v>
      </c>
      <c r="K3408" s="36">
        <v>80</v>
      </c>
      <c r="L3408" s="42">
        <f>(44.8*(1-O3/100))/0.75</f>
        <v>59.733333333333327</v>
      </c>
      <c r="M3408" s="12"/>
      <c r="N3408" s="40">
        <f>L3408*M3408</f>
        <v>0</v>
      </c>
      <c r="O3408" s="43">
        <f>0.108*M3408</f>
        <v>0</v>
      </c>
      <c r="P3408" s="47">
        <f>0.00028*M3408</f>
        <v>0</v>
      </c>
      <c r="Q3408" s="44"/>
      <c r="R3408" s="45" t="s">
        <v>10668</v>
      </c>
      <c r="S3408" s="45" t="s">
        <v>93</v>
      </c>
      <c r="T3408" s="37" t="str">
        <f>HYPERLINK("https://kanzpp.ru/api/getInfo/image/b1274d28-3ba8-11f0-a27c-00155d82e908")</f>
        <v>https://kanzpp.ru/api/getInfo/image/b1274d28-3ba8-11f0-a27c-00155d82e908</v>
      </c>
      <c r="U3408" s="37"/>
    </row>
    <row r="3409" spans="2:22" ht="21" customHeight="1" outlineLevel="6" x14ac:dyDescent="0.2">
      <c r="B3409" s="69">
        <v>2532</v>
      </c>
      <c r="C3409" s="6" t="s">
        <v>10669</v>
      </c>
      <c r="D3409" s="6" t="s">
        <v>10670</v>
      </c>
      <c r="E3409" s="7" t="s">
        <v>10671</v>
      </c>
      <c r="F3409" s="13"/>
      <c r="G3409" s="14"/>
      <c r="H3409" s="14"/>
      <c r="I3409" s="15">
        <v>20</v>
      </c>
      <c r="J3409" s="17">
        <v>2340</v>
      </c>
      <c r="K3409" s="5">
        <v>20</v>
      </c>
      <c r="L3409" s="16">
        <v>39.866666666666667</v>
      </c>
      <c r="M3409" s="12"/>
      <c r="N3409" s="14">
        <f>L3409*M3409</f>
        <v>0</v>
      </c>
      <c r="O3409" s="23">
        <f>0.109*M3409</f>
        <v>0</v>
      </c>
      <c r="P3409" s="24">
        <f>0.00018*M3409</f>
        <v>0</v>
      </c>
      <c r="Q3409" s="25"/>
      <c r="R3409" s="26" t="s">
        <v>10672</v>
      </c>
      <c r="S3409" s="26" t="s">
        <v>93</v>
      </c>
      <c r="T3409" s="6"/>
      <c r="U3409" s="6"/>
      <c r="V3409" s="33" t="s">
        <v>35</v>
      </c>
    </row>
    <row r="3410" spans="2:22" ht="21" customHeight="1" outlineLevel="6" x14ac:dyDescent="0.2">
      <c r="B3410" s="71">
        <v>2533</v>
      </c>
      <c r="C3410" s="37" t="s">
        <v>10673</v>
      </c>
      <c r="D3410" s="37" t="s">
        <v>10674</v>
      </c>
      <c r="E3410" s="38" t="s">
        <v>10675</v>
      </c>
      <c r="F3410" s="39"/>
      <c r="G3410" s="40"/>
      <c r="H3410" s="41">
        <v>80</v>
      </c>
      <c r="I3410" s="41">
        <v>10</v>
      </c>
      <c r="J3410" s="50">
        <v>9229</v>
      </c>
      <c r="K3410" s="36">
        <v>80</v>
      </c>
      <c r="L3410" s="42">
        <f>(44.8*(1-O3/100))/0.75</f>
        <v>59.733333333333327</v>
      </c>
      <c r="M3410" s="12"/>
      <c r="N3410" s="40">
        <f>L3410*M3410</f>
        <v>0</v>
      </c>
      <c r="O3410" s="43">
        <f>0.109*M3410</f>
        <v>0</v>
      </c>
      <c r="P3410" s="47">
        <f>0.00032*M3410</f>
        <v>0</v>
      </c>
      <c r="Q3410" s="44"/>
      <c r="R3410" s="45" t="s">
        <v>10676</v>
      </c>
      <c r="S3410" s="45" t="s">
        <v>93</v>
      </c>
      <c r="T3410" s="37" t="str">
        <f>HYPERLINK("https://kanzpp.ru/api/getInfo/image/77c6cb3b-3ba9-11f0-a27c-00155d82e908")</f>
        <v>https://kanzpp.ru/api/getInfo/image/77c6cb3b-3ba9-11f0-a27c-00155d82e908</v>
      </c>
      <c r="U3410" s="37"/>
    </row>
    <row r="3411" spans="2:22" ht="21" customHeight="1" outlineLevel="6" x14ac:dyDescent="0.2">
      <c r="B3411" s="71">
        <v>2534</v>
      </c>
      <c r="C3411" s="37" t="s">
        <v>10677</v>
      </c>
      <c r="D3411" s="37" t="s">
        <v>10678</v>
      </c>
      <c r="E3411" s="38" t="s">
        <v>10679</v>
      </c>
      <c r="F3411" s="39"/>
      <c r="G3411" s="40"/>
      <c r="H3411" s="41">
        <v>80</v>
      </c>
      <c r="I3411" s="41">
        <v>10</v>
      </c>
      <c r="J3411" s="50">
        <v>7120</v>
      </c>
      <c r="K3411" s="36">
        <v>80</v>
      </c>
      <c r="L3411" s="42">
        <f>(44.8*(1-O3/100))/0.75</f>
        <v>59.733333333333327</v>
      </c>
      <c r="M3411" s="12"/>
      <c r="N3411" s="40">
        <f>L3411*M3411</f>
        <v>0</v>
      </c>
      <c r="O3411" s="43">
        <f>0.108*M3411</f>
        <v>0</v>
      </c>
      <c r="P3411" s="47">
        <f>0.00021*M3411</f>
        <v>0</v>
      </c>
      <c r="Q3411" s="44"/>
      <c r="R3411" s="45" t="s">
        <v>10680</v>
      </c>
      <c r="S3411" s="45" t="s">
        <v>93</v>
      </c>
      <c r="T3411" s="37" t="str">
        <f>HYPERLINK("https://kanzpp.ru/api/getInfo/image/5a0fc9cb-3baa-11f0-a27c-00155d82e908")</f>
        <v>https://kanzpp.ru/api/getInfo/image/5a0fc9cb-3baa-11f0-a27c-00155d82e908</v>
      </c>
      <c r="U3411" s="37"/>
    </row>
    <row r="3412" spans="2:22" ht="22.95" customHeight="1" outlineLevel="5" x14ac:dyDescent="0.2">
      <c r="B3412" s="83" t="s">
        <v>10681</v>
      </c>
      <c r="C3412" s="83"/>
      <c r="D3412" s="83"/>
      <c r="L3412">
        <v>0</v>
      </c>
    </row>
    <row r="3413" spans="2:22" ht="21" customHeight="1" outlineLevel="6" x14ac:dyDescent="0.2">
      <c r="B3413" s="71">
        <v>2535</v>
      </c>
      <c r="C3413" s="37" t="s">
        <v>10682</v>
      </c>
      <c r="D3413" s="37" t="s">
        <v>10683</v>
      </c>
      <c r="E3413" s="38" t="s">
        <v>10684</v>
      </c>
      <c r="F3413" s="39"/>
      <c r="G3413" s="40"/>
      <c r="H3413" s="41">
        <v>80</v>
      </c>
      <c r="I3413" s="41">
        <v>10</v>
      </c>
      <c r="J3413" s="50">
        <v>1050</v>
      </c>
      <c r="K3413" s="36">
        <v>80</v>
      </c>
      <c r="L3413" s="42">
        <f>(59.78*(1-O3/100))/0.75</f>
        <v>79.706666666666663</v>
      </c>
      <c r="M3413" s="12"/>
      <c r="N3413" s="40">
        <f>L3413*M3413</f>
        <v>0</v>
      </c>
      <c r="O3413" s="43">
        <f>0.111*M3413</f>
        <v>0</v>
      </c>
      <c r="P3413" s="47">
        <f>0.00018*M3413</f>
        <v>0</v>
      </c>
      <c r="Q3413" s="44"/>
      <c r="R3413" s="45" t="s">
        <v>10685</v>
      </c>
      <c r="S3413" s="45" t="s">
        <v>93</v>
      </c>
      <c r="T3413" s="37" t="str">
        <f>HYPERLINK("https://kanzpp.ru/api/getInfo/image/965e3e17-36df-11f0-a27c-00155d82e908")</f>
        <v>https://kanzpp.ru/api/getInfo/image/965e3e17-36df-11f0-a27c-00155d82e908</v>
      </c>
      <c r="U3413" s="37"/>
    </row>
    <row r="3414" spans="2:22" ht="21" customHeight="1" outlineLevel="6" x14ac:dyDescent="0.2">
      <c r="B3414" s="71">
        <v>2536</v>
      </c>
      <c r="C3414" s="37" t="s">
        <v>10686</v>
      </c>
      <c r="D3414" s="37" t="s">
        <v>10687</v>
      </c>
      <c r="E3414" s="38" t="s">
        <v>10688</v>
      </c>
      <c r="F3414" s="39"/>
      <c r="G3414" s="40"/>
      <c r="H3414" s="41">
        <v>80</v>
      </c>
      <c r="I3414" s="41">
        <v>10</v>
      </c>
      <c r="J3414" s="50">
        <v>1106</v>
      </c>
      <c r="K3414" s="36">
        <v>80</v>
      </c>
      <c r="L3414" s="42">
        <f>(59.78*(1-O3/100))/0.75</f>
        <v>79.706666666666663</v>
      </c>
      <c r="M3414" s="12"/>
      <c r="N3414" s="40">
        <f>L3414*M3414</f>
        <v>0</v>
      </c>
      <c r="O3414" s="43">
        <f>0.108*M3414</f>
        <v>0</v>
      </c>
      <c r="P3414" s="47">
        <f>0.00028*M3414</f>
        <v>0</v>
      </c>
      <c r="Q3414" s="44"/>
      <c r="R3414" s="45" t="s">
        <v>10689</v>
      </c>
      <c r="S3414" s="45" t="s">
        <v>93</v>
      </c>
      <c r="T3414" s="37" t="str">
        <f>HYPERLINK("https://kanzpp.ru/api/getInfo/image/c3afba0b-36df-11f0-a27c-00155d82e908")</f>
        <v>https://kanzpp.ru/api/getInfo/image/c3afba0b-36df-11f0-a27c-00155d82e908</v>
      </c>
      <c r="U3414" s="37"/>
    </row>
    <row r="3415" spans="2:22" ht="21" customHeight="1" outlineLevel="6" x14ac:dyDescent="0.2">
      <c r="B3415" s="69">
        <v>2537</v>
      </c>
      <c r="C3415" s="6" t="s">
        <v>10690</v>
      </c>
      <c r="D3415" s="6" t="s">
        <v>10691</v>
      </c>
      <c r="E3415" s="7" t="s">
        <v>1198</v>
      </c>
      <c r="F3415" s="13"/>
      <c r="G3415" s="14"/>
      <c r="H3415" s="15">
        <v>80</v>
      </c>
      <c r="I3415" s="15">
        <v>4</v>
      </c>
      <c r="J3415" s="15">
        <v>4</v>
      </c>
      <c r="K3415" s="5">
        <v>4</v>
      </c>
      <c r="L3415" s="16">
        <v>39.866666666666667</v>
      </c>
      <c r="M3415" s="12"/>
      <c r="N3415" s="14">
        <f>L3415*M3415</f>
        <v>0</v>
      </c>
      <c r="O3415" s="23">
        <f>0.115*M3415</f>
        <v>0</v>
      </c>
      <c r="P3415" s="24">
        <f>0.00014*M3415</f>
        <v>0</v>
      </c>
      <c r="Q3415" s="25"/>
      <c r="R3415" s="26"/>
      <c r="S3415" s="26" t="s">
        <v>93</v>
      </c>
      <c r="T3415" s="6" t="str">
        <f>HYPERLINK("https://kanzpp.ru/api/getInfo/image/a05b8d12-129e-11ef-a25d-00155d82e908")</f>
        <v>https://kanzpp.ru/api/getInfo/image/a05b8d12-129e-11ef-a25d-00155d82e908</v>
      </c>
      <c r="U3415" s="6" t="s">
        <v>10692</v>
      </c>
      <c r="V3415" s="33" t="s">
        <v>35</v>
      </c>
    </row>
    <row r="3416" spans="2:22" ht="21" customHeight="1" outlineLevel="6" x14ac:dyDescent="0.2">
      <c r="B3416" s="69">
        <v>2538</v>
      </c>
      <c r="C3416" s="6" t="s">
        <v>10693</v>
      </c>
      <c r="D3416" s="6" t="s">
        <v>10694</v>
      </c>
      <c r="E3416" s="7" t="s">
        <v>10695</v>
      </c>
      <c r="F3416" s="13"/>
      <c r="G3416" s="14"/>
      <c r="H3416" s="15">
        <v>80</v>
      </c>
      <c r="I3416" s="15">
        <v>10</v>
      </c>
      <c r="J3416" s="17">
        <v>4068</v>
      </c>
      <c r="K3416" s="5">
        <v>80</v>
      </c>
      <c r="L3416" s="16">
        <v>39.866666666666667</v>
      </c>
      <c r="M3416" s="12"/>
      <c r="N3416" s="14">
        <f>L3416*M3416</f>
        <v>0</v>
      </c>
      <c r="O3416" s="23">
        <f>0.113*M3416</f>
        <v>0</v>
      </c>
      <c r="P3416" s="24">
        <f>0.00014*M3416</f>
        <v>0</v>
      </c>
      <c r="Q3416" s="25"/>
      <c r="R3416" s="26" t="s">
        <v>10696</v>
      </c>
      <c r="S3416" s="26" t="s">
        <v>93</v>
      </c>
      <c r="T3416" s="6" t="str">
        <f>HYPERLINK("https://kanzpp.ru/api/getInfo/image/01f57f87-b6cb-11ee-a25a-00155d82e908")</f>
        <v>https://kanzpp.ru/api/getInfo/image/01f57f87-b6cb-11ee-a25a-00155d82e908</v>
      </c>
      <c r="U3416" s="6"/>
      <c r="V3416" s="33" t="s">
        <v>35</v>
      </c>
    </row>
    <row r="3417" spans="2:22" ht="21" customHeight="1" outlineLevel="6" x14ac:dyDescent="0.2">
      <c r="B3417" s="69">
        <v>2539</v>
      </c>
      <c r="C3417" s="6" t="s">
        <v>10697</v>
      </c>
      <c r="D3417" s="6" t="s">
        <v>10698</v>
      </c>
      <c r="E3417" s="7" t="s">
        <v>10699</v>
      </c>
      <c r="F3417" s="13"/>
      <c r="G3417" s="14"/>
      <c r="H3417" s="15">
        <v>80</v>
      </c>
      <c r="I3417" s="15">
        <v>10</v>
      </c>
      <c r="J3417" s="17">
        <v>3556</v>
      </c>
      <c r="K3417" s="5">
        <v>80</v>
      </c>
      <c r="L3417" s="16">
        <v>39.866666666666667</v>
      </c>
      <c r="M3417" s="12"/>
      <c r="N3417" s="14">
        <f>L3417*M3417</f>
        <v>0</v>
      </c>
      <c r="O3417" s="23">
        <f>0.117*M3417</f>
        <v>0</v>
      </c>
      <c r="P3417" s="24">
        <f>0.00021*M3417</f>
        <v>0</v>
      </c>
      <c r="Q3417" s="25"/>
      <c r="R3417" s="26" t="s">
        <v>10700</v>
      </c>
      <c r="S3417" s="26" t="s">
        <v>93</v>
      </c>
      <c r="T3417" s="6" t="str">
        <f>HYPERLINK("https://kanzpp.ru/api/getInfo/image/223d558f-b6cb-11ee-a25a-00155d82e908")</f>
        <v>https://kanzpp.ru/api/getInfo/image/223d558f-b6cb-11ee-a25a-00155d82e908</v>
      </c>
      <c r="U3417" s="6"/>
      <c r="V3417" s="33" t="s">
        <v>35</v>
      </c>
    </row>
    <row r="3418" spans="2:22" ht="22.95" customHeight="1" outlineLevel="5" x14ac:dyDescent="0.2">
      <c r="B3418" s="83" t="s">
        <v>10701</v>
      </c>
      <c r="C3418" s="83"/>
      <c r="D3418" s="83"/>
      <c r="L3418">
        <v>0</v>
      </c>
    </row>
    <row r="3419" spans="2:22" ht="21" customHeight="1" outlineLevel="6" x14ac:dyDescent="0.2">
      <c r="B3419" s="69">
        <v>2540</v>
      </c>
      <c r="C3419" s="6" t="s">
        <v>10702</v>
      </c>
      <c r="D3419" s="6" t="s">
        <v>10703</v>
      </c>
      <c r="E3419" s="7" t="s">
        <v>10704</v>
      </c>
      <c r="F3419" s="13"/>
      <c r="G3419" s="14"/>
      <c r="H3419" s="15">
        <v>80</v>
      </c>
      <c r="I3419" s="15">
        <v>5</v>
      </c>
      <c r="J3419" s="17">
        <v>4417</v>
      </c>
      <c r="K3419" s="5">
        <v>80</v>
      </c>
      <c r="L3419" s="16">
        <v>28.133333333333336</v>
      </c>
      <c r="M3419" s="12"/>
      <c r="N3419" s="14">
        <f>L3419*M3419</f>
        <v>0</v>
      </c>
      <c r="O3419" s="23">
        <f>0.113*M3419</f>
        <v>0</v>
      </c>
      <c r="P3419" s="24">
        <f>0.00026*M3419</f>
        <v>0</v>
      </c>
      <c r="Q3419" s="25"/>
      <c r="R3419" s="26" t="s">
        <v>10705</v>
      </c>
      <c r="S3419" s="26" t="s">
        <v>93</v>
      </c>
      <c r="T3419" s="6" t="str">
        <f>HYPERLINK("https://kanzpp.ru/api/getInfo/image/101ea350-b6cd-11ee-a25a-00155d82e908")</f>
        <v>https://kanzpp.ru/api/getInfo/image/101ea350-b6cd-11ee-a25a-00155d82e908</v>
      </c>
      <c r="U3419" s="6"/>
      <c r="V3419" s="33" t="s">
        <v>35</v>
      </c>
    </row>
    <row r="3420" spans="2:22" ht="21" customHeight="1" outlineLevel="6" x14ac:dyDescent="0.2">
      <c r="B3420" s="69">
        <v>2541</v>
      </c>
      <c r="C3420" s="6" t="s">
        <v>10706</v>
      </c>
      <c r="D3420" s="6" t="s">
        <v>10707</v>
      </c>
      <c r="E3420" s="7" t="s">
        <v>10708</v>
      </c>
      <c r="F3420" s="13"/>
      <c r="G3420" s="14"/>
      <c r="H3420" s="15">
        <v>80</v>
      </c>
      <c r="I3420" s="15">
        <v>5</v>
      </c>
      <c r="J3420" s="17">
        <v>1919</v>
      </c>
      <c r="K3420" s="5">
        <v>80</v>
      </c>
      <c r="L3420" s="16">
        <v>28.133333333333336</v>
      </c>
      <c r="M3420" s="12"/>
      <c r="N3420" s="14">
        <f>L3420*M3420</f>
        <v>0</v>
      </c>
      <c r="O3420" s="23">
        <f>0.108*M3420</f>
        <v>0</v>
      </c>
      <c r="P3420" s="24">
        <f>0.00044*M3420</f>
        <v>0</v>
      </c>
      <c r="Q3420" s="25"/>
      <c r="R3420" s="26" t="s">
        <v>10709</v>
      </c>
      <c r="S3420" s="26" t="s">
        <v>93</v>
      </c>
      <c r="T3420" s="6" t="str">
        <f>HYPERLINK("https://kanzpp.ru/api/getInfo/image/97fa4478-b6cc-11ee-a25a-00155d82e908")</f>
        <v>https://kanzpp.ru/api/getInfo/image/97fa4478-b6cc-11ee-a25a-00155d82e908</v>
      </c>
      <c r="U3420" s="6"/>
      <c r="V3420" s="33" t="s">
        <v>35</v>
      </c>
    </row>
    <row r="3421" spans="2:22" ht="22.95" customHeight="1" outlineLevel="5" x14ac:dyDescent="0.2">
      <c r="B3421" s="83" t="s">
        <v>10710</v>
      </c>
      <c r="C3421" s="83"/>
      <c r="D3421" s="83"/>
      <c r="L3421">
        <v>0</v>
      </c>
    </row>
    <row r="3422" spans="2:22" ht="21" customHeight="1" outlineLevel="6" x14ac:dyDescent="0.2">
      <c r="B3422" s="71">
        <v>2542</v>
      </c>
      <c r="C3422" s="37" t="s">
        <v>10711</v>
      </c>
      <c r="D3422" s="37" t="s">
        <v>10712</v>
      </c>
      <c r="E3422" s="38" t="s">
        <v>10713</v>
      </c>
      <c r="F3422" s="39"/>
      <c r="G3422" s="40"/>
      <c r="H3422" s="41">
        <v>80</v>
      </c>
      <c r="I3422" s="41">
        <v>10</v>
      </c>
      <c r="J3422" s="50">
        <v>3517</v>
      </c>
      <c r="K3422" s="36">
        <v>80</v>
      </c>
      <c r="L3422" s="42">
        <f>(50.79*(1-O3/100))/0.75</f>
        <v>67.72</v>
      </c>
      <c r="M3422" s="12"/>
      <c r="N3422" s="40">
        <f>L3422*M3422</f>
        <v>0</v>
      </c>
      <c r="O3422" s="43">
        <f>0.111*M3422</f>
        <v>0</v>
      </c>
      <c r="P3422" s="47">
        <f>0.00025*M3422</f>
        <v>0</v>
      </c>
      <c r="Q3422" s="44"/>
      <c r="R3422" s="45" t="s">
        <v>10714</v>
      </c>
      <c r="S3422" s="45" t="s">
        <v>93</v>
      </c>
      <c r="T3422" s="37" t="str">
        <f>HYPERLINK("https://kanzpp.ru/api/getInfo/image/cc4e1dc7-36e0-11f0-a27c-00155d82e908")</f>
        <v>https://kanzpp.ru/api/getInfo/image/cc4e1dc7-36e0-11f0-a27c-00155d82e908</v>
      </c>
      <c r="U3422" s="37"/>
    </row>
    <row r="3423" spans="2:22" ht="21" customHeight="1" outlineLevel="6" x14ac:dyDescent="0.2">
      <c r="B3423" s="71">
        <v>2543</v>
      </c>
      <c r="C3423" s="37" t="s">
        <v>10715</v>
      </c>
      <c r="D3423" s="37" t="s">
        <v>10716</v>
      </c>
      <c r="E3423" s="38" t="s">
        <v>10717</v>
      </c>
      <c r="F3423" s="39"/>
      <c r="G3423" s="40"/>
      <c r="H3423" s="41">
        <v>80</v>
      </c>
      <c r="I3423" s="41">
        <v>10</v>
      </c>
      <c r="J3423" s="50">
        <v>1710</v>
      </c>
      <c r="K3423" s="36">
        <v>80</v>
      </c>
      <c r="L3423" s="42">
        <f>(50.79*(1-O3/100))/0.75</f>
        <v>67.72</v>
      </c>
      <c r="M3423" s="12"/>
      <c r="N3423" s="40">
        <f>L3423*M3423</f>
        <v>0</v>
      </c>
      <c r="O3423" s="43">
        <f>0.108*M3423</f>
        <v>0</v>
      </c>
      <c r="P3423" s="47">
        <f>0.00021*M3423</f>
        <v>0</v>
      </c>
      <c r="Q3423" s="44"/>
      <c r="R3423" s="45" t="s">
        <v>10718</v>
      </c>
      <c r="S3423" s="45" t="s">
        <v>93</v>
      </c>
      <c r="T3423" s="37" t="str">
        <f>HYPERLINK("https://kanzpp.ru/api/getInfo/image/edee1c9e-36e0-11f0-a27c-00155d82e908")</f>
        <v>https://kanzpp.ru/api/getInfo/image/edee1c9e-36e0-11f0-a27c-00155d82e908</v>
      </c>
      <c r="U3423" s="37"/>
    </row>
    <row r="3424" spans="2:22" ht="21" customHeight="1" outlineLevel="6" x14ac:dyDescent="0.2">
      <c r="B3424" s="69">
        <v>2544</v>
      </c>
      <c r="C3424" s="6" t="s">
        <v>10719</v>
      </c>
      <c r="D3424" s="6" t="s">
        <v>10720</v>
      </c>
      <c r="E3424" s="7" t="s">
        <v>10721</v>
      </c>
      <c r="F3424" s="13"/>
      <c r="G3424" s="14"/>
      <c r="H3424" s="15">
        <v>80</v>
      </c>
      <c r="I3424" s="15">
        <v>10</v>
      </c>
      <c r="J3424" s="17">
        <v>5418</v>
      </c>
      <c r="K3424" s="5">
        <v>80</v>
      </c>
      <c r="L3424" s="16">
        <v>38.533333333333331</v>
      </c>
      <c r="M3424" s="12"/>
      <c r="N3424" s="14">
        <f>L3424*M3424</f>
        <v>0</v>
      </c>
      <c r="O3424" s="23">
        <f>0.123*M3424</f>
        <v>0</v>
      </c>
      <c r="P3424" s="24">
        <f>0.00014*M3424</f>
        <v>0</v>
      </c>
      <c r="Q3424" s="25"/>
      <c r="R3424" s="26" t="s">
        <v>10722</v>
      </c>
      <c r="S3424" s="26" t="s">
        <v>93</v>
      </c>
      <c r="T3424" s="6" t="str">
        <f>HYPERLINK("https://kanzpp.ru/api/getInfo/image/07078aad-b6c6-11ee-a25a-00155d82e908")</f>
        <v>https://kanzpp.ru/api/getInfo/image/07078aad-b6c6-11ee-a25a-00155d82e908</v>
      </c>
      <c r="U3424" s="6"/>
      <c r="V3424" s="33" t="s">
        <v>35</v>
      </c>
    </row>
    <row r="3425" spans="2:22" ht="21" customHeight="1" outlineLevel="6" x14ac:dyDescent="0.2">
      <c r="B3425" s="69">
        <v>2545</v>
      </c>
      <c r="C3425" s="6" t="s">
        <v>10723</v>
      </c>
      <c r="D3425" s="6" t="s">
        <v>10724</v>
      </c>
      <c r="E3425" s="7" t="s">
        <v>10725</v>
      </c>
      <c r="F3425" s="13"/>
      <c r="G3425" s="14"/>
      <c r="H3425" s="15">
        <v>80</v>
      </c>
      <c r="I3425" s="15">
        <v>10</v>
      </c>
      <c r="J3425" s="17">
        <v>1873</v>
      </c>
      <c r="K3425" s="5">
        <v>80</v>
      </c>
      <c r="L3425" s="16">
        <v>38.533333333333331</v>
      </c>
      <c r="M3425" s="12"/>
      <c r="N3425" s="14">
        <f>L3425*M3425</f>
        <v>0</v>
      </c>
      <c r="O3425" s="23">
        <f>0.109*M3425</f>
        <v>0</v>
      </c>
      <c r="P3425" s="24">
        <f>0.00035*M3425</f>
        <v>0</v>
      </c>
      <c r="Q3425" s="25"/>
      <c r="R3425" s="26" t="s">
        <v>10726</v>
      </c>
      <c r="S3425" s="26" t="s">
        <v>93</v>
      </c>
      <c r="T3425" s="6" t="str">
        <f>HYPERLINK("https://kanzpp.ru/api/getInfo/image/a7a9afbe-bc7e-11ef-a267-00155d82e908")</f>
        <v>https://kanzpp.ru/api/getInfo/image/a7a9afbe-bc7e-11ef-a267-00155d82e908</v>
      </c>
      <c r="U3425" s="6"/>
      <c r="V3425" s="33" t="s">
        <v>35</v>
      </c>
    </row>
    <row r="3426" spans="2:22" ht="22.95" customHeight="1" outlineLevel="4" x14ac:dyDescent="0.2">
      <c r="B3426" s="82" t="s">
        <v>10727</v>
      </c>
      <c r="C3426" s="82"/>
      <c r="D3426" s="82"/>
      <c r="L3426">
        <v>0</v>
      </c>
    </row>
    <row r="3427" spans="2:22" ht="22.95" customHeight="1" outlineLevel="5" x14ac:dyDescent="0.2">
      <c r="B3427" s="83" t="s">
        <v>10728</v>
      </c>
      <c r="C3427" s="83"/>
      <c r="D3427" s="83"/>
      <c r="L3427">
        <v>0</v>
      </c>
    </row>
    <row r="3428" spans="2:22" ht="21" customHeight="1" outlineLevel="6" x14ac:dyDescent="0.2">
      <c r="B3428" s="69">
        <v>2546</v>
      </c>
      <c r="C3428" s="6" t="s">
        <v>10729</v>
      </c>
      <c r="D3428" s="6" t="s">
        <v>10730</v>
      </c>
      <c r="E3428" s="7" t="s">
        <v>10731</v>
      </c>
      <c r="F3428" s="13"/>
      <c r="G3428" s="14"/>
      <c r="H3428" s="15">
        <v>48</v>
      </c>
      <c r="I3428" s="15">
        <v>6</v>
      </c>
      <c r="J3428" s="17">
        <v>5455</v>
      </c>
      <c r="K3428" s="5">
        <v>48</v>
      </c>
      <c r="L3428" s="16">
        <v>38.533333333333331</v>
      </c>
      <c r="M3428" s="12"/>
      <c r="N3428" s="14">
        <f t="shared" ref="N3428:N3434" si="156">L3428*M3428</f>
        <v>0</v>
      </c>
      <c r="O3428" s="23">
        <f>0.108*M3428</f>
        <v>0</v>
      </c>
      <c r="P3428" s="24">
        <f>0.00021*M3428</f>
        <v>0</v>
      </c>
      <c r="Q3428" s="25"/>
      <c r="R3428" s="26" t="s">
        <v>10732</v>
      </c>
      <c r="S3428" s="26" t="s">
        <v>93</v>
      </c>
      <c r="T3428" s="6" t="str">
        <f>HYPERLINK("https://kanzpp.ru/api/getInfo/image/7d0814ea-4a69-11ef-a262-00155d82e908")</f>
        <v>https://kanzpp.ru/api/getInfo/image/7d0814ea-4a69-11ef-a262-00155d82e908</v>
      </c>
      <c r="U3428" s="6"/>
      <c r="V3428" s="33" t="s">
        <v>35</v>
      </c>
    </row>
    <row r="3429" spans="2:22" ht="21" customHeight="1" outlineLevel="6" x14ac:dyDescent="0.2">
      <c r="B3429" s="71">
        <v>2547</v>
      </c>
      <c r="C3429" s="37" t="s">
        <v>10733</v>
      </c>
      <c r="D3429" s="37" t="s">
        <v>10734</v>
      </c>
      <c r="E3429" s="38" t="s">
        <v>10735</v>
      </c>
      <c r="F3429" s="39"/>
      <c r="G3429" s="40"/>
      <c r="H3429" s="41">
        <v>48</v>
      </c>
      <c r="I3429" s="41">
        <v>6</v>
      </c>
      <c r="J3429" s="41">
        <v>48</v>
      </c>
      <c r="K3429" s="36">
        <v>48</v>
      </c>
      <c r="L3429" s="42">
        <f>(69.81*(1-O3/100))/0.75</f>
        <v>93.08</v>
      </c>
      <c r="M3429" s="12"/>
      <c r="N3429" s="40">
        <f t="shared" si="156"/>
        <v>0</v>
      </c>
      <c r="O3429" s="43">
        <f>0.206*M3429</f>
        <v>0</v>
      </c>
      <c r="P3429" s="46">
        <f>0.0004*M3429</f>
        <v>0</v>
      </c>
      <c r="Q3429" s="44"/>
      <c r="R3429" s="45" t="s">
        <v>10736</v>
      </c>
      <c r="S3429" s="45" t="s">
        <v>93</v>
      </c>
      <c r="T3429" s="37" t="str">
        <f>HYPERLINK("https://kanzpp.ru/api/getInfo/image/ec5af222-b6c7-11ee-a25a-00155d82e908")</f>
        <v>https://kanzpp.ru/api/getInfo/image/ec5af222-b6c7-11ee-a25a-00155d82e908</v>
      </c>
      <c r="U3429" s="37"/>
    </row>
    <row r="3430" spans="2:22" ht="21" customHeight="1" outlineLevel="6" x14ac:dyDescent="0.2">
      <c r="B3430" s="71">
        <v>2548</v>
      </c>
      <c r="C3430" s="37" t="s">
        <v>10737</v>
      </c>
      <c r="D3430" s="37" t="s">
        <v>10738</v>
      </c>
      <c r="E3430" s="38" t="s">
        <v>10739</v>
      </c>
      <c r="F3430" s="39"/>
      <c r="G3430" s="40"/>
      <c r="H3430" s="41">
        <v>48</v>
      </c>
      <c r="I3430" s="41">
        <v>6</v>
      </c>
      <c r="J3430" s="50">
        <v>3114</v>
      </c>
      <c r="K3430" s="36">
        <v>48</v>
      </c>
      <c r="L3430" s="42">
        <f>(69.81*(1-O3/100))/0.75</f>
        <v>93.08</v>
      </c>
      <c r="M3430" s="12"/>
      <c r="N3430" s="40">
        <f t="shared" si="156"/>
        <v>0</v>
      </c>
      <c r="O3430" s="49">
        <f>0.2*M3430</f>
        <v>0</v>
      </c>
      <c r="P3430" s="47">
        <f>0.00019*M3430</f>
        <v>0</v>
      </c>
      <c r="Q3430" s="44"/>
      <c r="R3430" s="45" t="s">
        <v>10740</v>
      </c>
      <c r="S3430" s="45" t="s">
        <v>93</v>
      </c>
      <c r="T3430" s="37" t="str">
        <f>HYPERLINK("https://kanzpp.ru/api/getInfo/image/55d2fae7-36e3-11f0-a27c-00155d82e908")</f>
        <v>https://kanzpp.ru/api/getInfo/image/55d2fae7-36e3-11f0-a27c-00155d82e908</v>
      </c>
      <c r="U3430" s="37"/>
    </row>
    <row r="3431" spans="2:22" ht="21" customHeight="1" outlineLevel="6" x14ac:dyDescent="0.2">
      <c r="B3431" s="71">
        <v>2549</v>
      </c>
      <c r="C3431" s="37" t="s">
        <v>10741</v>
      </c>
      <c r="D3431" s="37" t="s">
        <v>10742</v>
      </c>
      <c r="E3431" s="38" t="s">
        <v>10743</v>
      </c>
      <c r="F3431" s="39"/>
      <c r="G3431" s="40"/>
      <c r="H3431" s="41">
        <v>48</v>
      </c>
      <c r="I3431" s="41">
        <v>6</v>
      </c>
      <c r="J3431" s="50">
        <v>3937</v>
      </c>
      <c r="K3431" s="36">
        <v>48</v>
      </c>
      <c r="L3431" s="42">
        <f>(69.81*(1-O3/100))/0.75</f>
        <v>93.08</v>
      </c>
      <c r="M3431" s="12"/>
      <c r="N3431" s="40">
        <f t="shared" si="156"/>
        <v>0</v>
      </c>
      <c r="O3431" s="43">
        <f>0.198*M3431</f>
        <v>0</v>
      </c>
      <c r="P3431" s="47">
        <f>0.00022*M3431</f>
        <v>0</v>
      </c>
      <c r="Q3431" s="44"/>
      <c r="R3431" s="45" t="s">
        <v>10744</v>
      </c>
      <c r="S3431" s="45" t="s">
        <v>93</v>
      </c>
      <c r="T3431" s="37" t="str">
        <f>HYPERLINK("https://kanzpp.ru/api/getInfo/image/0a5090df-36e3-11f0-a27c-00155d82e908")</f>
        <v>https://kanzpp.ru/api/getInfo/image/0a5090df-36e3-11f0-a27c-00155d82e908</v>
      </c>
      <c r="U3431" s="37"/>
    </row>
    <row r="3432" spans="2:22" ht="21" customHeight="1" outlineLevel="6" x14ac:dyDescent="0.2">
      <c r="B3432" s="69">
        <v>2550</v>
      </c>
      <c r="C3432" s="6" t="s">
        <v>10745</v>
      </c>
      <c r="D3432" s="6" t="s">
        <v>10746</v>
      </c>
      <c r="E3432" s="7" t="s">
        <v>10747</v>
      </c>
      <c r="F3432" s="13"/>
      <c r="G3432" s="14"/>
      <c r="H3432" s="15">
        <v>48</v>
      </c>
      <c r="I3432" s="15">
        <v>6</v>
      </c>
      <c r="J3432" s="17">
        <v>1938</v>
      </c>
      <c r="K3432" s="5">
        <v>48</v>
      </c>
      <c r="L3432" s="16">
        <v>38.533333333333331</v>
      </c>
      <c r="M3432" s="12"/>
      <c r="N3432" s="14">
        <f t="shared" si="156"/>
        <v>0</v>
      </c>
      <c r="O3432" s="23">
        <f>0.204*M3432</f>
        <v>0</v>
      </c>
      <c r="P3432" s="24">
        <f>0.00034*M3432</f>
        <v>0</v>
      </c>
      <c r="Q3432" s="25"/>
      <c r="R3432" s="26" t="s">
        <v>10748</v>
      </c>
      <c r="S3432" s="26" t="s">
        <v>93</v>
      </c>
      <c r="T3432" s="6" t="str">
        <f>HYPERLINK("https://kanzpp.ru/api/getInfo/image/ab7edc5a-4a69-11ef-a262-00155d82e908")</f>
        <v>https://kanzpp.ru/api/getInfo/image/ab7edc5a-4a69-11ef-a262-00155d82e908</v>
      </c>
      <c r="U3432" s="6"/>
      <c r="V3432" s="33" t="s">
        <v>35</v>
      </c>
    </row>
    <row r="3433" spans="2:22" ht="21" customHeight="1" outlineLevel="6" x14ac:dyDescent="0.2">
      <c r="B3433" s="69">
        <v>2551</v>
      </c>
      <c r="C3433" s="6" t="s">
        <v>10749</v>
      </c>
      <c r="D3433" s="6" t="s">
        <v>10750</v>
      </c>
      <c r="E3433" s="7" t="s">
        <v>10751</v>
      </c>
      <c r="F3433" s="13"/>
      <c r="G3433" s="14"/>
      <c r="H3433" s="15">
        <v>48</v>
      </c>
      <c r="I3433" s="15">
        <v>6</v>
      </c>
      <c r="J3433" s="15">
        <v>482</v>
      </c>
      <c r="K3433" s="5">
        <v>48</v>
      </c>
      <c r="L3433" s="16">
        <v>38.533333333333331</v>
      </c>
      <c r="M3433" s="12"/>
      <c r="N3433" s="14">
        <f t="shared" si="156"/>
        <v>0</v>
      </c>
      <c r="O3433" s="23">
        <f>0.203*M3433</f>
        <v>0</v>
      </c>
      <c r="P3433" s="24">
        <f>0.00073*M3433</f>
        <v>0</v>
      </c>
      <c r="Q3433" s="25"/>
      <c r="R3433" s="26" t="s">
        <v>10752</v>
      </c>
      <c r="S3433" s="26" t="s">
        <v>93</v>
      </c>
      <c r="T3433" s="6" t="str">
        <f>HYPERLINK("https://kanzpp.ru/api/getInfo/image/a78796cd-b6c7-11ee-a25a-00155d82e908")</f>
        <v>https://kanzpp.ru/api/getInfo/image/a78796cd-b6c7-11ee-a25a-00155d82e908</v>
      </c>
      <c r="U3433" s="6"/>
      <c r="V3433" s="33" t="s">
        <v>35</v>
      </c>
    </row>
    <row r="3434" spans="2:22" ht="21" customHeight="1" outlineLevel="6" x14ac:dyDescent="0.2">
      <c r="B3434" s="71">
        <v>2552</v>
      </c>
      <c r="C3434" s="37" t="s">
        <v>10753</v>
      </c>
      <c r="D3434" s="37" t="s">
        <v>10754</v>
      </c>
      <c r="E3434" s="38" t="s">
        <v>10755</v>
      </c>
      <c r="F3434" s="39"/>
      <c r="G3434" s="40"/>
      <c r="H3434" s="41">
        <v>48</v>
      </c>
      <c r="I3434" s="41">
        <v>6</v>
      </c>
      <c r="J3434" s="50">
        <v>1866</v>
      </c>
      <c r="K3434" s="36">
        <v>48</v>
      </c>
      <c r="L3434" s="42">
        <f>(69.81*(1-O3/100))/0.75</f>
        <v>93.08</v>
      </c>
      <c r="M3434" s="12"/>
      <c r="N3434" s="40">
        <f t="shared" si="156"/>
        <v>0</v>
      </c>
      <c r="O3434" s="43">
        <f>0.129*M3434</f>
        <v>0</v>
      </c>
      <c r="P3434" s="47">
        <f>0.00045*M3434</f>
        <v>0</v>
      </c>
      <c r="Q3434" s="44"/>
      <c r="R3434" s="45" t="s">
        <v>10756</v>
      </c>
      <c r="S3434" s="45" t="s">
        <v>93</v>
      </c>
      <c r="T3434" s="37" t="str">
        <f>HYPERLINK("https://kanzpp.ru/api/getInfo/image/5e8f9d3a-36e2-11f0-a27c-00155d82e908")</f>
        <v>https://kanzpp.ru/api/getInfo/image/5e8f9d3a-36e2-11f0-a27c-00155d82e908</v>
      </c>
      <c r="U3434" s="37"/>
    </row>
    <row r="3435" spans="2:22" ht="22.95" customHeight="1" outlineLevel="5" x14ac:dyDescent="0.2">
      <c r="B3435" s="83" t="s">
        <v>10757</v>
      </c>
      <c r="C3435" s="83"/>
      <c r="D3435" s="83"/>
      <c r="L3435">
        <v>0</v>
      </c>
    </row>
    <row r="3436" spans="2:22" ht="21" customHeight="1" outlineLevel="6" x14ac:dyDescent="0.2">
      <c r="B3436" s="71">
        <v>2553</v>
      </c>
      <c r="C3436" s="37" t="s">
        <v>10758</v>
      </c>
      <c r="D3436" s="37" t="s">
        <v>10759</v>
      </c>
      <c r="E3436" s="38" t="s">
        <v>10760</v>
      </c>
      <c r="F3436" s="39"/>
      <c r="G3436" s="40"/>
      <c r="H3436" s="41">
        <v>48</v>
      </c>
      <c r="I3436" s="41">
        <v>6</v>
      </c>
      <c r="J3436" s="41">
        <v>84</v>
      </c>
      <c r="K3436" s="36">
        <v>48</v>
      </c>
      <c r="L3436" s="42">
        <f>(83.29*(1-O3/100))/0.75</f>
        <v>111.05333333333334</v>
      </c>
      <c r="M3436" s="12"/>
      <c r="N3436" s="40">
        <f>L3436*M3436</f>
        <v>0</v>
      </c>
      <c r="O3436" s="43">
        <f>0.198*M3436</f>
        <v>0</v>
      </c>
      <c r="P3436" s="47">
        <f>0.00022*M3436</f>
        <v>0</v>
      </c>
      <c r="Q3436" s="44"/>
      <c r="R3436" s="45" t="s">
        <v>10761</v>
      </c>
      <c r="S3436" s="45" t="s">
        <v>93</v>
      </c>
      <c r="T3436" s="37" t="str">
        <f>HYPERLINK("https://kanzpp.ru/api/getInfo/image/4f0b957b-36e4-11f0-a27c-00155d82e908")</f>
        <v>https://kanzpp.ru/api/getInfo/image/4f0b957b-36e4-11f0-a27c-00155d82e908</v>
      </c>
      <c r="U3436" s="37"/>
    </row>
    <row r="3437" spans="2:22" ht="21" customHeight="1" outlineLevel="6" x14ac:dyDescent="0.2">
      <c r="B3437" s="69">
        <v>2554</v>
      </c>
      <c r="C3437" s="6" t="s">
        <v>10762</v>
      </c>
      <c r="D3437" s="6" t="s">
        <v>10763</v>
      </c>
      <c r="E3437" s="7" t="s">
        <v>152</v>
      </c>
      <c r="F3437" s="13"/>
      <c r="G3437" s="14"/>
      <c r="H3437" s="14"/>
      <c r="I3437" s="15">
        <v>12</v>
      </c>
      <c r="J3437" s="17">
        <v>4800</v>
      </c>
      <c r="K3437" s="5">
        <v>12</v>
      </c>
      <c r="L3437" s="16">
        <v>82.600000000000009</v>
      </c>
      <c r="M3437" s="12"/>
      <c r="N3437" s="14">
        <f>L3437*M3437</f>
        <v>0</v>
      </c>
      <c r="O3437" s="23">
        <f>0.209*M3437</f>
        <v>0</v>
      </c>
      <c r="P3437" s="24">
        <f>0.00042*M3437</f>
        <v>0</v>
      </c>
      <c r="Q3437" s="25"/>
      <c r="R3437" s="26"/>
      <c r="S3437" s="26" t="s">
        <v>93</v>
      </c>
      <c r="T3437" s="6"/>
      <c r="U3437" s="6"/>
      <c r="V3437" s="33" t="s">
        <v>35</v>
      </c>
    </row>
    <row r="3438" spans="2:22" ht="21" customHeight="1" outlineLevel="6" x14ac:dyDescent="0.2">
      <c r="B3438" s="69">
        <v>2555</v>
      </c>
      <c r="C3438" s="6" t="s">
        <v>10764</v>
      </c>
      <c r="D3438" s="6" t="s">
        <v>10765</v>
      </c>
      <c r="E3438" s="7" t="s">
        <v>10766</v>
      </c>
      <c r="F3438" s="13"/>
      <c r="G3438" s="14"/>
      <c r="H3438" s="15">
        <v>48</v>
      </c>
      <c r="I3438" s="15">
        <v>6</v>
      </c>
      <c r="J3438" s="15">
        <v>412</v>
      </c>
      <c r="K3438" s="5">
        <v>48</v>
      </c>
      <c r="L3438" s="16">
        <v>44</v>
      </c>
      <c r="M3438" s="12"/>
      <c r="N3438" s="14">
        <f>L3438*M3438</f>
        <v>0</v>
      </c>
      <c r="O3438" s="23">
        <f>0.213*M3438</f>
        <v>0</v>
      </c>
      <c r="P3438" s="24">
        <f>0.00029*M3438</f>
        <v>0</v>
      </c>
      <c r="Q3438" s="25"/>
      <c r="R3438" s="26" t="s">
        <v>10767</v>
      </c>
      <c r="S3438" s="26" t="s">
        <v>93</v>
      </c>
      <c r="T3438" s="6" t="str">
        <f>HYPERLINK("https://kanzpp.ru/api/getInfo/image/ed185a7f-b50c-11ee-a259-00155d82e908")</f>
        <v>https://kanzpp.ru/api/getInfo/image/ed185a7f-b50c-11ee-a259-00155d82e908</v>
      </c>
      <c r="U3438" s="6"/>
      <c r="V3438" s="33" t="s">
        <v>35</v>
      </c>
    </row>
    <row r="3439" spans="2:22" ht="21" customHeight="1" outlineLevel="6" x14ac:dyDescent="0.2">
      <c r="B3439" s="69">
        <v>2556</v>
      </c>
      <c r="C3439" s="6" t="s">
        <v>10768</v>
      </c>
      <c r="D3439" s="6" t="s">
        <v>10769</v>
      </c>
      <c r="E3439" s="7" t="s">
        <v>10770</v>
      </c>
      <c r="F3439" s="13"/>
      <c r="G3439" s="14"/>
      <c r="H3439" s="15">
        <v>48</v>
      </c>
      <c r="I3439" s="15">
        <v>6</v>
      </c>
      <c r="J3439" s="17">
        <v>1608</v>
      </c>
      <c r="K3439" s="5">
        <v>48</v>
      </c>
      <c r="L3439" s="16">
        <v>44</v>
      </c>
      <c r="M3439" s="12"/>
      <c r="N3439" s="14">
        <f>L3439*M3439</f>
        <v>0</v>
      </c>
      <c r="O3439" s="23">
        <f>0.221*M3439</f>
        <v>0</v>
      </c>
      <c r="P3439" s="24">
        <f>0.00029*M3439</f>
        <v>0</v>
      </c>
      <c r="Q3439" s="25"/>
      <c r="R3439" s="26" t="s">
        <v>10771</v>
      </c>
      <c r="S3439" s="26" t="s">
        <v>93</v>
      </c>
      <c r="T3439" s="6" t="str">
        <f>HYPERLINK("https://kanzpp.ru/api/getInfo/image/3e7be684-b50d-11ee-a259-00155d82e908")</f>
        <v>https://kanzpp.ru/api/getInfo/image/3e7be684-b50d-11ee-a259-00155d82e908</v>
      </c>
      <c r="U3439" s="6"/>
      <c r="V3439" s="33" t="s">
        <v>35</v>
      </c>
    </row>
    <row r="3440" spans="2:22" ht="22.95" customHeight="1" outlineLevel="5" x14ac:dyDescent="0.2">
      <c r="B3440" s="83" t="s">
        <v>10772</v>
      </c>
      <c r="C3440" s="83"/>
      <c r="D3440" s="83"/>
      <c r="L3440">
        <v>0</v>
      </c>
    </row>
    <row r="3441" spans="2:22" ht="21" customHeight="1" outlineLevel="6" x14ac:dyDescent="0.2">
      <c r="B3441" s="69">
        <v>2557</v>
      </c>
      <c r="C3441" s="6" t="s">
        <v>10773</v>
      </c>
      <c r="D3441" s="6" t="s">
        <v>10774</v>
      </c>
      <c r="E3441" s="7" t="s">
        <v>10775</v>
      </c>
      <c r="F3441" s="13"/>
      <c r="G3441" s="14"/>
      <c r="H3441" s="15">
        <v>48</v>
      </c>
      <c r="I3441" s="15">
        <v>2</v>
      </c>
      <c r="J3441" s="17">
        <v>1266</v>
      </c>
      <c r="K3441" s="5">
        <v>8</v>
      </c>
      <c r="L3441" s="16">
        <v>44</v>
      </c>
      <c r="M3441" s="12"/>
      <c r="N3441" s="14">
        <f>L3441*M3441</f>
        <v>0</v>
      </c>
      <c r="O3441" s="23">
        <f>0.217*M3441</f>
        <v>0</v>
      </c>
      <c r="P3441" s="24">
        <f>0.00032*M3441</f>
        <v>0</v>
      </c>
      <c r="Q3441" s="25"/>
      <c r="R3441" s="26"/>
      <c r="S3441" s="26" t="s">
        <v>93</v>
      </c>
      <c r="T3441" s="6" t="str">
        <f>HYPERLINK("https://kanzpp.ru/api/getInfo/image/1a9c2aeb-ea79-11ee-a25a-00155d82e908")</f>
        <v>https://kanzpp.ru/api/getInfo/image/1a9c2aeb-ea79-11ee-a25a-00155d82e908</v>
      </c>
      <c r="U3441" s="6"/>
      <c r="V3441" s="33" t="s">
        <v>35</v>
      </c>
    </row>
    <row r="3442" spans="2:22" ht="21" customHeight="1" outlineLevel="6" x14ac:dyDescent="0.2">
      <c r="B3442" s="69">
        <v>2558</v>
      </c>
      <c r="C3442" s="6" t="s">
        <v>10776</v>
      </c>
      <c r="D3442" s="6" t="s">
        <v>10777</v>
      </c>
      <c r="E3442" s="7" t="s">
        <v>10778</v>
      </c>
      <c r="F3442" s="13"/>
      <c r="G3442" s="14"/>
      <c r="H3442" s="15">
        <v>48</v>
      </c>
      <c r="I3442" s="15">
        <v>2</v>
      </c>
      <c r="J3442" s="15">
        <v>594</v>
      </c>
      <c r="K3442" s="5">
        <v>8</v>
      </c>
      <c r="L3442" s="16">
        <v>44</v>
      </c>
      <c r="M3442" s="12"/>
      <c r="N3442" s="14">
        <f>L3442*M3442</f>
        <v>0</v>
      </c>
      <c r="O3442" s="23">
        <f>0.199*M3442</f>
        <v>0</v>
      </c>
      <c r="P3442" s="24">
        <f>0.00033*M3442</f>
        <v>0</v>
      </c>
      <c r="Q3442" s="25"/>
      <c r="R3442" s="26"/>
      <c r="S3442" s="26" t="s">
        <v>93</v>
      </c>
      <c r="T3442" s="6" t="str">
        <f>HYPERLINK("https://kanzpp.ru/api/getInfo/image/e3d2ea26-ea79-11ee-a25a-00155d82e908")</f>
        <v>https://kanzpp.ru/api/getInfo/image/e3d2ea26-ea79-11ee-a25a-00155d82e908</v>
      </c>
      <c r="U3442" s="6"/>
      <c r="V3442" s="33" t="s">
        <v>35</v>
      </c>
    </row>
    <row r="3443" spans="2:22" ht="21" customHeight="1" outlineLevel="6" x14ac:dyDescent="0.2">
      <c r="B3443" s="69">
        <v>2559</v>
      </c>
      <c r="C3443" s="6" t="s">
        <v>10779</v>
      </c>
      <c r="D3443" s="6" t="s">
        <v>10780</v>
      </c>
      <c r="E3443" s="7" t="s">
        <v>10778</v>
      </c>
      <c r="F3443" s="13"/>
      <c r="G3443" s="14"/>
      <c r="H3443" s="15">
        <v>48</v>
      </c>
      <c r="I3443" s="15">
        <v>6</v>
      </c>
      <c r="J3443" s="17">
        <v>2051</v>
      </c>
      <c r="K3443" s="5">
        <v>48</v>
      </c>
      <c r="L3443" s="16">
        <v>73.2</v>
      </c>
      <c r="M3443" s="12"/>
      <c r="N3443" s="14">
        <f>L3443*M3443</f>
        <v>0</v>
      </c>
      <c r="O3443" s="23">
        <f>0.212*M3443</f>
        <v>0</v>
      </c>
      <c r="P3443" s="24">
        <f>0.00043*M3443</f>
        <v>0</v>
      </c>
      <c r="Q3443" s="25"/>
      <c r="R3443" s="26" t="s">
        <v>10781</v>
      </c>
      <c r="S3443" s="26" t="s">
        <v>93</v>
      </c>
      <c r="T3443" s="6" t="str">
        <f>HYPERLINK("https://kanzpp.ru/api/getInfo/image/7ce4e7b8-e679-11ee-a25a-00155d82e908")</f>
        <v>https://kanzpp.ru/api/getInfo/image/7ce4e7b8-e679-11ee-a25a-00155d82e908</v>
      </c>
      <c r="U3443" s="6"/>
      <c r="V3443" s="33" t="s">
        <v>35</v>
      </c>
    </row>
    <row r="3444" spans="2:22" ht="21" customHeight="1" outlineLevel="6" x14ac:dyDescent="0.2">
      <c r="B3444" s="69">
        <v>2560</v>
      </c>
      <c r="C3444" s="6" t="s">
        <v>10782</v>
      </c>
      <c r="D3444" s="6" t="s">
        <v>10783</v>
      </c>
      <c r="E3444" s="7" t="s">
        <v>10784</v>
      </c>
      <c r="F3444" s="13"/>
      <c r="G3444" s="14"/>
      <c r="H3444" s="15">
        <v>48</v>
      </c>
      <c r="I3444" s="15">
        <v>6</v>
      </c>
      <c r="J3444" s="17">
        <v>2180</v>
      </c>
      <c r="K3444" s="5">
        <v>48</v>
      </c>
      <c r="L3444" s="16">
        <v>44</v>
      </c>
      <c r="M3444" s="12"/>
      <c r="N3444" s="14">
        <f>L3444*M3444</f>
        <v>0</v>
      </c>
      <c r="O3444" s="23">
        <f>0.199*M3444</f>
        <v>0</v>
      </c>
      <c r="P3444" s="24">
        <f>0.00033*M3444</f>
        <v>0</v>
      </c>
      <c r="Q3444" s="25"/>
      <c r="R3444" s="26" t="s">
        <v>10785</v>
      </c>
      <c r="S3444" s="26" t="s">
        <v>93</v>
      </c>
      <c r="T3444" s="6" t="str">
        <f>HYPERLINK("https://kanzpp.ru/api/getInfo/image/a22cdc44-e679-11ee-a25a-00155d82e908")</f>
        <v>https://kanzpp.ru/api/getInfo/image/a22cdc44-e679-11ee-a25a-00155d82e908</v>
      </c>
      <c r="U3444" s="6"/>
      <c r="V3444" s="33" t="s">
        <v>35</v>
      </c>
    </row>
    <row r="3445" spans="2:22" ht="22.95" customHeight="1" outlineLevel="5" x14ac:dyDescent="0.2">
      <c r="B3445" s="83" t="s">
        <v>10786</v>
      </c>
      <c r="C3445" s="83"/>
      <c r="D3445" s="83"/>
      <c r="L3445">
        <v>0</v>
      </c>
    </row>
    <row r="3446" spans="2:22" ht="21" customHeight="1" outlineLevel="6" x14ac:dyDescent="0.2">
      <c r="B3446" s="69">
        <v>2561</v>
      </c>
      <c r="C3446" s="6" t="s">
        <v>10787</v>
      </c>
      <c r="D3446" s="6" t="s">
        <v>10788</v>
      </c>
      <c r="E3446" s="7" t="s">
        <v>10789</v>
      </c>
      <c r="F3446" s="13"/>
      <c r="G3446" s="14"/>
      <c r="H3446" s="15">
        <v>48</v>
      </c>
      <c r="I3446" s="15">
        <v>4</v>
      </c>
      <c r="J3446" s="15">
        <v>28</v>
      </c>
      <c r="K3446" s="5">
        <v>8</v>
      </c>
      <c r="L3446" s="16">
        <v>44</v>
      </c>
      <c r="M3446" s="12"/>
      <c r="N3446" s="14">
        <f>L3446*M3446</f>
        <v>0</v>
      </c>
      <c r="O3446" s="23">
        <f>0.214*M3446</f>
        <v>0</v>
      </c>
      <c r="P3446" s="24">
        <f>0.00028*M3446</f>
        <v>0</v>
      </c>
      <c r="Q3446" s="25"/>
      <c r="R3446" s="26"/>
      <c r="S3446" s="26" t="s">
        <v>93</v>
      </c>
      <c r="T3446" s="6" t="str">
        <f>HYPERLINK("https://kanzpp.ru/api/getInfo/image/9d26f744-9e1f-11ed-a22f-00155d82e902")</f>
        <v>https://kanzpp.ru/api/getInfo/image/9d26f744-9e1f-11ed-a22f-00155d82e902</v>
      </c>
      <c r="U3446" s="6" t="s">
        <v>10790</v>
      </c>
      <c r="V3446" s="33" t="s">
        <v>35</v>
      </c>
    </row>
    <row r="3447" spans="2:22" ht="22.95" customHeight="1" outlineLevel="2" x14ac:dyDescent="0.2">
      <c r="B3447" s="80" t="s">
        <v>10791</v>
      </c>
      <c r="C3447" s="80"/>
      <c r="D3447" s="80"/>
      <c r="L3447">
        <v>0</v>
      </c>
    </row>
    <row r="3448" spans="2:22" ht="22.95" customHeight="1" outlineLevel="3" x14ac:dyDescent="0.2">
      <c r="B3448" s="81" t="s">
        <v>10792</v>
      </c>
      <c r="C3448" s="81"/>
      <c r="D3448" s="81"/>
      <c r="L3448">
        <v>0</v>
      </c>
    </row>
    <row r="3449" spans="2:22" ht="22.95" customHeight="1" outlineLevel="4" x14ac:dyDescent="0.2">
      <c r="B3449" s="82" t="s">
        <v>10793</v>
      </c>
      <c r="C3449" s="82"/>
      <c r="D3449" s="82"/>
      <c r="L3449">
        <v>0</v>
      </c>
    </row>
    <row r="3450" spans="2:22" ht="22.95" customHeight="1" outlineLevel="5" x14ac:dyDescent="0.2">
      <c r="B3450" s="83" t="s">
        <v>10794</v>
      </c>
      <c r="C3450" s="83"/>
      <c r="D3450" s="83"/>
      <c r="L3450">
        <v>0</v>
      </c>
    </row>
    <row r="3451" spans="2:22" ht="21" customHeight="1" outlineLevel="6" x14ac:dyDescent="0.2">
      <c r="B3451" s="71">
        <v>2562</v>
      </c>
      <c r="C3451" s="37" t="s">
        <v>10795</v>
      </c>
      <c r="D3451" s="37" t="s">
        <v>10796</v>
      </c>
      <c r="E3451" s="38" t="s">
        <v>10797</v>
      </c>
      <c r="F3451" s="39"/>
      <c r="G3451" s="40"/>
      <c r="H3451" s="41">
        <v>40</v>
      </c>
      <c r="I3451" s="40"/>
      <c r="J3451" s="40" t="s">
        <v>144</v>
      </c>
      <c r="K3451" s="36">
        <v>40</v>
      </c>
      <c r="L3451" s="42">
        <f>(81.03*(1-O3/100))/0.75</f>
        <v>108.04</v>
      </c>
      <c r="M3451" s="12"/>
      <c r="N3451" s="40">
        <f>L3451*M3451</f>
        <v>0</v>
      </c>
      <c r="O3451" s="43">
        <f>0.339*M3451</f>
        <v>0</v>
      </c>
      <c r="P3451" s="47">
        <f>0.00059*M3451</f>
        <v>0</v>
      </c>
      <c r="Q3451" s="44"/>
      <c r="R3451" s="45" t="s">
        <v>10798</v>
      </c>
      <c r="S3451" s="45" t="s">
        <v>93</v>
      </c>
      <c r="T3451" s="37" t="str">
        <f>HYPERLINK("https://kanzpp.ru/api/getInfo/image/a3e2fa70-678d-11f0-a283-00155d82e908")</f>
        <v>https://kanzpp.ru/api/getInfo/image/a3e2fa70-678d-11f0-a283-00155d82e908</v>
      </c>
      <c r="U3451" s="37"/>
    </row>
    <row r="3452" spans="2:22" ht="22.95" customHeight="1" outlineLevel="5" x14ac:dyDescent="0.2">
      <c r="B3452" s="83" t="s">
        <v>10799</v>
      </c>
      <c r="C3452" s="83"/>
      <c r="D3452" s="83"/>
      <c r="L3452">
        <v>0</v>
      </c>
    </row>
    <row r="3453" spans="2:22" ht="21" customHeight="1" outlineLevel="6" x14ac:dyDescent="0.2">
      <c r="B3453" s="71">
        <v>2563</v>
      </c>
      <c r="C3453" s="37" t="s">
        <v>10800</v>
      </c>
      <c r="D3453" s="37" t="s">
        <v>10801</v>
      </c>
      <c r="E3453" s="38" t="s">
        <v>10802</v>
      </c>
      <c r="F3453" s="39"/>
      <c r="G3453" s="40"/>
      <c r="H3453" s="41">
        <v>40</v>
      </c>
      <c r="I3453" s="41">
        <v>8</v>
      </c>
      <c r="J3453" s="40" t="s">
        <v>144</v>
      </c>
      <c r="K3453" s="36">
        <v>40</v>
      </c>
      <c r="L3453" s="42">
        <f>(88.99*(1-O3/100))/0.75</f>
        <v>118.65333333333332</v>
      </c>
      <c r="M3453" s="12"/>
      <c r="N3453" s="40">
        <f>L3453*M3453</f>
        <v>0</v>
      </c>
      <c r="O3453" s="43">
        <f>0.225*M3453</f>
        <v>0</v>
      </c>
      <c r="P3453" s="47">
        <f>0.00058*M3453</f>
        <v>0</v>
      </c>
      <c r="Q3453" s="44"/>
      <c r="R3453" s="45" t="s">
        <v>10803</v>
      </c>
      <c r="S3453" s="45" t="s">
        <v>93</v>
      </c>
      <c r="T3453" s="37" t="str">
        <f>HYPERLINK("https://kanzpp.ru/api/getInfo/image/9569f7eb-e5f4-11ee-a25a-00155d82e908")</f>
        <v>https://kanzpp.ru/api/getInfo/image/9569f7eb-e5f4-11ee-a25a-00155d82e908</v>
      </c>
      <c r="U3453" s="37"/>
    </row>
    <row r="3454" spans="2:22" ht="22.95" customHeight="1" outlineLevel="4" x14ac:dyDescent="0.2">
      <c r="B3454" s="82" t="s">
        <v>10804</v>
      </c>
      <c r="C3454" s="82"/>
      <c r="D3454" s="82"/>
      <c r="L3454">
        <v>0</v>
      </c>
    </row>
    <row r="3455" spans="2:22" ht="22.95" customHeight="1" outlineLevel="5" x14ac:dyDescent="0.2">
      <c r="B3455" s="83" t="s">
        <v>10805</v>
      </c>
      <c r="C3455" s="83"/>
      <c r="D3455" s="83"/>
      <c r="L3455">
        <v>0</v>
      </c>
    </row>
    <row r="3456" spans="2:22" ht="21" customHeight="1" outlineLevel="6" x14ac:dyDescent="0.2">
      <c r="B3456" s="71">
        <v>2564</v>
      </c>
      <c r="C3456" s="37" t="s">
        <v>10806</v>
      </c>
      <c r="D3456" s="37" t="s">
        <v>10807</v>
      </c>
      <c r="E3456" s="38" t="s">
        <v>10808</v>
      </c>
      <c r="F3456" s="39"/>
      <c r="G3456" s="40"/>
      <c r="H3456" s="41">
        <v>32</v>
      </c>
      <c r="I3456" s="40"/>
      <c r="J3456" s="40" t="s">
        <v>144</v>
      </c>
      <c r="K3456" s="36">
        <v>32</v>
      </c>
      <c r="L3456" s="42">
        <f>(96.95*(1-O3/100))/0.75</f>
        <v>129.26666666666668</v>
      </c>
      <c r="M3456" s="12"/>
      <c r="N3456" s="40">
        <f>L3456*M3456</f>
        <v>0</v>
      </c>
      <c r="O3456" s="49">
        <f>0.3*M3456</f>
        <v>0</v>
      </c>
      <c r="P3456" s="47">
        <f>0.00053*M3456</f>
        <v>0</v>
      </c>
      <c r="Q3456" s="44"/>
      <c r="R3456" s="45" t="s">
        <v>10809</v>
      </c>
      <c r="S3456" s="45" t="s">
        <v>93</v>
      </c>
      <c r="T3456" s="37" t="str">
        <f>HYPERLINK("https://kanzpp.ru/api/getInfo/image/66f2770b-4a58-11ef-a262-00155d82e908")</f>
        <v>https://kanzpp.ru/api/getInfo/image/66f2770b-4a58-11ef-a262-00155d82e908</v>
      </c>
      <c r="U3456" s="37"/>
    </row>
    <row r="3457" spans="2:22" ht="22.95" customHeight="1" outlineLevel="4" x14ac:dyDescent="0.2">
      <c r="B3457" s="82" t="s">
        <v>10810</v>
      </c>
      <c r="C3457" s="82"/>
      <c r="D3457" s="82"/>
      <c r="L3457">
        <v>0</v>
      </c>
    </row>
    <row r="3458" spans="2:22" ht="22.95" customHeight="1" outlineLevel="5" x14ac:dyDescent="0.2">
      <c r="B3458" s="83" t="s">
        <v>10811</v>
      </c>
      <c r="C3458" s="83"/>
      <c r="D3458" s="83"/>
      <c r="L3458">
        <v>0</v>
      </c>
    </row>
    <row r="3459" spans="2:22" ht="21" customHeight="1" outlineLevel="6" x14ac:dyDescent="0.2">
      <c r="B3459" s="71">
        <v>2565</v>
      </c>
      <c r="C3459" s="37" t="s">
        <v>10812</v>
      </c>
      <c r="D3459" s="37" t="s">
        <v>10813</v>
      </c>
      <c r="E3459" s="38" t="s">
        <v>10814</v>
      </c>
      <c r="F3459" s="39"/>
      <c r="G3459" s="40"/>
      <c r="H3459" s="41">
        <v>30</v>
      </c>
      <c r="I3459" s="41">
        <v>5</v>
      </c>
      <c r="J3459" s="41">
        <v>60</v>
      </c>
      <c r="K3459" s="36">
        <v>30</v>
      </c>
      <c r="L3459" s="42">
        <f>(117.73*(1-O3/100))/0.75</f>
        <v>156.97333333333333</v>
      </c>
      <c r="M3459" s="12"/>
      <c r="N3459" s="40">
        <f>L3459*M3459</f>
        <v>0</v>
      </c>
      <c r="O3459" s="43">
        <f>0.339*M3459</f>
        <v>0</v>
      </c>
      <c r="P3459" s="47">
        <f>0.00059*M3459</f>
        <v>0</v>
      </c>
      <c r="Q3459" s="44"/>
      <c r="R3459" s="45" t="s">
        <v>10815</v>
      </c>
      <c r="S3459" s="45" t="s">
        <v>93</v>
      </c>
      <c r="T3459" s="37" t="str">
        <f>HYPERLINK("https://kanzpp.ru/api/getInfo/image/ac75af7f-6079-11f0-a281-00155d82e908")</f>
        <v>https://kanzpp.ru/api/getInfo/image/ac75af7f-6079-11f0-a281-00155d82e908</v>
      </c>
      <c r="U3459" s="37"/>
    </row>
    <row r="3460" spans="2:22" ht="22.95" customHeight="1" outlineLevel="5" x14ac:dyDescent="0.2">
      <c r="B3460" s="83" t="s">
        <v>10816</v>
      </c>
      <c r="C3460" s="83"/>
      <c r="D3460" s="83"/>
      <c r="L3460">
        <v>0</v>
      </c>
    </row>
    <row r="3461" spans="2:22" ht="21" customHeight="1" outlineLevel="6" x14ac:dyDescent="0.2">
      <c r="B3461" s="69">
        <v>2566</v>
      </c>
      <c r="C3461" s="6" t="s">
        <v>10817</v>
      </c>
      <c r="D3461" s="6" t="s">
        <v>10818</v>
      </c>
      <c r="E3461" s="7" t="s">
        <v>10819</v>
      </c>
      <c r="F3461" s="13"/>
      <c r="G3461" s="14"/>
      <c r="H3461" s="15">
        <v>30</v>
      </c>
      <c r="I3461" s="15">
        <v>5</v>
      </c>
      <c r="J3461" s="15">
        <v>87</v>
      </c>
      <c r="K3461" s="5">
        <v>30</v>
      </c>
      <c r="L3461" s="16">
        <v>112.66666666666667</v>
      </c>
      <c r="M3461" s="12"/>
      <c r="N3461" s="14">
        <f>L3461*M3461</f>
        <v>0</v>
      </c>
      <c r="O3461" s="23">
        <f>0.366*M3461</f>
        <v>0</v>
      </c>
      <c r="P3461" s="24">
        <f>0.00048*M3461</f>
        <v>0</v>
      </c>
      <c r="Q3461" s="25"/>
      <c r="R3461" s="26" t="s">
        <v>10820</v>
      </c>
      <c r="S3461" s="26" t="s">
        <v>93</v>
      </c>
      <c r="T3461" s="6" t="str">
        <f>HYPERLINK("https://kanzpp.ru/api/getInfo/image/7d4b82ef-bc7d-11ef-a267-00155d82e908")</f>
        <v>https://kanzpp.ru/api/getInfo/image/7d4b82ef-bc7d-11ef-a267-00155d82e908</v>
      </c>
      <c r="U3461" s="6"/>
      <c r="V3461" s="33" t="s">
        <v>35</v>
      </c>
    </row>
    <row r="3462" spans="2:22" ht="21" customHeight="1" outlineLevel="6" x14ac:dyDescent="0.2">
      <c r="B3462" s="71">
        <v>2567</v>
      </c>
      <c r="C3462" s="37" t="s">
        <v>10821</v>
      </c>
      <c r="D3462" s="37" t="s">
        <v>10822</v>
      </c>
      <c r="E3462" s="38" t="s">
        <v>10823</v>
      </c>
      <c r="F3462" s="39"/>
      <c r="G3462" s="40"/>
      <c r="H3462" s="41">
        <v>30</v>
      </c>
      <c r="I3462" s="41">
        <v>5</v>
      </c>
      <c r="J3462" s="50">
        <v>1542</v>
      </c>
      <c r="K3462" s="36">
        <v>30</v>
      </c>
      <c r="L3462" s="42">
        <f>(125.2*(1-O3/100))/0.75</f>
        <v>166.93333333333334</v>
      </c>
      <c r="M3462" s="12"/>
      <c r="N3462" s="40">
        <f>L3462*M3462</f>
        <v>0</v>
      </c>
      <c r="O3462" s="43">
        <f>0.366*M3462</f>
        <v>0</v>
      </c>
      <c r="P3462" s="47">
        <f>0.00048*M3462</f>
        <v>0</v>
      </c>
      <c r="Q3462" s="44"/>
      <c r="R3462" s="45" t="s">
        <v>10824</v>
      </c>
      <c r="S3462" s="45" t="s">
        <v>93</v>
      </c>
      <c r="T3462" s="37" t="str">
        <f>HYPERLINK("https://kanzpp.ru/api/getInfo/image/33306faa-36cf-11f0-a27c-00155d82e908")</f>
        <v>https://kanzpp.ru/api/getInfo/image/33306faa-36cf-11f0-a27c-00155d82e908</v>
      </c>
      <c r="U3462" s="37"/>
    </row>
    <row r="3463" spans="2:22" ht="22.95" customHeight="1" outlineLevel="5" x14ac:dyDescent="0.2">
      <c r="B3463" s="83" t="s">
        <v>10825</v>
      </c>
      <c r="C3463" s="83"/>
      <c r="D3463" s="83"/>
      <c r="L3463">
        <v>0</v>
      </c>
    </row>
    <row r="3464" spans="2:22" ht="21" customHeight="1" outlineLevel="6" x14ac:dyDescent="0.2">
      <c r="B3464" s="71">
        <v>2568</v>
      </c>
      <c r="C3464" s="37" t="s">
        <v>10826</v>
      </c>
      <c r="D3464" s="37" t="s">
        <v>10827</v>
      </c>
      <c r="E3464" s="38" t="s">
        <v>10828</v>
      </c>
      <c r="F3464" s="39"/>
      <c r="G3464" s="40"/>
      <c r="H3464" s="41">
        <v>40</v>
      </c>
      <c r="I3464" s="41">
        <v>2</v>
      </c>
      <c r="J3464" s="50">
        <v>1179</v>
      </c>
      <c r="K3464" s="36">
        <v>40</v>
      </c>
      <c r="L3464" s="42">
        <f>(132.15*(1-O3/100))/0.75</f>
        <v>176.20000000000002</v>
      </c>
      <c r="M3464" s="12"/>
      <c r="N3464" s="40">
        <f>L3464*M3464</f>
        <v>0</v>
      </c>
      <c r="O3464" s="43">
        <f>0.361*M3464</f>
        <v>0</v>
      </c>
      <c r="P3464" s="47">
        <f>0.00017*M3464</f>
        <v>0</v>
      </c>
      <c r="Q3464" s="44"/>
      <c r="R3464" s="45" t="s">
        <v>10829</v>
      </c>
      <c r="S3464" s="45" t="s">
        <v>93</v>
      </c>
      <c r="T3464" s="37" t="str">
        <f>HYPERLINK("https://kanzpp.ru/api/getInfo/image/ae7fe906-b62c-11ef-a267-00155d82e908")</f>
        <v>https://kanzpp.ru/api/getInfo/image/ae7fe906-b62c-11ef-a267-00155d82e908</v>
      </c>
      <c r="U3464" s="37"/>
    </row>
    <row r="3465" spans="2:22" ht="21" customHeight="1" outlineLevel="6" x14ac:dyDescent="0.2">
      <c r="B3465" s="71">
        <v>2569</v>
      </c>
      <c r="C3465" s="37" t="s">
        <v>10830</v>
      </c>
      <c r="D3465" s="37" t="s">
        <v>10831</v>
      </c>
      <c r="E3465" s="38" t="s">
        <v>10832</v>
      </c>
      <c r="F3465" s="39"/>
      <c r="G3465" s="40"/>
      <c r="H3465" s="41">
        <v>32</v>
      </c>
      <c r="I3465" s="41">
        <v>4</v>
      </c>
      <c r="J3465" s="50">
        <v>1139</v>
      </c>
      <c r="K3465" s="36">
        <v>32</v>
      </c>
      <c r="L3465" s="42">
        <f>(132.15*(1-O3/100))/0.75</f>
        <v>176.20000000000002</v>
      </c>
      <c r="M3465" s="12"/>
      <c r="N3465" s="40">
        <f>L3465*M3465</f>
        <v>0</v>
      </c>
      <c r="O3465" s="43">
        <f>0.351*M3465</f>
        <v>0</v>
      </c>
      <c r="P3465" s="47">
        <f>0.00064*M3465</f>
        <v>0</v>
      </c>
      <c r="Q3465" s="44"/>
      <c r="R3465" s="45" t="s">
        <v>10833</v>
      </c>
      <c r="S3465" s="45" t="s">
        <v>93</v>
      </c>
      <c r="T3465" s="37" t="str">
        <f>HYPERLINK("https://kanzpp.ru/api/getInfo/image/88cc21b2-4c12-11f0-a27c-00155d82e908")</f>
        <v>https://kanzpp.ru/api/getInfo/image/88cc21b2-4c12-11f0-a27c-00155d82e908</v>
      </c>
      <c r="U3465" s="37"/>
    </row>
    <row r="3466" spans="2:22" ht="21" customHeight="1" outlineLevel="6" x14ac:dyDescent="0.2">
      <c r="B3466" s="71">
        <v>2570</v>
      </c>
      <c r="C3466" s="37" t="s">
        <v>10834</v>
      </c>
      <c r="D3466" s="37" t="s">
        <v>10835</v>
      </c>
      <c r="E3466" s="38" t="s">
        <v>10836</v>
      </c>
      <c r="F3466" s="39"/>
      <c r="G3466" s="40"/>
      <c r="H3466" s="41">
        <v>40</v>
      </c>
      <c r="I3466" s="41">
        <v>2</v>
      </c>
      <c r="J3466" s="41">
        <v>272</v>
      </c>
      <c r="K3466" s="36">
        <v>40</v>
      </c>
      <c r="L3466" s="42">
        <f>(132.15*(1-O3/100))/0.75</f>
        <v>176.20000000000002</v>
      </c>
      <c r="M3466" s="12"/>
      <c r="N3466" s="40">
        <f>L3466*M3466</f>
        <v>0</v>
      </c>
      <c r="O3466" s="43">
        <f>0.361*M3466</f>
        <v>0</v>
      </c>
      <c r="P3466" s="47">
        <f>0.00017*M3466</f>
        <v>0</v>
      </c>
      <c r="Q3466" s="44"/>
      <c r="R3466" s="45" t="s">
        <v>10837</v>
      </c>
      <c r="S3466" s="45" t="s">
        <v>93</v>
      </c>
      <c r="T3466" s="37" t="str">
        <f>HYPERLINK("https://kanzpp.ru/api/getInfo/image/d5eb861c-b62e-11ef-a267-00155d82e908")</f>
        <v>https://kanzpp.ru/api/getInfo/image/d5eb861c-b62e-11ef-a267-00155d82e908</v>
      </c>
      <c r="U3466" s="37"/>
    </row>
    <row r="3467" spans="2:22" ht="21" customHeight="1" outlineLevel="6" x14ac:dyDescent="0.2">
      <c r="B3467" s="71">
        <v>2571</v>
      </c>
      <c r="C3467" s="37" t="s">
        <v>10838</v>
      </c>
      <c r="D3467" s="37" t="s">
        <v>10839</v>
      </c>
      <c r="E3467" s="38" t="s">
        <v>10840</v>
      </c>
      <c r="F3467" s="39"/>
      <c r="G3467" s="40"/>
      <c r="H3467" s="41">
        <v>32</v>
      </c>
      <c r="I3467" s="41">
        <v>4</v>
      </c>
      <c r="J3467" s="50">
        <v>1115</v>
      </c>
      <c r="K3467" s="36">
        <v>32</v>
      </c>
      <c r="L3467" s="42">
        <f>(132.15*(1-O3/100))/0.75</f>
        <v>176.20000000000002</v>
      </c>
      <c r="M3467" s="12"/>
      <c r="N3467" s="40">
        <f>L3467*M3467</f>
        <v>0</v>
      </c>
      <c r="O3467" s="43">
        <f>0.351*M3467</f>
        <v>0</v>
      </c>
      <c r="P3467" s="47">
        <f>0.00071*M3467</f>
        <v>0</v>
      </c>
      <c r="Q3467" s="44"/>
      <c r="R3467" s="45" t="s">
        <v>10841</v>
      </c>
      <c r="S3467" s="45" t="s">
        <v>93</v>
      </c>
      <c r="T3467" s="37" t="str">
        <f>HYPERLINK("https://kanzpp.ru/api/getInfo/image/56900483-4c14-11f0-a27c-00155d82e908")</f>
        <v>https://kanzpp.ru/api/getInfo/image/56900483-4c14-11f0-a27c-00155d82e908</v>
      </c>
      <c r="U3467" s="37"/>
    </row>
    <row r="3468" spans="2:22" ht="21" customHeight="1" outlineLevel="6" x14ac:dyDescent="0.2">
      <c r="B3468" s="71">
        <v>2572</v>
      </c>
      <c r="C3468" s="37" t="s">
        <v>10842</v>
      </c>
      <c r="D3468" s="37" t="s">
        <v>10843</v>
      </c>
      <c r="E3468" s="38" t="s">
        <v>10844</v>
      </c>
      <c r="F3468" s="39"/>
      <c r="G3468" s="40"/>
      <c r="H3468" s="41">
        <v>32</v>
      </c>
      <c r="I3468" s="41">
        <v>4</v>
      </c>
      <c r="J3468" s="50">
        <v>1448</v>
      </c>
      <c r="K3468" s="36">
        <v>32</v>
      </c>
      <c r="L3468" s="42">
        <f>(132.15*(1-O3/100))/0.75</f>
        <v>176.20000000000002</v>
      </c>
      <c r="M3468" s="12"/>
      <c r="N3468" s="40">
        <f>L3468*M3468</f>
        <v>0</v>
      </c>
      <c r="O3468" s="43">
        <f>0.351*M3468</f>
        <v>0</v>
      </c>
      <c r="P3468" s="47">
        <f>0.00064*M3468</f>
        <v>0</v>
      </c>
      <c r="Q3468" s="44"/>
      <c r="R3468" s="45" t="s">
        <v>10845</v>
      </c>
      <c r="S3468" s="45" t="s">
        <v>93</v>
      </c>
      <c r="T3468" s="37" t="str">
        <f>HYPERLINK("https://kanzpp.ru/api/getInfo/image/408fda42-4c15-11f0-a27c-00155d82e908")</f>
        <v>https://kanzpp.ru/api/getInfo/image/408fda42-4c15-11f0-a27c-00155d82e908</v>
      </c>
      <c r="U3468" s="37"/>
    </row>
    <row r="3469" spans="2:22" ht="22.95" customHeight="1" outlineLevel="5" x14ac:dyDescent="0.2">
      <c r="B3469" s="83" t="s">
        <v>10846</v>
      </c>
      <c r="C3469" s="83"/>
      <c r="D3469" s="83"/>
      <c r="L3469">
        <v>0</v>
      </c>
    </row>
    <row r="3470" spans="2:22" ht="21" customHeight="1" outlineLevel="6" x14ac:dyDescent="0.2">
      <c r="B3470" s="69">
        <v>2573</v>
      </c>
      <c r="C3470" s="6" t="s">
        <v>10847</v>
      </c>
      <c r="D3470" s="6" t="s">
        <v>10848</v>
      </c>
      <c r="E3470" s="7" t="s">
        <v>10849</v>
      </c>
      <c r="F3470" s="13"/>
      <c r="G3470" s="14"/>
      <c r="H3470" s="15">
        <v>32</v>
      </c>
      <c r="I3470" s="14"/>
      <c r="J3470" s="15">
        <v>319</v>
      </c>
      <c r="K3470" s="5">
        <v>32</v>
      </c>
      <c r="L3470" s="16">
        <v>206.66666666666666</v>
      </c>
      <c r="M3470" s="12"/>
      <c r="N3470" s="14">
        <f t="shared" ref="N3470:N3476" si="157">L3470*M3470</f>
        <v>0</v>
      </c>
      <c r="O3470" s="23">
        <f>0.461*M3470</f>
        <v>0</v>
      </c>
      <c r="P3470" s="24">
        <f>0.00055*M3470</f>
        <v>0</v>
      </c>
      <c r="Q3470" s="25"/>
      <c r="R3470" s="26" t="s">
        <v>10850</v>
      </c>
      <c r="S3470" s="26" t="s">
        <v>93</v>
      </c>
      <c r="T3470" s="6"/>
      <c r="U3470" s="6"/>
      <c r="V3470" s="33" t="s">
        <v>35</v>
      </c>
    </row>
    <row r="3471" spans="2:22" ht="21" customHeight="1" outlineLevel="6" x14ac:dyDescent="0.2">
      <c r="B3471" s="69">
        <v>2574</v>
      </c>
      <c r="C3471" s="6" t="s">
        <v>10851</v>
      </c>
      <c r="D3471" s="6" t="s">
        <v>10852</v>
      </c>
      <c r="E3471" s="7" t="s">
        <v>10853</v>
      </c>
      <c r="F3471" s="13"/>
      <c r="G3471" s="14"/>
      <c r="H3471" s="15">
        <v>32</v>
      </c>
      <c r="I3471" s="15">
        <v>2</v>
      </c>
      <c r="J3471" s="17">
        <v>1287</v>
      </c>
      <c r="K3471" s="5">
        <v>2</v>
      </c>
      <c r="L3471" s="16">
        <v>206.66666666666666</v>
      </c>
      <c r="M3471" s="12"/>
      <c r="N3471" s="14">
        <f t="shared" si="157"/>
        <v>0</v>
      </c>
      <c r="O3471" s="23">
        <f>0.457*M3471</f>
        <v>0</v>
      </c>
      <c r="P3471" s="24">
        <f>0.00057*M3471</f>
        <v>0</v>
      </c>
      <c r="Q3471" s="25"/>
      <c r="R3471" s="26"/>
      <c r="S3471" s="26" t="s">
        <v>93</v>
      </c>
      <c r="T3471" s="6"/>
      <c r="U3471" s="6"/>
      <c r="V3471" s="33" t="s">
        <v>35</v>
      </c>
    </row>
    <row r="3472" spans="2:22" ht="21" customHeight="1" outlineLevel="6" x14ac:dyDescent="0.2">
      <c r="B3472" s="69">
        <v>2575</v>
      </c>
      <c r="C3472" s="6" t="s">
        <v>10854</v>
      </c>
      <c r="D3472" s="6" t="s">
        <v>10855</v>
      </c>
      <c r="E3472" s="7" t="s">
        <v>10856</v>
      </c>
      <c r="F3472" s="13"/>
      <c r="G3472" s="14"/>
      <c r="H3472" s="15">
        <v>32</v>
      </c>
      <c r="I3472" s="14"/>
      <c r="J3472" s="15">
        <v>533</v>
      </c>
      <c r="K3472" s="5">
        <v>32</v>
      </c>
      <c r="L3472" s="16">
        <v>206.66666666666666</v>
      </c>
      <c r="M3472" s="12"/>
      <c r="N3472" s="14">
        <f t="shared" si="157"/>
        <v>0</v>
      </c>
      <c r="O3472" s="23">
        <f>0.461*M3472</f>
        <v>0</v>
      </c>
      <c r="P3472" s="31">
        <f>0.0005*M3472</f>
        <v>0</v>
      </c>
      <c r="Q3472" s="25"/>
      <c r="R3472" s="26" t="s">
        <v>10857</v>
      </c>
      <c r="S3472" s="26" t="s">
        <v>93</v>
      </c>
      <c r="T3472" s="6"/>
      <c r="U3472" s="6"/>
      <c r="V3472" s="33" t="s">
        <v>35</v>
      </c>
    </row>
    <row r="3473" spans="2:22" ht="21" customHeight="1" outlineLevel="6" x14ac:dyDescent="0.2">
      <c r="B3473" s="69">
        <v>2576</v>
      </c>
      <c r="C3473" s="6" t="s">
        <v>10858</v>
      </c>
      <c r="D3473" s="6" t="s">
        <v>10859</v>
      </c>
      <c r="E3473" s="7" t="s">
        <v>10860</v>
      </c>
      <c r="F3473" s="13"/>
      <c r="G3473" s="14"/>
      <c r="H3473" s="15">
        <v>32</v>
      </c>
      <c r="I3473" s="14"/>
      <c r="J3473" s="15">
        <v>736</v>
      </c>
      <c r="K3473" s="5">
        <v>32</v>
      </c>
      <c r="L3473" s="16">
        <v>206.66666666666666</v>
      </c>
      <c r="M3473" s="12"/>
      <c r="N3473" s="14">
        <f t="shared" si="157"/>
        <v>0</v>
      </c>
      <c r="O3473" s="23">
        <f>0.461*M3473</f>
        <v>0</v>
      </c>
      <c r="P3473" s="24">
        <f>0.00055*M3473</f>
        <v>0</v>
      </c>
      <c r="Q3473" s="25"/>
      <c r="R3473" s="26" t="s">
        <v>10861</v>
      </c>
      <c r="S3473" s="26" t="s">
        <v>93</v>
      </c>
      <c r="T3473" s="6"/>
      <c r="U3473" s="6"/>
      <c r="V3473" s="33" t="s">
        <v>35</v>
      </c>
    </row>
    <row r="3474" spans="2:22" ht="21" customHeight="1" outlineLevel="6" x14ac:dyDescent="0.2">
      <c r="B3474" s="69">
        <v>2577</v>
      </c>
      <c r="C3474" s="6" t="s">
        <v>10862</v>
      </c>
      <c r="D3474" s="6" t="s">
        <v>10863</v>
      </c>
      <c r="E3474" s="7" t="s">
        <v>10864</v>
      </c>
      <c r="F3474" s="13"/>
      <c r="G3474" s="14"/>
      <c r="H3474" s="15">
        <v>32</v>
      </c>
      <c r="I3474" s="15">
        <v>2</v>
      </c>
      <c r="J3474" s="15">
        <v>12</v>
      </c>
      <c r="K3474" s="5">
        <v>2</v>
      </c>
      <c r="L3474" s="16">
        <v>206.66666666666666</v>
      </c>
      <c r="M3474" s="12"/>
      <c r="N3474" s="14">
        <f t="shared" si="157"/>
        <v>0</v>
      </c>
      <c r="O3474" s="23">
        <f>0.457*M3474</f>
        <v>0</v>
      </c>
      <c r="P3474" s="24">
        <f>0.00067*M3474</f>
        <v>0</v>
      </c>
      <c r="Q3474" s="25"/>
      <c r="R3474" s="26"/>
      <c r="S3474" s="26" t="s">
        <v>93</v>
      </c>
      <c r="T3474" s="6"/>
      <c r="U3474" s="6"/>
      <c r="V3474" s="33" t="s">
        <v>35</v>
      </c>
    </row>
    <row r="3475" spans="2:22" ht="21" customHeight="1" outlineLevel="6" x14ac:dyDescent="0.2">
      <c r="B3475" s="69">
        <v>2578</v>
      </c>
      <c r="C3475" s="6" t="s">
        <v>10865</v>
      </c>
      <c r="D3475" s="6" t="s">
        <v>10866</v>
      </c>
      <c r="E3475" s="7" t="s">
        <v>10867</v>
      </c>
      <c r="F3475" s="13"/>
      <c r="G3475" s="14"/>
      <c r="H3475" s="15">
        <v>30</v>
      </c>
      <c r="I3475" s="15">
        <v>2</v>
      </c>
      <c r="J3475" s="15">
        <v>434</v>
      </c>
      <c r="K3475" s="5">
        <v>6</v>
      </c>
      <c r="L3475" s="16">
        <v>119.86666666666667</v>
      </c>
      <c r="M3475" s="12"/>
      <c r="N3475" s="14">
        <f t="shared" si="157"/>
        <v>0</v>
      </c>
      <c r="O3475" s="23">
        <f>0.356*M3475</f>
        <v>0</v>
      </c>
      <c r="P3475" s="31">
        <f>0.0005*M3475</f>
        <v>0</v>
      </c>
      <c r="Q3475" s="25"/>
      <c r="R3475" s="26"/>
      <c r="S3475" s="26" t="s">
        <v>93</v>
      </c>
      <c r="T3475" s="6" t="str">
        <f>HYPERLINK("https://kanzpp.ru/api/getInfo/image/c18dab59-ea8d-11ee-a25a-00155d82e908")</f>
        <v>https://kanzpp.ru/api/getInfo/image/c18dab59-ea8d-11ee-a25a-00155d82e908</v>
      </c>
      <c r="U3475" s="6" t="s">
        <v>10868</v>
      </c>
      <c r="V3475" s="33" t="s">
        <v>35</v>
      </c>
    </row>
    <row r="3476" spans="2:22" ht="21" customHeight="1" outlineLevel="6" x14ac:dyDescent="0.2">
      <c r="B3476" s="71">
        <v>2579</v>
      </c>
      <c r="C3476" s="37" t="s">
        <v>10869</v>
      </c>
      <c r="D3476" s="37" t="s">
        <v>10870</v>
      </c>
      <c r="E3476" s="38" t="s">
        <v>10871</v>
      </c>
      <c r="F3476" s="39"/>
      <c r="G3476" s="40"/>
      <c r="H3476" s="41">
        <v>30</v>
      </c>
      <c r="I3476" s="41">
        <v>5</v>
      </c>
      <c r="J3476" s="50">
        <v>1048</v>
      </c>
      <c r="K3476" s="36">
        <v>30</v>
      </c>
      <c r="L3476" s="42">
        <f>(120.67*(1-O3/100))/0.75</f>
        <v>160.89333333333335</v>
      </c>
      <c r="M3476" s="12"/>
      <c r="N3476" s="40">
        <f t="shared" si="157"/>
        <v>0</v>
      </c>
      <c r="O3476" s="43">
        <f>0.349*M3476</f>
        <v>0</v>
      </c>
      <c r="P3476" s="47">
        <f>0.00041*M3476</f>
        <v>0</v>
      </c>
      <c r="Q3476" s="44"/>
      <c r="R3476" s="45" t="s">
        <v>10872</v>
      </c>
      <c r="S3476" s="45" t="s">
        <v>93</v>
      </c>
      <c r="T3476" s="37" t="str">
        <f>HYPERLINK("https://kanzpp.ru/api/getInfo/image/ebf72470-36cd-11f0-a27c-00155d82e908")</f>
        <v>https://kanzpp.ru/api/getInfo/image/ebf72470-36cd-11f0-a27c-00155d82e908</v>
      </c>
      <c r="U3476" s="37"/>
    </row>
    <row r="3477" spans="2:22" ht="22.95" customHeight="1" outlineLevel="5" x14ac:dyDescent="0.2">
      <c r="B3477" s="83" t="s">
        <v>10873</v>
      </c>
      <c r="C3477" s="83"/>
      <c r="D3477" s="83"/>
      <c r="L3477">
        <v>0</v>
      </c>
    </row>
    <row r="3478" spans="2:22" ht="21" customHeight="1" outlineLevel="6" x14ac:dyDescent="0.2">
      <c r="B3478" s="71">
        <v>2580</v>
      </c>
      <c r="C3478" s="37" t="s">
        <v>10874</v>
      </c>
      <c r="D3478" s="37" t="s">
        <v>10875</v>
      </c>
      <c r="E3478" s="38" t="s">
        <v>10876</v>
      </c>
      <c r="F3478" s="39"/>
      <c r="G3478" s="40"/>
      <c r="H3478" s="41">
        <v>40</v>
      </c>
      <c r="I3478" s="41">
        <v>2</v>
      </c>
      <c r="J3478" s="41">
        <v>91</v>
      </c>
      <c r="K3478" s="36">
        <v>40</v>
      </c>
      <c r="L3478" s="42">
        <f>(120.67*(1-O3/100))/0.75</f>
        <v>160.89333333333335</v>
      </c>
      <c r="M3478" s="12"/>
      <c r="N3478" s="40">
        <f>L3478*M3478</f>
        <v>0</v>
      </c>
      <c r="O3478" s="43">
        <f>14.264*M3478</f>
        <v>0</v>
      </c>
      <c r="P3478" s="47">
        <f>0.02646*M3478</f>
        <v>0</v>
      </c>
      <c r="Q3478" s="44"/>
      <c r="R3478" s="45" t="s">
        <v>10877</v>
      </c>
      <c r="S3478" s="45" t="s">
        <v>93</v>
      </c>
      <c r="T3478" s="37" t="str">
        <f>HYPERLINK("https://kanzpp.ru/api/getInfo/image/281cc183-783b-11f0-a284-00155d82e908")</f>
        <v>https://kanzpp.ru/api/getInfo/image/281cc183-783b-11f0-a284-00155d82e908</v>
      </c>
      <c r="U3478" s="37"/>
    </row>
    <row r="3479" spans="2:22" ht="21" customHeight="1" outlineLevel="6" x14ac:dyDescent="0.2">
      <c r="B3479" s="71">
        <v>2581</v>
      </c>
      <c r="C3479" s="37" t="s">
        <v>10878</v>
      </c>
      <c r="D3479" s="37" t="s">
        <v>10879</v>
      </c>
      <c r="E3479" s="38" t="s">
        <v>10880</v>
      </c>
      <c r="F3479" s="39"/>
      <c r="G3479" s="40"/>
      <c r="H3479" s="41">
        <v>40</v>
      </c>
      <c r="I3479" s="41">
        <v>2</v>
      </c>
      <c r="J3479" s="41">
        <v>288</v>
      </c>
      <c r="K3479" s="36">
        <v>40</v>
      </c>
      <c r="L3479" s="42">
        <f>(120.67*(1-O3/100))/0.75</f>
        <v>160.89333333333335</v>
      </c>
      <c r="M3479" s="12"/>
      <c r="N3479" s="40">
        <f>L3479*M3479</f>
        <v>0</v>
      </c>
      <c r="O3479" s="43">
        <f>0.339*M3479</f>
        <v>0</v>
      </c>
      <c r="P3479" s="47">
        <f>0.00059*M3479</f>
        <v>0</v>
      </c>
      <c r="Q3479" s="44"/>
      <c r="R3479" s="45" t="s">
        <v>10881</v>
      </c>
      <c r="S3479" s="45" t="s">
        <v>93</v>
      </c>
      <c r="T3479" s="37" t="str">
        <f>HYPERLINK("https://kanzpp.ru/api/getInfo/image/eb46d372-783a-11f0-a284-00155d82e908")</f>
        <v>https://kanzpp.ru/api/getInfo/image/eb46d372-783a-11f0-a284-00155d82e908</v>
      </c>
      <c r="U3479" s="37"/>
    </row>
    <row r="3480" spans="2:22" ht="22.95" customHeight="1" outlineLevel="3" x14ac:dyDescent="0.2">
      <c r="B3480" s="81" t="s">
        <v>10882</v>
      </c>
      <c r="C3480" s="81"/>
      <c r="D3480" s="81"/>
      <c r="L3480">
        <v>0</v>
      </c>
    </row>
    <row r="3481" spans="2:22" ht="22.95" customHeight="1" outlineLevel="4" x14ac:dyDescent="0.2">
      <c r="B3481" s="82" t="s">
        <v>10883</v>
      </c>
      <c r="C3481" s="82"/>
      <c r="D3481" s="82"/>
      <c r="L3481">
        <v>0</v>
      </c>
    </row>
    <row r="3482" spans="2:22" ht="22.95" customHeight="1" outlineLevel="5" x14ac:dyDescent="0.2">
      <c r="B3482" s="83" t="s">
        <v>10884</v>
      </c>
      <c r="C3482" s="83"/>
      <c r="D3482" s="83"/>
      <c r="L3482">
        <v>0</v>
      </c>
    </row>
    <row r="3483" spans="2:22" ht="21" customHeight="1" outlineLevel="6" x14ac:dyDescent="0.2">
      <c r="B3483" s="69">
        <v>2582</v>
      </c>
      <c r="C3483" s="6" t="s">
        <v>10885</v>
      </c>
      <c r="D3483" s="6" t="s">
        <v>10886</v>
      </c>
      <c r="E3483" s="7" t="s">
        <v>10887</v>
      </c>
      <c r="F3483" s="13"/>
      <c r="G3483" s="14"/>
      <c r="H3483" s="15">
        <v>80</v>
      </c>
      <c r="I3483" s="15">
        <v>10</v>
      </c>
      <c r="J3483" s="14" t="s">
        <v>144</v>
      </c>
      <c r="K3483" s="5">
        <v>80</v>
      </c>
      <c r="L3483" s="16">
        <v>26.533333333333331</v>
      </c>
      <c r="M3483" s="12"/>
      <c r="N3483" s="14">
        <f t="shared" ref="N3483:N3489" si="158">L3483*M3483</f>
        <v>0</v>
      </c>
      <c r="O3483" s="23">
        <f>0.109*M3483</f>
        <v>0</v>
      </c>
      <c r="P3483" s="24">
        <f>0.00018*M3483</f>
        <v>0</v>
      </c>
      <c r="Q3483" s="25"/>
      <c r="R3483" s="26" t="s">
        <v>10888</v>
      </c>
      <c r="S3483" s="26" t="s">
        <v>93</v>
      </c>
      <c r="T3483" s="6" t="str">
        <f>HYPERLINK("https://kanzpp.ru/api/getInfo/image/135a8975-9c22-11ef-a267-00155d82e908")</f>
        <v>https://kanzpp.ru/api/getInfo/image/135a8975-9c22-11ef-a267-00155d82e908</v>
      </c>
      <c r="U3483" s="6"/>
      <c r="V3483" s="33" t="s">
        <v>35</v>
      </c>
    </row>
    <row r="3484" spans="2:22" ht="21" customHeight="1" outlineLevel="6" x14ac:dyDescent="0.2">
      <c r="B3484" s="71">
        <v>2583</v>
      </c>
      <c r="C3484" s="37" t="s">
        <v>10889</v>
      </c>
      <c r="D3484" s="37" t="s">
        <v>10890</v>
      </c>
      <c r="E3484" s="38" t="s">
        <v>10891</v>
      </c>
      <c r="F3484" s="39"/>
      <c r="G3484" s="40"/>
      <c r="H3484" s="41">
        <v>80</v>
      </c>
      <c r="I3484" s="41">
        <v>10</v>
      </c>
      <c r="J3484" s="41">
        <v>268</v>
      </c>
      <c r="K3484" s="36">
        <v>80</v>
      </c>
      <c r="L3484" s="42">
        <f>(41.2*(1-O3/100))/0.75</f>
        <v>54.933333333333337</v>
      </c>
      <c r="M3484" s="12"/>
      <c r="N3484" s="40">
        <f t="shared" si="158"/>
        <v>0</v>
      </c>
      <c r="O3484" s="43">
        <f>0.115*M3484</f>
        <v>0</v>
      </c>
      <c r="P3484" s="47">
        <f>0.00007*M3484</f>
        <v>0</v>
      </c>
      <c r="Q3484" s="44"/>
      <c r="R3484" s="45" t="s">
        <v>10892</v>
      </c>
      <c r="S3484" s="45" t="s">
        <v>93</v>
      </c>
      <c r="T3484" s="37" t="str">
        <f>HYPERLINK("https://kanzpp.ru/api/getInfo/image/d07c4c02-4c1c-11f0-a27d-00155d82e908")</f>
        <v>https://kanzpp.ru/api/getInfo/image/d07c4c02-4c1c-11f0-a27d-00155d82e908</v>
      </c>
      <c r="U3484" s="37"/>
    </row>
    <row r="3485" spans="2:22" ht="21" customHeight="1" outlineLevel="6" x14ac:dyDescent="0.2">
      <c r="B3485" s="69">
        <v>2584</v>
      </c>
      <c r="C3485" s="6" t="s">
        <v>10893</v>
      </c>
      <c r="D3485" s="6" t="s">
        <v>10894</v>
      </c>
      <c r="E3485" s="7" t="s">
        <v>10895</v>
      </c>
      <c r="F3485" s="13"/>
      <c r="G3485" s="14"/>
      <c r="H3485" s="15">
        <v>80</v>
      </c>
      <c r="I3485" s="15">
        <v>10</v>
      </c>
      <c r="J3485" s="15">
        <v>699</v>
      </c>
      <c r="K3485" s="5">
        <v>80</v>
      </c>
      <c r="L3485" s="16">
        <v>26.533333333333331</v>
      </c>
      <c r="M3485" s="12"/>
      <c r="N3485" s="14">
        <f t="shared" si="158"/>
        <v>0</v>
      </c>
      <c r="O3485" s="23">
        <f>0.109*M3485</f>
        <v>0</v>
      </c>
      <c r="P3485" s="24">
        <f>0.00014*M3485</f>
        <v>0</v>
      </c>
      <c r="Q3485" s="25"/>
      <c r="R3485" s="26" t="s">
        <v>10896</v>
      </c>
      <c r="S3485" s="26" t="s">
        <v>93</v>
      </c>
      <c r="T3485" s="6" t="str">
        <f>HYPERLINK("https://kanzpp.ru/api/getInfo/image/14f638be-37f2-11ec-a20f-ac1f6b442185")</f>
        <v>https://kanzpp.ru/api/getInfo/image/14f638be-37f2-11ec-a20f-ac1f6b442185</v>
      </c>
      <c r="U3485" s="6"/>
      <c r="V3485" s="33" t="s">
        <v>35</v>
      </c>
    </row>
    <row r="3486" spans="2:22" ht="21" customHeight="1" outlineLevel="6" x14ac:dyDescent="0.2">
      <c r="B3486" s="71">
        <v>2585</v>
      </c>
      <c r="C3486" s="37" t="s">
        <v>10897</v>
      </c>
      <c r="D3486" s="37" t="s">
        <v>10898</v>
      </c>
      <c r="E3486" s="38" t="s">
        <v>10899</v>
      </c>
      <c r="F3486" s="39"/>
      <c r="G3486" s="40"/>
      <c r="H3486" s="41">
        <v>80</v>
      </c>
      <c r="I3486" s="41">
        <v>10</v>
      </c>
      <c r="J3486" s="40" t="s">
        <v>144</v>
      </c>
      <c r="K3486" s="36">
        <v>80</v>
      </c>
      <c r="L3486" s="42">
        <f>(41.2*(1-O3/100))/0.75</f>
        <v>54.933333333333337</v>
      </c>
      <c r="M3486" s="12"/>
      <c r="N3486" s="40">
        <f t="shared" si="158"/>
        <v>0</v>
      </c>
      <c r="O3486" s="43">
        <f>0.115*M3486</f>
        <v>0</v>
      </c>
      <c r="P3486" s="47">
        <f>0.00007*M3486</f>
        <v>0</v>
      </c>
      <c r="Q3486" s="44"/>
      <c r="R3486" s="45" t="s">
        <v>10900</v>
      </c>
      <c r="S3486" s="45" t="s">
        <v>93</v>
      </c>
      <c r="T3486" s="37" t="str">
        <f>HYPERLINK("https://kanzpp.ru/api/getInfo/image/7b8a7210-4c1b-11f0-a27d-00155d82e908")</f>
        <v>https://kanzpp.ru/api/getInfo/image/7b8a7210-4c1b-11f0-a27d-00155d82e908</v>
      </c>
      <c r="U3486" s="37"/>
    </row>
    <row r="3487" spans="2:22" ht="21" customHeight="1" outlineLevel="6" x14ac:dyDescent="0.2">
      <c r="B3487" s="69">
        <v>2586</v>
      </c>
      <c r="C3487" s="6" t="s">
        <v>10901</v>
      </c>
      <c r="D3487" s="6" t="s">
        <v>10902</v>
      </c>
      <c r="E3487" s="7" t="s">
        <v>10903</v>
      </c>
      <c r="F3487" s="13"/>
      <c r="G3487" s="14"/>
      <c r="H3487" s="15">
        <v>80</v>
      </c>
      <c r="I3487" s="15">
        <v>10</v>
      </c>
      <c r="J3487" s="14" t="s">
        <v>144</v>
      </c>
      <c r="K3487" s="5">
        <v>80</v>
      </c>
      <c r="L3487" s="16">
        <v>26.533333333333331</v>
      </c>
      <c r="M3487" s="12"/>
      <c r="N3487" s="14">
        <f t="shared" si="158"/>
        <v>0</v>
      </c>
      <c r="O3487" s="23">
        <f>0.106*M3487</f>
        <v>0</v>
      </c>
      <c r="P3487" s="24">
        <f>0.00025*M3487</f>
        <v>0</v>
      </c>
      <c r="Q3487" s="25"/>
      <c r="R3487" s="26" t="s">
        <v>10904</v>
      </c>
      <c r="S3487" s="26" t="s">
        <v>93</v>
      </c>
      <c r="T3487" s="6" t="str">
        <f>HYPERLINK("https://kanzpp.ru/api/getInfo/image/daa9c0c6-9c21-11ef-a267-00155d82e908")</f>
        <v>https://kanzpp.ru/api/getInfo/image/daa9c0c6-9c21-11ef-a267-00155d82e908</v>
      </c>
      <c r="U3487" s="6"/>
      <c r="V3487" s="33" t="s">
        <v>35</v>
      </c>
    </row>
    <row r="3488" spans="2:22" ht="21" customHeight="1" outlineLevel="6" x14ac:dyDescent="0.2">
      <c r="B3488" s="71">
        <v>2587</v>
      </c>
      <c r="C3488" s="37" t="s">
        <v>10905</v>
      </c>
      <c r="D3488" s="37" t="s">
        <v>10906</v>
      </c>
      <c r="E3488" s="38" t="s">
        <v>10907</v>
      </c>
      <c r="F3488" s="39"/>
      <c r="G3488" s="40"/>
      <c r="H3488" s="41">
        <v>80</v>
      </c>
      <c r="I3488" s="41">
        <v>10</v>
      </c>
      <c r="J3488" s="40" t="s">
        <v>144</v>
      </c>
      <c r="K3488" s="36">
        <v>80</v>
      </c>
      <c r="L3488" s="42">
        <f>(41.2*(1-O3/100))/0.75</f>
        <v>54.933333333333337</v>
      </c>
      <c r="M3488" s="12"/>
      <c r="N3488" s="40">
        <f t="shared" si="158"/>
        <v>0</v>
      </c>
      <c r="O3488" s="43">
        <f>0.115*M3488</f>
        <v>0</v>
      </c>
      <c r="P3488" s="47">
        <f>0.00007*M3488</f>
        <v>0</v>
      </c>
      <c r="Q3488" s="44"/>
      <c r="R3488" s="45" t="s">
        <v>10908</v>
      </c>
      <c r="S3488" s="45" t="s">
        <v>93</v>
      </c>
      <c r="T3488" s="37" t="str">
        <f>HYPERLINK("https://kanzpp.ru/api/getInfo/image/2f6253af-4c17-11f0-a27c-00155d82e908")</f>
        <v>https://kanzpp.ru/api/getInfo/image/2f6253af-4c17-11f0-a27c-00155d82e908</v>
      </c>
      <c r="U3488" s="37"/>
    </row>
    <row r="3489" spans="2:22" ht="21" customHeight="1" outlineLevel="6" x14ac:dyDescent="0.2">
      <c r="B3489" s="71">
        <v>2588</v>
      </c>
      <c r="C3489" s="37" t="s">
        <v>10909</v>
      </c>
      <c r="D3489" s="37" t="s">
        <v>10910</v>
      </c>
      <c r="E3489" s="38" t="s">
        <v>10911</v>
      </c>
      <c r="F3489" s="39"/>
      <c r="G3489" s="40"/>
      <c r="H3489" s="41">
        <v>80</v>
      </c>
      <c r="I3489" s="41">
        <v>10</v>
      </c>
      <c r="J3489" s="40" t="s">
        <v>144</v>
      </c>
      <c r="K3489" s="36">
        <v>80</v>
      </c>
      <c r="L3489" s="42">
        <f>(41.2*(1-O3/100))/0.75</f>
        <v>54.933333333333337</v>
      </c>
      <c r="M3489" s="12"/>
      <c r="N3489" s="40">
        <f t="shared" si="158"/>
        <v>0</v>
      </c>
      <c r="O3489" s="43">
        <f>0.115*M3489</f>
        <v>0</v>
      </c>
      <c r="P3489" s="47">
        <f>0.00007*M3489</f>
        <v>0</v>
      </c>
      <c r="Q3489" s="44"/>
      <c r="R3489" s="45" t="s">
        <v>10912</v>
      </c>
      <c r="S3489" s="45" t="s">
        <v>93</v>
      </c>
      <c r="T3489" s="37" t="str">
        <f>HYPERLINK("https://kanzpp.ru/api/getInfo/image/cb8c1c63-4c1a-11f0-a27c-00155d82e908")</f>
        <v>https://kanzpp.ru/api/getInfo/image/cb8c1c63-4c1a-11f0-a27c-00155d82e908</v>
      </c>
      <c r="U3489" s="37"/>
    </row>
    <row r="3490" spans="2:22" ht="22.95" customHeight="1" outlineLevel="5" x14ac:dyDescent="0.2">
      <c r="B3490" s="83" t="s">
        <v>10913</v>
      </c>
      <c r="C3490" s="83"/>
      <c r="D3490" s="83"/>
      <c r="L3490">
        <v>0</v>
      </c>
    </row>
    <row r="3491" spans="2:22" ht="21" customHeight="1" outlineLevel="6" x14ac:dyDescent="0.2">
      <c r="B3491" s="71">
        <v>2589</v>
      </c>
      <c r="C3491" s="37" t="s">
        <v>10914</v>
      </c>
      <c r="D3491" s="37" t="s">
        <v>10915</v>
      </c>
      <c r="E3491" s="38" t="s">
        <v>10916</v>
      </c>
      <c r="F3491" s="39"/>
      <c r="G3491" s="40"/>
      <c r="H3491" s="41">
        <v>80</v>
      </c>
      <c r="I3491" s="41">
        <v>4</v>
      </c>
      <c r="J3491" s="50">
        <v>15380</v>
      </c>
      <c r="K3491" s="36">
        <v>80</v>
      </c>
      <c r="L3491" s="42">
        <f>(45.6*(1-O3/100))/0.75</f>
        <v>60.800000000000004</v>
      </c>
      <c r="M3491" s="12"/>
      <c r="N3491" s="40">
        <f>L3491*M3491</f>
        <v>0</v>
      </c>
      <c r="O3491" s="43">
        <f>0.107*M3491</f>
        <v>0</v>
      </c>
      <c r="P3491" s="47">
        <f>0.00025*M3491</f>
        <v>0</v>
      </c>
      <c r="Q3491" s="44"/>
      <c r="R3491" s="45" t="s">
        <v>10917</v>
      </c>
      <c r="S3491" s="45" t="s">
        <v>93</v>
      </c>
      <c r="T3491" s="37" t="str">
        <f>HYPERLINK("https://kanzpp.ru/api/getInfo/image/35d8fcd3-bbd9-11f0-a288-00155d82e908")</f>
        <v>https://kanzpp.ru/api/getInfo/image/35d8fcd3-bbd9-11f0-a288-00155d82e908</v>
      </c>
      <c r="U3491" s="37"/>
    </row>
    <row r="3492" spans="2:22" ht="21" customHeight="1" outlineLevel="6" x14ac:dyDescent="0.2">
      <c r="B3492" s="69">
        <v>2590</v>
      </c>
      <c r="C3492" s="6" t="s">
        <v>10918</v>
      </c>
      <c r="D3492" s="6" t="s">
        <v>10919</v>
      </c>
      <c r="E3492" s="7" t="s">
        <v>10920</v>
      </c>
      <c r="F3492" s="13"/>
      <c r="G3492" s="14"/>
      <c r="H3492" s="15">
        <v>80</v>
      </c>
      <c r="I3492" s="15">
        <v>4</v>
      </c>
      <c r="J3492" s="17">
        <v>1031</v>
      </c>
      <c r="K3492" s="5">
        <v>80</v>
      </c>
      <c r="L3492" s="16">
        <v>26.533333333333331</v>
      </c>
      <c r="M3492" s="12"/>
      <c r="N3492" s="14">
        <f>L3492*M3492</f>
        <v>0</v>
      </c>
      <c r="O3492" s="23">
        <f>0.111*M3492</f>
        <v>0</v>
      </c>
      <c r="P3492" s="24">
        <f>0.00021*M3492</f>
        <v>0</v>
      </c>
      <c r="Q3492" s="25"/>
      <c r="R3492" s="26" t="s">
        <v>10921</v>
      </c>
      <c r="S3492" s="26" t="s">
        <v>93</v>
      </c>
      <c r="T3492" s="6" t="str">
        <f>HYPERLINK("https://kanzpp.ru/api/getInfo/image/a4f62bab-9c36-11ef-a267-00155d82e908")</f>
        <v>https://kanzpp.ru/api/getInfo/image/a4f62bab-9c36-11ef-a267-00155d82e908</v>
      </c>
      <c r="U3492" s="6"/>
      <c r="V3492" s="33" t="s">
        <v>35</v>
      </c>
    </row>
    <row r="3493" spans="2:22" ht="21" customHeight="1" outlineLevel="6" x14ac:dyDescent="0.2">
      <c r="B3493" s="69">
        <v>2591</v>
      </c>
      <c r="C3493" s="6" t="s">
        <v>10922</v>
      </c>
      <c r="D3493" s="6" t="s">
        <v>10923</v>
      </c>
      <c r="E3493" s="7" t="s">
        <v>10924</v>
      </c>
      <c r="F3493" s="13"/>
      <c r="G3493" s="14"/>
      <c r="H3493" s="15">
        <v>80</v>
      </c>
      <c r="I3493" s="15">
        <v>4</v>
      </c>
      <c r="J3493" s="17">
        <v>2903</v>
      </c>
      <c r="K3493" s="5">
        <v>80</v>
      </c>
      <c r="L3493" s="16">
        <v>26.533333333333331</v>
      </c>
      <c r="M3493" s="12"/>
      <c r="N3493" s="14">
        <f>L3493*M3493</f>
        <v>0</v>
      </c>
      <c r="O3493" s="23">
        <f>0.113*M3493</f>
        <v>0</v>
      </c>
      <c r="P3493" s="24">
        <f>0.00021*M3493</f>
        <v>0</v>
      </c>
      <c r="Q3493" s="25"/>
      <c r="R3493" s="26" t="s">
        <v>10925</v>
      </c>
      <c r="S3493" s="26" t="s">
        <v>93</v>
      </c>
      <c r="T3493" s="6" t="str">
        <f>HYPERLINK("https://kanzpp.ru/api/getInfo/image/cbd2a176-9c36-11ef-a267-00155d82e908")</f>
        <v>https://kanzpp.ru/api/getInfo/image/cbd2a176-9c36-11ef-a267-00155d82e908</v>
      </c>
      <c r="U3493" s="6"/>
      <c r="V3493" s="33" t="s">
        <v>35</v>
      </c>
    </row>
    <row r="3494" spans="2:22" ht="21" customHeight="1" outlineLevel="6" x14ac:dyDescent="0.2">
      <c r="B3494" s="71">
        <v>2592</v>
      </c>
      <c r="C3494" s="37" t="s">
        <v>10926</v>
      </c>
      <c r="D3494" s="37" t="s">
        <v>10927</v>
      </c>
      <c r="E3494" s="38" t="s">
        <v>10928</v>
      </c>
      <c r="F3494" s="39"/>
      <c r="G3494" s="40"/>
      <c r="H3494" s="41">
        <v>80</v>
      </c>
      <c r="I3494" s="41">
        <v>4</v>
      </c>
      <c r="J3494" s="41">
        <v>80</v>
      </c>
      <c r="K3494" s="36">
        <v>80</v>
      </c>
      <c r="L3494" s="42">
        <f>(45.6*(1-O3/100))/0.75</f>
        <v>60.800000000000004</v>
      </c>
      <c r="M3494" s="12"/>
      <c r="N3494" s="40">
        <f>L3494*M3494</f>
        <v>0</v>
      </c>
      <c r="O3494" s="43">
        <f>9.131*M3494</f>
        <v>0</v>
      </c>
      <c r="P3494" s="47">
        <f>0.01702*M3494</f>
        <v>0</v>
      </c>
      <c r="Q3494" s="44"/>
      <c r="R3494" s="45" t="s">
        <v>10929</v>
      </c>
      <c r="S3494" s="45" t="s">
        <v>93</v>
      </c>
      <c r="T3494" s="37" t="str">
        <f>HYPERLINK("https://kanzpp.ru/api/getInfo/image/fe13590c-4c0e-11f0-a27c-00155d82e908")</f>
        <v>https://kanzpp.ru/api/getInfo/image/fe13590c-4c0e-11f0-a27c-00155d82e908</v>
      </c>
      <c r="U3494" s="37"/>
    </row>
    <row r="3495" spans="2:22" ht="21" customHeight="1" outlineLevel="6" x14ac:dyDescent="0.2">
      <c r="B3495" s="71">
        <v>2593</v>
      </c>
      <c r="C3495" s="37" t="s">
        <v>10930</v>
      </c>
      <c r="D3495" s="37" t="s">
        <v>10931</v>
      </c>
      <c r="E3495" s="38" t="s">
        <v>10932</v>
      </c>
      <c r="F3495" s="39"/>
      <c r="G3495" s="40"/>
      <c r="H3495" s="41">
        <v>80</v>
      </c>
      <c r="I3495" s="41">
        <v>4</v>
      </c>
      <c r="J3495" s="50">
        <v>4474</v>
      </c>
      <c r="K3495" s="36">
        <v>80</v>
      </c>
      <c r="L3495" s="42">
        <f>(45.6*(1-O3/100))/0.75</f>
        <v>60.800000000000004</v>
      </c>
      <c r="M3495" s="12"/>
      <c r="N3495" s="40">
        <f>L3495*M3495</f>
        <v>0</v>
      </c>
      <c r="O3495" s="43">
        <f>0.108*M3495</f>
        <v>0</v>
      </c>
      <c r="P3495" s="47">
        <f>0.00025*M3495</f>
        <v>0</v>
      </c>
      <c r="Q3495" s="44"/>
      <c r="R3495" s="45" t="s">
        <v>10933</v>
      </c>
      <c r="S3495" s="45" t="s">
        <v>93</v>
      </c>
      <c r="T3495" s="37" t="str">
        <f>HYPERLINK("https://kanzpp.ru/api/getInfo/image/81b2b345-4c10-11f0-a27c-00155d82e908")</f>
        <v>https://kanzpp.ru/api/getInfo/image/81b2b345-4c10-11f0-a27c-00155d82e908</v>
      </c>
      <c r="U3495" s="37"/>
    </row>
    <row r="3496" spans="2:22" ht="22.95" customHeight="1" outlineLevel="5" x14ac:dyDescent="0.2">
      <c r="B3496" s="83" t="s">
        <v>10934</v>
      </c>
      <c r="C3496" s="83"/>
      <c r="D3496" s="83"/>
      <c r="L3496">
        <v>0</v>
      </c>
    </row>
    <row r="3497" spans="2:22" ht="21" customHeight="1" outlineLevel="6" x14ac:dyDescent="0.2">
      <c r="B3497" s="71">
        <v>2594</v>
      </c>
      <c r="C3497" s="37" t="s">
        <v>10935</v>
      </c>
      <c r="D3497" s="37" t="s">
        <v>10936</v>
      </c>
      <c r="E3497" s="38" t="s">
        <v>10937</v>
      </c>
      <c r="F3497" s="39"/>
      <c r="G3497" s="40"/>
      <c r="H3497" s="41">
        <v>80</v>
      </c>
      <c r="I3497" s="41">
        <v>4</v>
      </c>
      <c r="J3497" s="50">
        <v>3662</v>
      </c>
      <c r="K3497" s="36">
        <v>80</v>
      </c>
      <c r="L3497" s="42">
        <f>(53.75*(1-O3/100))/0.75</f>
        <v>71.666666666666671</v>
      </c>
      <c r="M3497" s="12"/>
      <c r="N3497" s="40">
        <f>L3497*M3497</f>
        <v>0</v>
      </c>
      <c r="O3497" s="43">
        <f>0.124*M3497</f>
        <v>0</v>
      </c>
      <c r="P3497" s="47">
        <f>0.00025*M3497</f>
        <v>0</v>
      </c>
      <c r="Q3497" s="44"/>
      <c r="R3497" s="45" t="s">
        <v>10938</v>
      </c>
      <c r="S3497" s="45" t="s">
        <v>93</v>
      </c>
      <c r="T3497" s="37" t="str">
        <f>HYPERLINK("https://kanzpp.ru/api/getInfo/image/90631c43-4c09-11f0-a27c-00155d82e908")</f>
        <v>https://kanzpp.ru/api/getInfo/image/90631c43-4c09-11f0-a27c-00155d82e908</v>
      </c>
      <c r="U3497" s="37"/>
    </row>
    <row r="3498" spans="2:22" ht="21" customHeight="1" outlineLevel="6" x14ac:dyDescent="0.2">
      <c r="B3498" s="71">
        <v>2595</v>
      </c>
      <c r="C3498" s="37" t="s">
        <v>10939</v>
      </c>
      <c r="D3498" s="37" t="s">
        <v>10940</v>
      </c>
      <c r="E3498" s="38" t="s">
        <v>10941</v>
      </c>
      <c r="F3498" s="39"/>
      <c r="G3498" s="40"/>
      <c r="H3498" s="41">
        <v>80</v>
      </c>
      <c r="I3498" s="41">
        <v>4</v>
      </c>
      <c r="J3498" s="50">
        <v>4514</v>
      </c>
      <c r="K3498" s="36">
        <v>80</v>
      </c>
      <c r="L3498" s="42">
        <f>(53.75*(1-O3/100))/0.75</f>
        <v>71.666666666666671</v>
      </c>
      <c r="M3498" s="12"/>
      <c r="N3498" s="40">
        <f>L3498*M3498</f>
        <v>0</v>
      </c>
      <c r="O3498" s="43">
        <f>0.108*M3498</f>
        <v>0</v>
      </c>
      <c r="P3498" s="47">
        <f>0.00021*M3498</f>
        <v>0</v>
      </c>
      <c r="Q3498" s="44"/>
      <c r="R3498" s="45" t="s">
        <v>10942</v>
      </c>
      <c r="S3498" s="45" t="s">
        <v>93</v>
      </c>
      <c r="T3498" s="37" t="str">
        <f>HYPERLINK("https://kanzpp.ru/api/getInfo/image/148d402a-4c0b-11f0-a27c-00155d82e908")</f>
        <v>https://kanzpp.ru/api/getInfo/image/148d402a-4c0b-11f0-a27c-00155d82e908</v>
      </c>
      <c r="U3498" s="37"/>
    </row>
    <row r="3499" spans="2:22" ht="21" customHeight="1" outlineLevel="6" x14ac:dyDescent="0.2">
      <c r="B3499" s="69">
        <v>2596</v>
      </c>
      <c r="C3499" s="6" t="s">
        <v>10943</v>
      </c>
      <c r="D3499" s="6" t="s">
        <v>10944</v>
      </c>
      <c r="E3499" s="7" t="s">
        <v>10945</v>
      </c>
      <c r="F3499" s="13"/>
      <c r="G3499" s="14"/>
      <c r="H3499" s="15">
        <v>80</v>
      </c>
      <c r="I3499" s="15">
        <v>4</v>
      </c>
      <c r="J3499" s="17">
        <v>4066</v>
      </c>
      <c r="K3499" s="5">
        <v>80</v>
      </c>
      <c r="L3499" s="16">
        <v>39.866666666666667</v>
      </c>
      <c r="M3499" s="12"/>
      <c r="N3499" s="14">
        <f>L3499*M3499</f>
        <v>0</v>
      </c>
      <c r="O3499" s="23">
        <f>0.049*M3499</f>
        <v>0</v>
      </c>
      <c r="P3499" s="31">
        <f>0.0001*M3499</f>
        <v>0</v>
      </c>
      <c r="Q3499" s="25"/>
      <c r="R3499" s="26" t="s">
        <v>10946</v>
      </c>
      <c r="S3499" s="26" t="s">
        <v>93</v>
      </c>
      <c r="T3499" s="6" t="str">
        <f>HYPERLINK("https://kanzpp.ru/api/getInfo/image/3719bdee-e848-11ee-a25a-00155d82e908")</f>
        <v>https://kanzpp.ru/api/getInfo/image/3719bdee-e848-11ee-a25a-00155d82e908</v>
      </c>
      <c r="U3499" s="6"/>
      <c r="V3499" s="33" t="s">
        <v>35</v>
      </c>
    </row>
    <row r="3500" spans="2:22" ht="22.95" customHeight="1" outlineLevel="5" x14ac:dyDescent="0.2">
      <c r="B3500" s="83" t="s">
        <v>10947</v>
      </c>
      <c r="C3500" s="83"/>
      <c r="D3500" s="83"/>
      <c r="L3500">
        <v>0</v>
      </c>
    </row>
    <row r="3501" spans="2:22" ht="21" customHeight="1" outlineLevel="6" x14ac:dyDescent="0.2">
      <c r="B3501" s="71">
        <v>2597</v>
      </c>
      <c r="C3501" s="37" t="s">
        <v>10948</v>
      </c>
      <c r="D3501" s="37" t="s">
        <v>10949</v>
      </c>
      <c r="E3501" s="38" t="s">
        <v>10950</v>
      </c>
      <c r="F3501" s="39"/>
      <c r="G3501" s="40"/>
      <c r="H3501" s="41">
        <v>48</v>
      </c>
      <c r="I3501" s="41">
        <v>2</v>
      </c>
      <c r="J3501" s="50">
        <v>9758</v>
      </c>
      <c r="K3501" s="36">
        <v>48</v>
      </c>
      <c r="L3501" s="42">
        <f>(55.19*(1-O3/100))/0.75</f>
        <v>73.586666666666659</v>
      </c>
      <c r="M3501" s="12"/>
      <c r="N3501" s="40">
        <f>L3501*M3501</f>
        <v>0</v>
      </c>
      <c r="O3501" s="43">
        <f>0.115*M3501</f>
        <v>0</v>
      </c>
      <c r="P3501" s="47">
        <f>0.00026*M3501</f>
        <v>0</v>
      </c>
      <c r="Q3501" s="44"/>
      <c r="R3501" s="45" t="s">
        <v>10951</v>
      </c>
      <c r="S3501" s="45" t="s">
        <v>93</v>
      </c>
      <c r="T3501" s="37" t="str">
        <f>HYPERLINK("https://kanzpp.ru/api/getInfo/image/35e2ec05-be34-11f0-a288-00155d82e908")</f>
        <v>https://kanzpp.ru/api/getInfo/image/35e2ec05-be34-11f0-a288-00155d82e908</v>
      </c>
      <c r="U3501" s="37"/>
    </row>
    <row r="3502" spans="2:22" ht="21" customHeight="1" outlineLevel="6" x14ac:dyDescent="0.2">
      <c r="B3502" s="71">
        <v>2598</v>
      </c>
      <c r="C3502" s="37" t="s">
        <v>10952</v>
      </c>
      <c r="D3502" s="37" t="s">
        <v>10953</v>
      </c>
      <c r="E3502" s="38" t="s">
        <v>10954</v>
      </c>
      <c r="F3502" s="39"/>
      <c r="G3502" s="40"/>
      <c r="H3502" s="41">
        <v>48</v>
      </c>
      <c r="I3502" s="41">
        <v>2</v>
      </c>
      <c r="J3502" s="41">
        <v>335</v>
      </c>
      <c r="K3502" s="36">
        <v>48</v>
      </c>
      <c r="L3502" s="42">
        <f>(55.19*(1-O3/100))/0.75</f>
        <v>73.586666666666659</v>
      </c>
      <c r="M3502" s="12"/>
      <c r="N3502" s="40">
        <f>L3502*M3502</f>
        <v>0</v>
      </c>
      <c r="O3502" s="43">
        <f>0.115*M3502</f>
        <v>0</v>
      </c>
      <c r="P3502" s="47">
        <f>0.00021*M3502</f>
        <v>0</v>
      </c>
      <c r="Q3502" s="44"/>
      <c r="R3502" s="45" t="s">
        <v>10955</v>
      </c>
      <c r="S3502" s="45" t="s">
        <v>93</v>
      </c>
      <c r="T3502" s="37" t="str">
        <f>HYPERLINK("https://kanzpp.ru/api/getInfo/image/f2a75b19-be33-11f0-a288-00155d82e908")</f>
        <v>https://kanzpp.ru/api/getInfo/image/f2a75b19-be33-11f0-a288-00155d82e908</v>
      </c>
      <c r="U3502" s="37"/>
    </row>
    <row r="3503" spans="2:22" ht="21" customHeight="1" outlineLevel="6" x14ac:dyDescent="0.2">
      <c r="B3503" s="71">
        <v>2599</v>
      </c>
      <c r="C3503" s="37" t="s">
        <v>10956</v>
      </c>
      <c r="D3503" s="37" t="s">
        <v>10957</v>
      </c>
      <c r="E3503" s="38" t="s">
        <v>10958</v>
      </c>
      <c r="F3503" s="39"/>
      <c r="G3503" s="40"/>
      <c r="H3503" s="41">
        <v>48</v>
      </c>
      <c r="I3503" s="41">
        <v>2</v>
      </c>
      <c r="J3503" s="50">
        <v>7191</v>
      </c>
      <c r="K3503" s="36">
        <v>48</v>
      </c>
      <c r="L3503" s="42">
        <f>(55.19*(1-O3/100))/0.75</f>
        <v>73.586666666666659</v>
      </c>
      <c r="M3503" s="12"/>
      <c r="N3503" s="40">
        <f>L3503*M3503</f>
        <v>0</v>
      </c>
      <c r="O3503" s="43">
        <f>0.108*M3503</f>
        <v>0</v>
      </c>
      <c r="P3503" s="47">
        <f>0.00021*M3503</f>
        <v>0</v>
      </c>
      <c r="Q3503" s="44"/>
      <c r="R3503" s="45" t="s">
        <v>10959</v>
      </c>
      <c r="S3503" s="45" t="s">
        <v>93</v>
      </c>
      <c r="T3503" s="37" t="str">
        <f>HYPERLINK("https://kanzpp.ru/api/getInfo/image/9f6da60f-b631-11ef-a267-00155d82e908")</f>
        <v>https://kanzpp.ru/api/getInfo/image/9f6da60f-b631-11ef-a267-00155d82e908</v>
      </c>
      <c r="U3503" s="37"/>
    </row>
    <row r="3504" spans="2:22" ht="21" customHeight="1" outlineLevel="6" x14ac:dyDescent="0.2">
      <c r="B3504" s="71">
        <v>2600</v>
      </c>
      <c r="C3504" s="37" t="s">
        <v>10960</v>
      </c>
      <c r="D3504" s="37" t="s">
        <v>10961</v>
      </c>
      <c r="E3504" s="38" t="s">
        <v>10962</v>
      </c>
      <c r="F3504" s="39"/>
      <c r="G3504" s="40"/>
      <c r="H3504" s="41">
        <v>48</v>
      </c>
      <c r="I3504" s="41">
        <v>2</v>
      </c>
      <c r="J3504" s="40" t="s">
        <v>144</v>
      </c>
      <c r="K3504" s="36">
        <v>48</v>
      </c>
      <c r="L3504" s="42">
        <f>(55.19*(1-O3/100))/0.75</f>
        <v>73.586666666666659</v>
      </c>
      <c r="M3504" s="12"/>
      <c r="N3504" s="40">
        <f>L3504*M3504</f>
        <v>0</v>
      </c>
      <c r="O3504" s="43">
        <f>0.115*M3504</f>
        <v>0</v>
      </c>
      <c r="P3504" s="47">
        <f>0.00015*M3504</f>
        <v>0</v>
      </c>
      <c r="Q3504" s="44"/>
      <c r="R3504" s="45" t="s">
        <v>10963</v>
      </c>
      <c r="S3504" s="45" t="s">
        <v>93</v>
      </c>
      <c r="T3504" s="37" t="str">
        <f>HYPERLINK("https://kanzpp.ru/api/getInfo/image/2c7467f8-b632-11ef-a267-00155d82e908")</f>
        <v>https://kanzpp.ru/api/getInfo/image/2c7467f8-b632-11ef-a267-00155d82e908</v>
      </c>
      <c r="U3504" s="37"/>
    </row>
    <row r="3505" spans="2:22" ht="22.95" customHeight="1" outlineLevel="5" x14ac:dyDescent="0.2">
      <c r="B3505" s="83" t="s">
        <v>10964</v>
      </c>
      <c r="C3505" s="83"/>
      <c r="D3505" s="83"/>
      <c r="L3505">
        <v>0</v>
      </c>
    </row>
    <row r="3506" spans="2:22" ht="21" customHeight="1" outlineLevel="6" x14ac:dyDescent="0.2">
      <c r="B3506" s="71">
        <v>2601</v>
      </c>
      <c r="C3506" s="37" t="s">
        <v>10965</v>
      </c>
      <c r="D3506" s="37" t="s">
        <v>10966</v>
      </c>
      <c r="E3506" s="38" t="s">
        <v>10967</v>
      </c>
      <c r="F3506" s="39"/>
      <c r="G3506" s="40"/>
      <c r="H3506" s="41">
        <v>80</v>
      </c>
      <c r="I3506" s="41">
        <v>4</v>
      </c>
      <c r="J3506" s="40" t="s">
        <v>144</v>
      </c>
      <c r="K3506" s="36">
        <v>80</v>
      </c>
      <c r="L3506" s="42">
        <f>(51.87*(1-O3/100))/0.75</f>
        <v>69.16</v>
      </c>
      <c r="M3506" s="12"/>
      <c r="N3506" s="40">
        <f>L3506*M3506</f>
        <v>0</v>
      </c>
      <c r="O3506" s="43">
        <f>0.109*M3506</f>
        <v>0</v>
      </c>
      <c r="P3506" s="47">
        <f>0.00024*M3506</f>
        <v>0</v>
      </c>
      <c r="Q3506" s="44"/>
      <c r="R3506" s="45" t="s">
        <v>10968</v>
      </c>
      <c r="S3506" s="45" t="s">
        <v>93</v>
      </c>
      <c r="T3506" s="37" t="str">
        <f>HYPERLINK("https://kanzpp.ru/api/getInfo/image/a05668a2-bc7b-11ef-a267-00155d82e908")</f>
        <v>https://kanzpp.ru/api/getInfo/image/a05668a2-bc7b-11ef-a267-00155d82e908</v>
      </c>
      <c r="U3506" s="37"/>
    </row>
    <row r="3507" spans="2:22" ht="21" customHeight="1" outlineLevel="6" x14ac:dyDescent="0.2">
      <c r="B3507" s="71">
        <v>2602</v>
      </c>
      <c r="C3507" s="37" t="s">
        <v>10969</v>
      </c>
      <c r="D3507" s="37" t="s">
        <v>10970</v>
      </c>
      <c r="E3507" s="38" t="s">
        <v>10971</v>
      </c>
      <c r="F3507" s="39"/>
      <c r="G3507" s="40"/>
      <c r="H3507" s="41">
        <v>80</v>
      </c>
      <c r="I3507" s="41">
        <v>4</v>
      </c>
      <c r="J3507" s="40" t="s">
        <v>144</v>
      </c>
      <c r="K3507" s="36">
        <v>80</v>
      </c>
      <c r="L3507" s="42">
        <f>(51.87*(1-O3/100))/0.75</f>
        <v>69.16</v>
      </c>
      <c r="M3507" s="12"/>
      <c r="N3507" s="40">
        <f>L3507*M3507</f>
        <v>0</v>
      </c>
      <c r="O3507" s="43">
        <f>0.117*M3507</f>
        <v>0</v>
      </c>
      <c r="P3507" s="47">
        <f>0.00036*M3507</f>
        <v>0</v>
      </c>
      <c r="Q3507" s="44"/>
      <c r="R3507" s="45" t="s">
        <v>10972</v>
      </c>
      <c r="S3507" s="45" t="s">
        <v>93</v>
      </c>
      <c r="T3507" s="37" t="str">
        <f>HYPERLINK("https://kanzpp.ru/api/getInfo/image/4fc968b4-bc7b-11ef-a267-00155d82e908")</f>
        <v>https://kanzpp.ru/api/getInfo/image/4fc968b4-bc7b-11ef-a267-00155d82e908</v>
      </c>
      <c r="U3507" s="37"/>
    </row>
    <row r="3508" spans="2:22" ht="22.95" customHeight="1" outlineLevel="4" x14ac:dyDescent="0.2">
      <c r="B3508" s="82" t="s">
        <v>10973</v>
      </c>
      <c r="C3508" s="82"/>
      <c r="D3508" s="82"/>
      <c r="L3508">
        <v>0</v>
      </c>
    </row>
    <row r="3509" spans="2:22" ht="22.95" customHeight="1" outlineLevel="5" x14ac:dyDescent="0.2">
      <c r="B3509" s="83" t="s">
        <v>10974</v>
      </c>
      <c r="C3509" s="83"/>
      <c r="D3509" s="83"/>
      <c r="L3509">
        <v>0</v>
      </c>
    </row>
    <row r="3510" spans="2:22" ht="21" customHeight="1" outlineLevel="6" x14ac:dyDescent="0.2">
      <c r="B3510" s="71">
        <v>2603</v>
      </c>
      <c r="C3510" s="37" t="s">
        <v>10975</v>
      </c>
      <c r="D3510" s="37" t="s">
        <v>10976</v>
      </c>
      <c r="E3510" s="38" t="s">
        <v>10977</v>
      </c>
      <c r="F3510" s="39"/>
      <c r="G3510" s="40"/>
      <c r="H3510" s="41">
        <v>48</v>
      </c>
      <c r="I3510" s="41">
        <v>6</v>
      </c>
      <c r="J3510" s="40" t="s">
        <v>144</v>
      </c>
      <c r="K3510" s="36">
        <v>48</v>
      </c>
      <c r="L3510" s="42">
        <f>(58.53*(1-O3/100))/0.75</f>
        <v>78.040000000000006</v>
      </c>
      <c r="M3510" s="12"/>
      <c r="N3510" s="40">
        <f t="shared" ref="N3510:N3518" si="159">L3510*M3510</f>
        <v>0</v>
      </c>
      <c r="O3510" s="43">
        <f>0.108*M3510</f>
        <v>0</v>
      </c>
      <c r="P3510" s="47">
        <f>0.00021*M3510</f>
        <v>0</v>
      </c>
      <c r="Q3510" s="44"/>
      <c r="R3510" s="45" t="s">
        <v>10978</v>
      </c>
      <c r="S3510" s="45" t="s">
        <v>93</v>
      </c>
      <c r="T3510" s="37" t="str">
        <f>HYPERLINK("https://kanzpp.ru/api/getInfo/image/e96540d3-5e2f-11f0-a281-00155d82e908")</f>
        <v>https://kanzpp.ru/api/getInfo/image/e96540d3-5e2f-11f0-a281-00155d82e908</v>
      </c>
      <c r="U3510" s="37"/>
    </row>
    <row r="3511" spans="2:22" ht="21" customHeight="1" outlineLevel="6" x14ac:dyDescent="0.2">
      <c r="B3511" s="69">
        <v>2604</v>
      </c>
      <c r="C3511" s="6" t="s">
        <v>10979</v>
      </c>
      <c r="D3511" s="6" t="s">
        <v>10980</v>
      </c>
      <c r="E3511" s="7" t="s">
        <v>10981</v>
      </c>
      <c r="F3511" s="13"/>
      <c r="G3511" s="14"/>
      <c r="H3511" s="15">
        <v>48</v>
      </c>
      <c r="I3511" s="15">
        <v>6</v>
      </c>
      <c r="J3511" s="14" t="s">
        <v>144</v>
      </c>
      <c r="K3511" s="5">
        <v>48</v>
      </c>
      <c r="L3511" s="16">
        <v>26.533333333333331</v>
      </c>
      <c r="M3511" s="12"/>
      <c r="N3511" s="14">
        <f t="shared" si="159"/>
        <v>0</v>
      </c>
      <c r="O3511" s="23">
        <f>0.187*M3511</f>
        <v>0</v>
      </c>
      <c r="P3511" s="24">
        <f>0.00032*M3511</f>
        <v>0</v>
      </c>
      <c r="Q3511" s="25"/>
      <c r="R3511" s="26" t="s">
        <v>10982</v>
      </c>
      <c r="S3511" s="26" t="s">
        <v>93</v>
      </c>
      <c r="T3511" s="6" t="str">
        <f>HYPERLINK("https://kanzpp.ru/api/getInfo/image/87c595c9-e682-11ee-a25a-00155d82e908")</f>
        <v>https://kanzpp.ru/api/getInfo/image/87c595c9-e682-11ee-a25a-00155d82e908</v>
      </c>
      <c r="U3511" s="6"/>
      <c r="V3511" s="33" t="s">
        <v>35</v>
      </c>
    </row>
    <row r="3512" spans="2:22" ht="21" customHeight="1" outlineLevel="6" x14ac:dyDescent="0.2">
      <c r="B3512" s="71">
        <v>2605</v>
      </c>
      <c r="C3512" s="37" t="s">
        <v>10983</v>
      </c>
      <c r="D3512" s="37" t="s">
        <v>10984</v>
      </c>
      <c r="E3512" s="38" t="s">
        <v>10985</v>
      </c>
      <c r="F3512" s="39"/>
      <c r="G3512" s="40"/>
      <c r="H3512" s="41">
        <v>48</v>
      </c>
      <c r="I3512" s="41">
        <v>6</v>
      </c>
      <c r="J3512" s="40" t="s">
        <v>144</v>
      </c>
      <c r="K3512" s="36">
        <v>48</v>
      </c>
      <c r="L3512" s="42">
        <f>(58.53*(1-O3/100))/0.75</f>
        <v>78.040000000000006</v>
      </c>
      <c r="M3512" s="12"/>
      <c r="N3512" s="40">
        <f t="shared" si="159"/>
        <v>0</v>
      </c>
      <c r="O3512" s="43">
        <f>0.174*M3512</f>
        <v>0</v>
      </c>
      <c r="P3512" s="47">
        <f>0.00021*M3512</f>
        <v>0</v>
      </c>
      <c r="Q3512" s="44"/>
      <c r="R3512" s="45" t="s">
        <v>10986</v>
      </c>
      <c r="S3512" s="45" t="s">
        <v>93</v>
      </c>
      <c r="T3512" s="37" t="str">
        <f>HYPERLINK("https://kanzpp.ru/api/getInfo/image/3a6ec604-5e30-11f0-a281-00155d82e908")</f>
        <v>https://kanzpp.ru/api/getInfo/image/3a6ec604-5e30-11f0-a281-00155d82e908</v>
      </c>
      <c r="U3512" s="37"/>
    </row>
    <row r="3513" spans="2:22" ht="21" customHeight="1" outlineLevel="6" x14ac:dyDescent="0.2">
      <c r="B3513" s="69">
        <v>2606</v>
      </c>
      <c r="C3513" s="6" t="s">
        <v>10987</v>
      </c>
      <c r="D3513" s="6" t="s">
        <v>10988</v>
      </c>
      <c r="E3513" s="7" t="s">
        <v>10989</v>
      </c>
      <c r="F3513" s="13"/>
      <c r="G3513" s="14"/>
      <c r="H3513" s="15">
        <v>48</v>
      </c>
      <c r="I3513" s="15">
        <v>6</v>
      </c>
      <c r="J3513" s="17">
        <v>1230</v>
      </c>
      <c r="K3513" s="5">
        <v>48</v>
      </c>
      <c r="L3513" s="16">
        <v>26.533333333333331</v>
      </c>
      <c r="M3513" s="12"/>
      <c r="N3513" s="14">
        <f t="shared" si="159"/>
        <v>0</v>
      </c>
      <c r="O3513" s="23">
        <f>0.199*M3513</f>
        <v>0</v>
      </c>
      <c r="P3513" s="24">
        <f>0.00024*M3513</f>
        <v>0</v>
      </c>
      <c r="Q3513" s="25"/>
      <c r="R3513" s="26" t="s">
        <v>10990</v>
      </c>
      <c r="S3513" s="26" t="s">
        <v>93</v>
      </c>
      <c r="T3513" s="6" t="str">
        <f>HYPERLINK("https://kanzpp.ru/api/getInfo/image/d0a739b4-37f2-11ec-a20f-ac1f6b442185")</f>
        <v>https://kanzpp.ru/api/getInfo/image/d0a739b4-37f2-11ec-a20f-ac1f6b442185</v>
      </c>
      <c r="U3513" s="6"/>
      <c r="V3513" s="33" t="s">
        <v>35</v>
      </c>
    </row>
    <row r="3514" spans="2:22" ht="21" customHeight="1" outlineLevel="6" x14ac:dyDescent="0.2">
      <c r="B3514" s="71">
        <v>2607</v>
      </c>
      <c r="C3514" s="37" t="s">
        <v>10991</v>
      </c>
      <c r="D3514" s="37" t="s">
        <v>10992</v>
      </c>
      <c r="E3514" s="38" t="s">
        <v>10993</v>
      </c>
      <c r="F3514" s="39"/>
      <c r="G3514" s="40"/>
      <c r="H3514" s="41">
        <v>48</v>
      </c>
      <c r="I3514" s="41">
        <v>6</v>
      </c>
      <c r="J3514" s="40" t="s">
        <v>144</v>
      </c>
      <c r="K3514" s="36">
        <v>48</v>
      </c>
      <c r="L3514" s="42">
        <f>(58.53*(1-O3/100))/0.75</f>
        <v>78.040000000000006</v>
      </c>
      <c r="M3514" s="12"/>
      <c r="N3514" s="40">
        <f t="shared" si="159"/>
        <v>0</v>
      </c>
      <c r="O3514" s="43">
        <f>0.178*M3514</f>
        <v>0</v>
      </c>
      <c r="P3514" s="47">
        <f>0.00032*M3514</f>
        <v>0</v>
      </c>
      <c r="Q3514" s="44"/>
      <c r="R3514" s="45" t="s">
        <v>10994</v>
      </c>
      <c r="S3514" s="45" t="s">
        <v>93</v>
      </c>
      <c r="T3514" s="37" t="str">
        <f>HYPERLINK("https://kanzpp.ru/api/getInfo/image/164ef9be-5e30-11f0-a281-00155d82e908")</f>
        <v>https://kanzpp.ru/api/getInfo/image/164ef9be-5e30-11f0-a281-00155d82e908</v>
      </c>
      <c r="U3514" s="37"/>
    </row>
    <row r="3515" spans="2:22" ht="21" customHeight="1" outlineLevel="6" x14ac:dyDescent="0.2">
      <c r="B3515" s="69">
        <v>2608</v>
      </c>
      <c r="C3515" s="6" t="s">
        <v>10995</v>
      </c>
      <c r="D3515" s="6" t="s">
        <v>10996</v>
      </c>
      <c r="E3515" s="7" t="s">
        <v>10997</v>
      </c>
      <c r="F3515" s="13"/>
      <c r="G3515" s="14"/>
      <c r="H3515" s="15">
        <v>48</v>
      </c>
      <c r="I3515" s="15">
        <v>6</v>
      </c>
      <c r="J3515" s="14" t="s">
        <v>144</v>
      </c>
      <c r="K3515" s="5">
        <v>48</v>
      </c>
      <c r="L3515" s="16">
        <v>26.533333333333331</v>
      </c>
      <c r="M3515" s="12"/>
      <c r="N3515" s="14">
        <f t="shared" si="159"/>
        <v>0</v>
      </c>
      <c r="O3515" s="23">
        <f>0.199*M3515</f>
        <v>0</v>
      </c>
      <c r="P3515" s="24">
        <f>0.00024*M3515</f>
        <v>0</v>
      </c>
      <c r="Q3515" s="25"/>
      <c r="R3515" s="26" t="s">
        <v>10998</v>
      </c>
      <c r="S3515" s="26" t="s">
        <v>93</v>
      </c>
      <c r="T3515" s="6" t="str">
        <f>HYPERLINK("https://kanzpp.ru/api/getInfo/image/0d07b4ea-28a5-11ea-a239-ac1f6b442184")</f>
        <v>https://kanzpp.ru/api/getInfo/image/0d07b4ea-28a5-11ea-a239-ac1f6b442184</v>
      </c>
      <c r="U3515" s="6"/>
      <c r="V3515" s="33" t="s">
        <v>35</v>
      </c>
    </row>
    <row r="3516" spans="2:22" ht="21" customHeight="1" outlineLevel="6" x14ac:dyDescent="0.2">
      <c r="B3516" s="71">
        <v>2609</v>
      </c>
      <c r="C3516" s="37" t="s">
        <v>10999</v>
      </c>
      <c r="D3516" s="37" t="s">
        <v>11000</v>
      </c>
      <c r="E3516" s="38" t="s">
        <v>11001</v>
      </c>
      <c r="F3516" s="39"/>
      <c r="G3516" s="40"/>
      <c r="H3516" s="41">
        <v>48</v>
      </c>
      <c r="I3516" s="41">
        <v>6</v>
      </c>
      <c r="J3516" s="40" t="s">
        <v>144</v>
      </c>
      <c r="K3516" s="36">
        <v>48</v>
      </c>
      <c r="L3516" s="42">
        <f>(58.53*(1-O3/100))/0.75</f>
        <v>78.040000000000006</v>
      </c>
      <c r="M3516" s="12"/>
      <c r="N3516" s="40">
        <f t="shared" si="159"/>
        <v>0</v>
      </c>
      <c r="O3516" s="43">
        <f>0.173*M3516</f>
        <v>0</v>
      </c>
      <c r="P3516" s="47">
        <f>0.00032*M3516</f>
        <v>0</v>
      </c>
      <c r="Q3516" s="44"/>
      <c r="R3516" s="45" t="s">
        <v>11002</v>
      </c>
      <c r="S3516" s="45" t="s">
        <v>93</v>
      </c>
      <c r="T3516" s="37" t="str">
        <f>HYPERLINK("https://kanzpp.ru/api/getInfo/image/6101681b-5e30-11f0-a281-00155d82e908")</f>
        <v>https://kanzpp.ru/api/getInfo/image/6101681b-5e30-11f0-a281-00155d82e908</v>
      </c>
      <c r="U3516" s="37"/>
    </row>
    <row r="3517" spans="2:22" ht="21" customHeight="1" outlineLevel="6" x14ac:dyDescent="0.2">
      <c r="B3517" s="69">
        <v>2610</v>
      </c>
      <c r="C3517" s="6" t="s">
        <v>11003</v>
      </c>
      <c r="D3517" s="6" t="s">
        <v>11004</v>
      </c>
      <c r="E3517" s="7" t="s">
        <v>11005</v>
      </c>
      <c r="F3517" s="13"/>
      <c r="G3517" s="14"/>
      <c r="H3517" s="15">
        <v>48</v>
      </c>
      <c r="I3517" s="15">
        <v>6</v>
      </c>
      <c r="J3517" s="15">
        <v>436</v>
      </c>
      <c r="K3517" s="5">
        <v>48</v>
      </c>
      <c r="L3517" s="16">
        <v>26.533333333333331</v>
      </c>
      <c r="M3517" s="12"/>
      <c r="N3517" s="14">
        <f t="shared" si="159"/>
        <v>0</v>
      </c>
      <c r="O3517" s="23">
        <f>0.199*M3517</f>
        <v>0</v>
      </c>
      <c r="P3517" s="24">
        <f>0.00024*M3517</f>
        <v>0</v>
      </c>
      <c r="Q3517" s="25"/>
      <c r="R3517" s="26" t="s">
        <v>11006</v>
      </c>
      <c r="S3517" s="26" t="s">
        <v>93</v>
      </c>
      <c r="T3517" s="6" t="str">
        <f>HYPERLINK("https://kanzpp.ru/api/getInfo/image/2e79efdf-f727-11e9-a235-ac1f6b442184")</f>
        <v>https://kanzpp.ru/api/getInfo/image/2e79efdf-f727-11e9-a235-ac1f6b442184</v>
      </c>
      <c r="U3517" s="6"/>
      <c r="V3517" s="33" t="s">
        <v>35</v>
      </c>
    </row>
    <row r="3518" spans="2:22" ht="21" customHeight="1" outlineLevel="6" x14ac:dyDescent="0.2">
      <c r="B3518" s="71">
        <v>2611</v>
      </c>
      <c r="C3518" s="37" t="s">
        <v>11007</v>
      </c>
      <c r="D3518" s="37" t="s">
        <v>11008</v>
      </c>
      <c r="E3518" s="38" t="s">
        <v>11009</v>
      </c>
      <c r="F3518" s="39"/>
      <c r="G3518" s="40"/>
      <c r="H3518" s="41">
        <v>56</v>
      </c>
      <c r="I3518" s="41">
        <v>4</v>
      </c>
      <c r="J3518" s="41">
        <v>56</v>
      </c>
      <c r="K3518" s="36">
        <v>56</v>
      </c>
      <c r="L3518" s="42">
        <f>(61.47*(1-O3/100))/0.75</f>
        <v>81.96</v>
      </c>
      <c r="M3518" s="12"/>
      <c r="N3518" s="40">
        <f t="shared" si="159"/>
        <v>0</v>
      </c>
      <c r="O3518" s="43">
        <f>0.108*M3518</f>
        <v>0</v>
      </c>
      <c r="P3518" s="47">
        <f>0.00021*M3518</f>
        <v>0</v>
      </c>
      <c r="Q3518" s="44"/>
      <c r="R3518" s="45" t="s">
        <v>11010</v>
      </c>
      <c r="S3518" s="45" t="s">
        <v>93</v>
      </c>
      <c r="T3518" s="37" t="str">
        <f>HYPERLINK("https://kanzpp.ru/api/getInfo/image/2c1a3db8-6078-11f0-a281-00155d82e908")</f>
        <v>https://kanzpp.ru/api/getInfo/image/2c1a3db8-6078-11f0-a281-00155d82e908</v>
      </c>
      <c r="U3518" s="37"/>
    </row>
    <row r="3519" spans="2:22" ht="22.95" customHeight="1" outlineLevel="5" x14ac:dyDescent="0.2">
      <c r="B3519" s="83" t="s">
        <v>11011</v>
      </c>
      <c r="C3519" s="83"/>
      <c r="D3519" s="83"/>
      <c r="L3519">
        <v>0</v>
      </c>
    </row>
    <row r="3520" spans="2:22" ht="21" customHeight="1" outlineLevel="6" x14ac:dyDescent="0.2">
      <c r="B3520" s="71">
        <v>2612</v>
      </c>
      <c r="C3520" s="37" t="s">
        <v>11012</v>
      </c>
      <c r="D3520" s="37" t="s">
        <v>11013</v>
      </c>
      <c r="E3520" s="38" t="s">
        <v>11014</v>
      </c>
      <c r="F3520" s="39"/>
      <c r="G3520" s="40"/>
      <c r="H3520" s="41">
        <v>48</v>
      </c>
      <c r="I3520" s="41">
        <v>4</v>
      </c>
      <c r="J3520" s="40" t="s">
        <v>144</v>
      </c>
      <c r="K3520" s="36">
        <v>48</v>
      </c>
      <c r="L3520" s="42">
        <f>(66.64*(1-O3/100))/0.75</f>
        <v>88.853333333333339</v>
      </c>
      <c r="M3520" s="12"/>
      <c r="N3520" s="40">
        <f>L3520*M3520</f>
        <v>0</v>
      </c>
      <c r="O3520" s="43">
        <f>0.196*M3520</f>
        <v>0</v>
      </c>
      <c r="P3520" s="47">
        <f>0.00028*M3520</f>
        <v>0</v>
      </c>
      <c r="Q3520" s="44"/>
      <c r="R3520" s="45" t="s">
        <v>11015</v>
      </c>
      <c r="S3520" s="45" t="s">
        <v>93</v>
      </c>
      <c r="T3520" s="37" t="str">
        <f>HYPERLINK("https://kanzpp.ru/api/getInfo/image/064ef503-4124-11f0-a27c-00155d82e908")</f>
        <v>https://kanzpp.ru/api/getInfo/image/064ef503-4124-11f0-a27c-00155d82e908</v>
      </c>
      <c r="U3520" s="37"/>
    </row>
    <row r="3521" spans="2:22" ht="21" customHeight="1" outlineLevel="6" x14ac:dyDescent="0.2">
      <c r="B3521" s="71">
        <v>2613</v>
      </c>
      <c r="C3521" s="37" t="s">
        <v>11016</v>
      </c>
      <c r="D3521" s="37" t="s">
        <v>11017</v>
      </c>
      <c r="E3521" s="38" t="s">
        <v>11018</v>
      </c>
      <c r="F3521" s="39"/>
      <c r="G3521" s="40"/>
      <c r="H3521" s="41">
        <v>48</v>
      </c>
      <c r="I3521" s="41">
        <v>4</v>
      </c>
      <c r="J3521" s="40" t="s">
        <v>144</v>
      </c>
      <c r="K3521" s="36">
        <v>48</v>
      </c>
      <c r="L3521" s="42">
        <f>(66.64*(1-O3/100))/0.75</f>
        <v>88.853333333333339</v>
      </c>
      <c r="M3521" s="12"/>
      <c r="N3521" s="40">
        <f>L3521*M3521</f>
        <v>0</v>
      </c>
      <c r="O3521" s="43">
        <f>0.187*M3521</f>
        <v>0</v>
      </c>
      <c r="P3521" s="47">
        <f>0.00025*M3521</f>
        <v>0</v>
      </c>
      <c r="Q3521" s="44"/>
      <c r="R3521" s="45" t="s">
        <v>11019</v>
      </c>
      <c r="S3521" s="45" t="s">
        <v>93</v>
      </c>
      <c r="T3521" s="37" t="str">
        <f>HYPERLINK("https://kanzpp.ru/api/getInfo/image/36e0cff0-4124-11f0-a27c-00155d82e908")</f>
        <v>https://kanzpp.ru/api/getInfo/image/36e0cff0-4124-11f0-a27c-00155d82e908</v>
      </c>
      <c r="U3521" s="37"/>
    </row>
    <row r="3522" spans="2:22" ht="21" customHeight="1" outlineLevel="6" x14ac:dyDescent="0.2">
      <c r="B3522" s="69">
        <v>2614</v>
      </c>
      <c r="C3522" s="6" t="s">
        <v>11020</v>
      </c>
      <c r="D3522" s="6" t="s">
        <v>11021</v>
      </c>
      <c r="E3522" s="7" t="s">
        <v>11022</v>
      </c>
      <c r="F3522" s="13"/>
      <c r="G3522" s="14"/>
      <c r="H3522" s="15">
        <v>48</v>
      </c>
      <c r="I3522" s="15">
        <v>4</v>
      </c>
      <c r="J3522" s="17">
        <v>2432</v>
      </c>
      <c r="K3522" s="5">
        <v>48</v>
      </c>
      <c r="L3522" s="16">
        <v>48</v>
      </c>
      <c r="M3522" s="12"/>
      <c r="N3522" s="14">
        <f>L3522*M3522</f>
        <v>0</v>
      </c>
      <c r="O3522" s="23">
        <f>0.195*M3522</f>
        <v>0</v>
      </c>
      <c r="P3522" s="24">
        <f>0.00051*M3522</f>
        <v>0</v>
      </c>
      <c r="Q3522" s="25"/>
      <c r="R3522" s="26" t="s">
        <v>11023</v>
      </c>
      <c r="S3522" s="26" t="s">
        <v>93</v>
      </c>
      <c r="T3522" s="6" t="str">
        <f>HYPERLINK("https://kanzpp.ru/api/getInfo/image/083b9e71-9c38-11ef-a267-00155d82e908")</f>
        <v>https://kanzpp.ru/api/getInfo/image/083b9e71-9c38-11ef-a267-00155d82e908</v>
      </c>
      <c r="U3522" s="6"/>
      <c r="V3522" s="33" t="s">
        <v>35</v>
      </c>
    </row>
    <row r="3523" spans="2:22" ht="22.95" customHeight="1" outlineLevel="4" x14ac:dyDescent="0.2">
      <c r="B3523" s="82" t="s">
        <v>11024</v>
      </c>
      <c r="C3523" s="82"/>
      <c r="D3523" s="82"/>
      <c r="L3523">
        <v>0</v>
      </c>
    </row>
    <row r="3524" spans="2:22" ht="22.95" customHeight="1" outlineLevel="5" x14ac:dyDescent="0.2">
      <c r="B3524" s="83" t="s">
        <v>11025</v>
      </c>
      <c r="C3524" s="83"/>
      <c r="D3524" s="83"/>
      <c r="L3524">
        <v>0</v>
      </c>
    </row>
    <row r="3525" spans="2:22" ht="21" customHeight="1" outlineLevel="6" x14ac:dyDescent="0.2">
      <c r="B3525" s="71">
        <v>2615</v>
      </c>
      <c r="C3525" s="37" t="s">
        <v>11026</v>
      </c>
      <c r="D3525" s="37" t="s">
        <v>11027</v>
      </c>
      <c r="E3525" s="38" t="s">
        <v>11028</v>
      </c>
      <c r="F3525" s="39"/>
      <c r="G3525" s="40"/>
      <c r="H3525" s="41">
        <v>48</v>
      </c>
      <c r="I3525" s="41">
        <v>6</v>
      </c>
      <c r="J3525" s="40" t="s">
        <v>144</v>
      </c>
      <c r="K3525" s="36">
        <v>48</v>
      </c>
      <c r="L3525" s="42">
        <f>(67.87*(1-O3/100))/0.75</f>
        <v>90.493333333333339</v>
      </c>
      <c r="M3525" s="12"/>
      <c r="N3525" s="40">
        <f>L3525*M3525</f>
        <v>0</v>
      </c>
      <c r="O3525" s="43">
        <f>0.207*M3525</f>
        <v>0</v>
      </c>
      <c r="P3525" s="47">
        <f>0.00029*M3525</f>
        <v>0</v>
      </c>
      <c r="Q3525" s="44"/>
      <c r="R3525" s="45" t="s">
        <v>11029</v>
      </c>
      <c r="S3525" s="45" t="s">
        <v>93</v>
      </c>
      <c r="T3525" s="37" t="str">
        <f>HYPERLINK("https://kanzpp.ru/api/getInfo/image/0ec4055e-4122-11f0-a27c-00155d82e908")</f>
        <v>https://kanzpp.ru/api/getInfo/image/0ec4055e-4122-11f0-a27c-00155d82e908</v>
      </c>
      <c r="U3525" s="37"/>
    </row>
    <row r="3526" spans="2:22" ht="21" customHeight="1" outlineLevel="6" x14ac:dyDescent="0.2">
      <c r="B3526" s="71">
        <v>2616</v>
      </c>
      <c r="C3526" s="37" t="s">
        <v>11030</v>
      </c>
      <c r="D3526" s="37" t="s">
        <v>11031</v>
      </c>
      <c r="E3526" s="38" t="s">
        <v>11032</v>
      </c>
      <c r="F3526" s="39"/>
      <c r="G3526" s="40"/>
      <c r="H3526" s="41">
        <v>48</v>
      </c>
      <c r="I3526" s="41">
        <v>6</v>
      </c>
      <c r="J3526" s="40" t="s">
        <v>144</v>
      </c>
      <c r="K3526" s="36">
        <v>48</v>
      </c>
      <c r="L3526" s="42">
        <f>(67.87*(1-O3/100))/0.75</f>
        <v>90.493333333333339</v>
      </c>
      <c r="M3526" s="12"/>
      <c r="N3526" s="40">
        <f>L3526*M3526</f>
        <v>0</v>
      </c>
      <c r="O3526" s="43">
        <f>0.207*M3526</f>
        <v>0</v>
      </c>
      <c r="P3526" s="47">
        <f>0.00039*M3526</f>
        <v>0</v>
      </c>
      <c r="Q3526" s="44"/>
      <c r="R3526" s="45" t="s">
        <v>11033</v>
      </c>
      <c r="S3526" s="45" t="s">
        <v>93</v>
      </c>
      <c r="T3526" s="37" t="str">
        <f>HYPERLINK("https://kanzpp.ru/api/getInfo/image/9c8aa8a3-4122-11f0-a27c-00155d82e908")</f>
        <v>https://kanzpp.ru/api/getInfo/image/9c8aa8a3-4122-11f0-a27c-00155d82e908</v>
      </c>
      <c r="U3526" s="37"/>
    </row>
    <row r="3527" spans="2:22" ht="21" customHeight="1" outlineLevel="6" x14ac:dyDescent="0.2">
      <c r="B3527" s="71">
        <v>2617</v>
      </c>
      <c r="C3527" s="37" t="s">
        <v>11034</v>
      </c>
      <c r="D3527" s="37" t="s">
        <v>11035</v>
      </c>
      <c r="E3527" s="38" t="s">
        <v>11036</v>
      </c>
      <c r="F3527" s="39"/>
      <c r="G3527" s="40"/>
      <c r="H3527" s="41">
        <v>48</v>
      </c>
      <c r="I3527" s="41">
        <v>6</v>
      </c>
      <c r="J3527" s="40" t="s">
        <v>144</v>
      </c>
      <c r="K3527" s="36">
        <v>48</v>
      </c>
      <c r="L3527" s="42">
        <f>(67.87*(1-O3/100))/0.75</f>
        <v>90.493333333333339</v>
      </c>
      <c r="M3527" s="12"/>
      <c r="N3527" s="40">
        <f>L3527*M3527</f>
        <v>0</v>
      </c>
      <c r="O3527" s="43">
        <f>0.108*M3527</f>
        <v>0</v>
      </c>
      <c r="P3527" s="47">
        <f>0.00021*M3527</f>
        <v>0</v>
      </c>
      <c r="Q3527" s="44"/>
      <c r="R3527" s="45" t="s">
        <v>11037</v>
      </c>
      <c r="S3527" s="45" t="s">
        <v>93</v>
      </c>
      <c r="T3527" s="37" t="str">
        <f>HYPERLINK("https://kanzpp.ru/api/getInfo/image/3f1c5a7b-4122-11f0-a27c-00155d82e908")</f>
        <v>https://kanzpp.ru/api/getInfo/image/3f1c5a7b-4122-11f0-a27c-00155d82e908</v>
      </c>
      <c r="U3527" s="37"/>
    </row>
    <row r="3528" spans="2:22" ht="21" customHeight="1" outlineLevel="6" x14ac:dyDescent="0.2">
      <c r="B3528" s="71">
        <v>2618</v>
      </c>
      <c r="C3528" s="37" t="s">
        <v>11038</v>
      </c>
      <c r="D3528" s="37" t="s">
        <v>11039</v>
      </c>
      <c r="E3528" s="38" t="s">
        <v>11040</v>
      </c>
      <c r="F3528" s="39"/>
      <c r="G3528" s="40"/>
      <c r="H3528" s="41">
        <v>48</v>
      </c>
      <c r="I3528" s="41">
        <v>6</v>
      </c>
      <c r="J3528" s="40" t="s">
        <v>144</v>
      </c>
      <c r="K3528" s="36">
        <v>48</v>
      </c>
      <c r="L3528" s="42">
        <f>(67.87*(1-O3/100))/0.75</f>
        <v>90.493333333333339</v>
      </c>
      <c r="M3528" s="12"/>
      <c r="N3528" s="40">
        <f>L3528*M3528</f>
        <v>0</v>
      </c>
      <c r="O3528" s="43">
        <f>0.204*M3528</f>
        <v>0</v>
      </c>
      <c r="P3528" s="47">
        <f>0.00029*M3528</f>
        <v>0</v>
      </c>
      <c r="Q3528" s="44"/>
      <c r="R3528" s="45" t="s">
        <v>11041</v>
      </c>
      <c r="S3528" s="45" t="s">
        <v>93</v>
      </c>
      <c r="T3528" s="37" t="str">
        <f>HYPERLINK("https://kanzpp.ru/api/getInfo/image/629a29b5-4122-11f0-a27c-00155d82e908")</f>
        <v>https://kanzpp.ru/api/getInfo/image/629a29b5-4122-11f0-a27c-00155d82e908</v>
      </c>
      <c r="U3528" s="37"/>
    </row>
    <row r="3529" spans="2:22" ht="21" customHeight="1" outlineLevel="6" x14ac:dyDescent="0.2">
      <c r="B3529" s="69">
        <v>2619</v>
      </c>
      <c r="C3529" s="6" t="s">
        <v>11042</v>
      </c>
      <c r="D3529" s="6" t="s">
        <v>11043</v>
      </c>
      <c r="E3529" s="7" t="s">
        <v>11044</v>
      </c>
      <c r="F3529" s="13"/>
      <c r="G3529" s="14"/>
      <c r="H3529" s="15">
        <v>48</v>
      </c>
      <c r="I3529" s="15">
        <v>6</v>
      </c>
      <c r="J3529" s="14" t="s">
        <v>144</v>
      </c>
      <c r="K3529" s="5">
        <v>48</v>
      </c>
      <c r="L3529" s="16">
        <v>39.866666666666667</v>
      </c>
      <c r="M3529" s="12"/>
      <c r="N3529" s="14">
        <f>L3529*M3529</f>
        <v>0</v>
      </c>
      <c r="O3529" s="23">
        <f>0.199*M3529</f>
        <v>0</v>
      </c>
      <c r="P3529" s="24">
        <f>0.00024*M3529</f>
        <v>0</v>
      </c>
      <c r="Q3529" s="25"/>
      <c r="R3529" s="26" t="s">
        <v>11045</v>
      </c>
      <c r="S3529" s="26" t="s">
        <v>93</v>
      </c>
      <c r="T3529" s="6" t="str">
        <f>HYPERLINK("https://kanzpp.ru/api/getInfo/image/0ec5fb1e-175b-11eb-a25d-ac1f6b442184")</f>
        <v>https://kanzpp.ru/api/getInfo/image/0ec5fb1e-175b-11eb-a25d-ac1f6b442184</v>
      </c>
      <c r="U3529" s="6"/>
      <c r="V3529" s="33" t="s">
        <v>35</v>
      </c>
    </row>
    <row r="3530" spans="2:22" ht="22.95" customHeight="1" outlineLevel="5" x14ac:dyDescent="0.2">
      <c r="B3530" s="83" t="s">
        <v>11046</v>
      </c>
      <c r="C3530" s="83"/>
      <c r="D3530" s="83"/>
      <c r="L3530">
        <v>0</v>
      </c>
    </row>
    <row r="3531" spans="2:22" ht="21" customHeight="1" outlineLevel="6" x14ac:dyDescent="0.2">
      <c r="B3531" s="69">
        <v>2620</v>
      </c>
      <c r="C3531" s="6" t="s">
        <v>11047</v>
      </c>
      <c r="D3531" s="6" t="s">
        <v>11048</v>
      </c>
      <c r="E3531" s="7" t="s">
        <v>11049</v>
      </c>
      <c r="F3531" s="13"/>
      <c r="G3531" s="14"/>
      <c r="H3531" s="15">
        <v>48</v>
      </c>
      <c r="I3531" s="15">
        <v>6</v>
      </c>
      <c r="J3531" s="15">
        <v>90</v>
      </c>
      <c r="K3531" s="5">
        <v>48</v>
      </c>
      <c r="L3531" s="16">
        <v>30.426666666666666</v>
      </c>
      <c r="M3531" s="12"/>
      <c r="N3531" s="14">
        <f t="shared" ref="N3531:N3540" si="160">L3531*M3531</f>
        <v>0</v>
      </c>
      <c r="O3531" s="23">
        <f>0.234*M3531</f>
        <v>0</v>
      </c>
      <c r="P3531" s="24">
        <f>0.00034*M3531</f>
        <v>0</v>
      </c>
      <c r="Q3531" s="25"/>
      <c r="R3531" s="26" t="s">
        <v>11050</v>
      </c>
      <c r="S3531" s="26" t="s">
        <v>93</v>
      </c>
      <c r="T3531" s="6" t="str">
        <f>HYPERLINK("https://kanzpp.ru/api/getInfo/image/85c788bf-e68a-11ee-a25a-00155d82e908")</f>
        <v>https://kanzpp.ru/api/getInfo/image/85c788bf-e68a-11ee-a25a-00155d82e908</v>
      </c>
      <c r="U3531" s="6"/>
      <c r="V3531" s="33" t="s">
        <v>35</v>
      </c>
    </row>
    <row r="3532" spans="2:22" ht="21" customHeight="1" outlineLevel="6" x14ac:dyDescent="0.2">
      <c r="B3532" s="71">
        <v>2621</v>
      </c>
      <c r="C3532" s="37" t="s">
        <v>11051</v>
      </c>
      <c r="D3532" s="37" t="s">
        <v>11052</v>
      </c>
      <c r="E3532" s="38" t="s">
        <v>11053</v>
      </c>
      <c r="F3532" s="39"/>
      <c r="G3532" s="40"/>
      <c r="H3532" s="41">
        <v>48</v>
      </c>
      <c r="I3532" s="41">
        <v>6</v>
      </c>
      <c r="J3532" s="50">
        <v>6475</v>
      </c>
      <c r="K3532" s="36">
        <v>48</v>
      </c>
      <c r="L3532" s="42">
        <f>(69.47*(1-O3/100))/0.75</f>
        <v>92.626666666666665</v>
      </c>
      <c r="M3532" s="12"/>
      <c r="N3532" s="40">
        <f t="shared" si="160"/>
        <v>0</v>
      </c>
      <c r="O3532" s="43">
        <f>10.376*M3532</f>
        <v>0</v>
      </c>
      <c r="P3532" s="47">
        <f>0.02017*M3532</f>
        <v>0</v>
      </c>
      <c r="Q3532" s="44"/>
      <c r="R3532" s="45" t="s">
        <v>11054</v>
      </c>
      <c r="S3532" s="45" t="s">
        <v>93</v>
      </c>
      <c r="T3532" s="37" t="str">
        <f>HYPERLINK("https://kanzpp.ru/api/getInfo/image/3767b4c1-bbda-11f0-a288-00155d82e908")</f>
        <v>https://kanzpp.ru/api/getInfo/image/3767b4c1-bbda-11f0-a288-00155d82e908</v>
      </c>
      <c r="U3532" s="37"/>
    </row>
    <row r="3533" spans="2:22" ht="21" customHeight="1" outlineLevel="6" x14ac:dyDescent="0.2">
      <c r="B3533" s="71">
        <v>2622</v>
      </c>
      <c r="C3533" s="37" t="s">
        <v>11055</v>
      </c>
      <c r="D3533" s="37" t="s">
        <v>11056</v>
      </c>
      <c r="E3533" s="38" t="s">
        <v>11057</v>
      </c>
      <c r="F3533" s="39"/>
      <c r="G3533" s="40"/>
      <c r="H3533" s="41">
        <v>48</v>
      </c>
      <c r="I3533" s="41">
        <v>6</v>
      </c>
      <c r="J3533" s="50">
        <v>13598</v>
      </c>
      <c r="K3533" s="36">
        <v>48</v>
      </c>
      <c r="L3533" s="42">
        <f>(69.47*(1-O3/100))/0.75</f>
        <v>92.626666666666665</v>
      </c>
      <c r="M3533" s="12"/>
      <c r="N3533" s="40">
        <f t="shared" si="160"/>
        <v>0</v>
      </c>
      <c r="O3533" s="43">
        <f>10.194*M3533</f>
        <v>0</v>
      </c>
      <c r="P3533" s="47">
        <f>0.01992*M3533</f>
        <v>0</v>
      </c>
      <c r="Q3533" s="44"/>
      <c r="R3533" s="45" t="s">
        <v>11058</v>
      </c>
      <c r="S3533" s="45" t="s">
        <v>93</v>
      </c>
      <c r="T3533" s="37" t="str">
        <f>HYPERLINK("https://kanzpp.ru/api/getInfo/image/6accaf1b-bbda-11f0-a288-00155d82e908")</f>
        <v>https://kanzpp.ru/api/getInfo/image/6accaf1b-bbda-11f0-a288-00155d82e908</v>
      </c>
      <c r="U3533" s="37"/>
    </row>
    <row r="3534" spans="2:22" ht="21" customHeight="1" outlineLevel="6" x14ac:dyDescent="0.2">
      <c r="B3534" s="71">
        <v>2623</v>
      </c>
      <c r="C3534" s="37" t="s">
        <v>11059</v>
      </c>
      <c r="D3534" s="37" t="s">
        <v>11060</v>
      </c>
      <c r="E3534" s="38" t="s">
        <v>11061</v>
      </c>
      <c r="F3534" s="39"/>
      <c r="G3534" s="40"/>
      <c r="H3534" s="41">
        <v>48</v>
      </c>
      <c r="I3534" s="41">
        <v>6</v>
      </c>
      <c r="J3534" s="50">
        <v>4109</v>
      </c>
      <c r="K3534" s="36">
        <v>48</v>
      </c>
      <c r="L3534" s="42">
        <f>(69.47*(1-O3/100))/0.75</f>
        <v>92.626666666666665</v>
      </c>
      <c r="M3534" s="12"/>
      <c r="N3534" s="40">
        <f t="shared" si="160"/>
        <v>0</v>
      </c>
      <c r="O3534" s="43">
        <f>0.208*M3534</f>
        <v>0</v>
      </c>
      <c r="P3534" s="47">
        <f>0.00029*M3534</f>
        <v>0</v>
      </c>
      <c r="Q3534" s="44"/>
      <c r="R3534" s="45" t="s">
        <v>11062</v>
      </c>
      <c r="S3534" s="45" t="s">
        <v>93</v>
      </c>
      <c r="T3534" s="37" t="str">
        <f>HYPERLINK("https://kanzpp.ru/api/getInfo/image/536fd777-678e-11f0-a283-00155d82e908")</f>
        <v>https://kanzpp.ru/api/getInfo/image/536fd777-678e-11f0-a283-00155d82e908</v>
      </c>
      <c r="U3534" s="37"/>
    </row>
    <row r="3535" spans="2:22" ht="21" customHeight="1" outlineLevel="6" x14ac:dyDescent="0.2">
      <c r="B3535" s="71">
        <v>2624</v>
      </c>
      <c r="C3535" s="37" t="s">
        <v>11063</v>
      </c>
      <c r="D3535" s="37" t="s">
        <v>11064</v>
      </c>
      <c r="E3535" s="38" t="s">
        <v>11065</v>
      </c>
      <c r="F3535" s="39"/>
      <c r="G3535" s="40"/>
      <c r="H3535" s="41">
        <v>48</v>
      </c>
      <c r="I3535" s="41">
        <v>6</v>
      </c>
      <c r="J3535" s="50">
        <v>2773</v>
      </c>
      <c r="K3535" s="36">
        <v>48</v>
      </c>
      <c r="L3535" s="42">
        <f>(69.47*(1-O3/100))/0.75</f>
        <v>92.626666666666665</v>
      </c>
      <c r="M3535" s="12"/>
      <c r="N3535" s="40">
        <f t="shared" si="160"/>
        <v>0</v>
      </c>
      <c r="O3535" s="43">
        <f>0.204*M3535</f>
        <v>0</v>
      </c>
      <c r="P3535" s="47">
        <f>0.00022*M3535</f>
        <v>0</v>
      </c>
      <c r="Q3535" s="44"/>
      <c r="R3535" s="45" t="s">
        <v>11066</v>
      </c>
      <c r="S3535" s="45" t="s">
        <v>93</v>
      </c>
      <c r="T3535" s="37" t="str">
        <f>HYPERLINK("https://kanzpp.ru/api/getInfo/image/f5cb1f5c-678f-11f0-a283-00155d82e908")</f>
        <v>https://kanzpp.ru/api/getInfo/image/f5cb1f5c-678f-11f0-a283-00155d82e908</v>
      </c>
      <c r="U3535" s="37"/>
    </row>
    <row r="3536" spans="2:22" ht="21" customHeight="1" outlineLevel="6" x14ac:dyDescent="0.2">
      <c r="B3536" s="69">
        <v>2625</v>
      </c>
      <c r="C3536" s="6" t="s">
        <v>11067</v>
      </c>
      <c r="D3536" s="6" t="s">
        <v>11068</v>
      </c>
      <c r="E3536" s="7" t="s">
        <v>11069</v>
      </c>
      <c r="F3536" s="13"/>
      <c r="G3536" s="14"/>
      <c r="H3536" s="15">
        <v>48</v>
      </c>
      <c r="I3536" s="15">
        <v>6</v>
      </c>
      <c r="J3536" s="15">
        <v>711</v>
      </c>
      <c r="K3536" s="5">
        <v>48</v>
      </c>
      <c r="L3536" s="16">
        <v>61.199999999999996</v>
      </c>
      <c r="M3536" s="12"/>
      <c r="N3536" s="14">
        <f t="shared" si="160"/>
        <v>0</v>
      </c>
      <c r="O3536" s="23">
        <f>0.209*M3536</f>
        <v>0</v>
      </c>
      <c r="P3536" s="24">
        <f>0.00029*M3536</f>
        <v>0</v>
      </c>
      <c r="Q3536" s="25"/>
      <c r="R3536" s="26" t="s">
        <v>11070</v>
      </c>
      <c r="S3536" s="26" t="s">
        <v>93</v>
      </c>
      <c r="T3536" s="6" t="str">
        <f>HYPERLINK("https://kanzpp.ru/api/getInfo/image/cca74ded-e68a-11ee-a25a-00155d82e908")</f>
        <v>https://kanzpp.ru/api/getInfo/image/cca74ded-e68a-11ee-a25a-00155d82e908</v>
      </c>
      <c r="U3536" s="6"/>
      <c r="V3536" s="33" t="s">
        <v>35</v>
      </c>
    </row>
    <row r="3537" spans="2:22" ht="21" customHeight="1" outlineLevel="6" x14ac:dyDescent="0.2">
      <c r="B3537" s="71">
        <v>2626</v>
      </c>
      <c r="C3537" s="37" t="s">
        <v>11071</v>
      </c>
      <c r="D3537" s="37" t="s">
        <v>11072</v>
      </c>
      <c r="E3537" s="38" t="s">
        <v>11073</v>
      </c>
      <c r="F3537" s="39"/>
      <c r="G3537" s="40"/>
      <c r="H3537" s="41">
        <v>48</v>
      </c>
      <c r="I3537" s="41">
        <v>6</v>
      </c>
      <c r="J3537" s="50">
        <v>5124</v>
      </c>
      <c r="K3537" s="36">
        <v>48</v>
      </c>
      <c r="L3537" s="42">
        <f>(69.47*(1-O3/100))/0.75</f>
        <v>92.626666666666665</v>
      </c>
      <c r="M3537" s="12"/>
      <c r="N3537" s="40">
        <f t="shared" si="160"/>
        <v>0</v>
      </c>
      <c r="O3537" s="43">
        <f>0.108*M3537</f>
        <v>0</v>
      </c>
      <c r="P3537" s="47">
        <f>0.00021*M3537</f>
        <v>0</v>
      </c>
      <c r="Q3537" s="44"/>
      <c r="R3537" s="45" t="s">
        <v>11074</v>
      </c>
      <c r="S3537" s="45" t="s">
        <v>93</v>
      </c>
      <c r="T3537" s="37" t="str">
        <f>HYPERLINK("https://kanzpp.ru/api/getInfo/image/e8f7bb2f-6791-11f0-a283-00155d82e908")</f>
        <v>https://kanzpp.ru/api/getInfo/image/e8f7bb2f-6791-11f0-a283-00155d82e908</v>
      </c>
      <c r="U3537" s="37"/>
    </row>
    <row r="3538" spans="2:22" ht="21" customHeight="1" outlineLevel="6" x14ac:dyDescent="0.2">
      <c r="B3538" s="69">
        <v>2627</v>
      </c>
      <c r="C3538" s="6" t="s">
        <v>11075</v>
      </c>
      <c r="D3538" s="6" t="s">
        <v>11076</v>
      </c>
      <c r="E3538" s="7" t="s">
        <v>11077</v>
      </c>
      <c r="F3538" s="13"/>
      <c r="G3538" s="14"/>
      <c r="H3538" s="15">
        <v>48</v>
      </c>
      <c r="I3538" s="15">
        <v>6</v>
      </c>
      <c r="J3538" s="17">
        <v>1059</v>
      </c>
      <c r="K3538" s="5">
        <v>48</v>
      </c>
      <c r="L3538" s="16">
        <v>61.199999999999996</v>
      </c>
      <c r="M3538" s="12"/>
      <c r="N3538" s="14">
        <f t="shared" si="160"/>
        <v>0</v>
      </c>
      <c r="O3538" s="23">
        <f>0.108*M3538</f>
        <v>0</v>
      </c>
      <c r="P3538" s="24">
        <f>0.00021*M3538</f>
        <v>0</v>
      </c>
      <c r="Q3538" s="25"/>
      <c r="R3538" s="26" t="s">
        <v>11078</v>
      </c>
      <c r="S3538" s="26" t="s">
        <v>93</v>
      </c>
      <c r="T3538" s="6" t="str">
        <f>HYPERLINK("https://kanzpp.ru/api/getInfo/image/e62c1325-9c38-11ef-a267-00155d82e908")</f>
        <v>https://kanzpp.ru/api/getInfo/image/e62c1325-9c38-11ef-a267-00155d82e908</v>
      </c>
      <c r="U3538" s="6"/>
      <c r="V3538" s="33" t="s">
        <v>35</v>
      </c>
    </row>
    <row r="3539" spans="2:22" ht="21" customHeight="1" outlineLevel="6" x14ac:dyDescent="0.2">
      <c r="B3539" s="71">
        <v>2628</v>
      </c>
      <c r="C3539" s="37" t="s">
        <v>11079</v>
      </c>
      <c r="D3539" s="37" t="s">
        <v>11080</v>
      </c>
      <c r="E3539" s="38" t="s">
        <v>11081</v>
      </c>
      <c r="F3539" s="39"/>
      <c r="G3539" s="40"/>
      <c r="H3539" s="41">
        <v>48</v>
      </c>
      <c r="I3539" s="41">
        <v>6</v>
      </c>
      <c r="J3539" s="50">
        <v>5346</v>
      </c>
      <c r="K3539" s="36">
        <v>48</v>
      </c>
      <c r="L3539" s="42">
        <f>(69.47*(1-O3/100))/0.75</f>
        <v>92.626666666666665</v>
      </c>
      <c r="M3539" s="12"/>
      <c r="N3539" s="40">
        <f t="shared" si="160"/>
        <v>0</v>
      </c>
      <c r="O3539" s="43">
        <f>0.243*M3539</f>
        <v>0</v>
      </c>
      <c r="P3539" s="47">
        <f>0.00003*M3539</f>
        <v>0</v>
      </c>
      <c r="Q3539" s="44"/>
      <c r="R3539" s="45" t="s">
        <v>11082</v>
      </c>
      <c r="S3539" s="45" t="s">
        <v>93</v>
      </c>
      <c r="T3539" s="37" t="str">
        <f>HYPERLINK("https://kanzpp.ru/api/getInfo/image/a801faad-6792-11f0-a283-00155d82e908")</f>
        <v>https://kanzpp.ru/api/getInfo/image/a801faad-6792-11f0-a283-00155d82e908</v>
      </c>
      <c r="U3539" s="37"/>
    </row>
    <row r="3540" spans="2:22" ht="21" customHeight="1" outlineLevel="6" x14ac:dyDescent="0.2">
      <c r="B3540" s="69">
        <v>2629</v>
      </c>
      <c r="C3540" s="6" t="s">
        <v>11083</v>
      </c>
      <c r="D3540" s="6" t="s">
        <v>11084</v>
      </c>
      <c r="E3540" s="7" t="s">
        <v>11085</v>
      </c>
      <c r="F3540" s="13"/>
      <c r="G3540" s="14"/>
      <c r="H3540" s="15">
        <v>48</v>
      </c>
      <c r="I3540" s="15">
        <v>6</v>
      </c>
      <c r="J3540" s="17">
        <v>1224</v>
      </c>
      <c r="K3540" s="5">
        <v>48</v>
      </c>
      <c r="L3540" s="16">
        <v>61.199999999999996</v>
      </c>
      <c r="M3540" s="12"/>
      <c r="N3540" s="14">
        <f t="shared" si="160"/>
        <v>0</v>
      </c>
      <c r="O3540" s="23">
        <f>0.208*M3540</f>
        <v>0</v>
      </c>
      <c r="P3540" s="24">
        <f>0.00033*M3540</f>
        <v>0</v>
      </c>
      <c r="Q3540" s="25"/>
      <c r="R3540" s="26" t="s">
        <v>11086</v>
      </c>
      <c r="S3540" s="26" t="s">
        <v>93</v>
      </c>
      <c r="T3540" s="6" t="str">
        <f>HYPERLINK("https://kanzpp.ru/api/getInfo/image/544ebe4f-9c39-11ef-a267-00155d82e908")</f>
        <v>https://kanzpp.ru/api/getInfo/image/544ebe4f-9c39-11ef-a267-00155d82e908</v>
      </c>
      <c r="U3540" s="6"/>
      <c r="V3540" s="33" t="s">
        <v>35</v>
      </c>
    </row>
    <row r="3541" spans="2:22" ht="22.95" customHeight="1" outlineLevel="5" x14ac:dyDescent="0.2">
      <c r="B3541" s="83" t="s">
        <v>11087</v>
      </c>
      <c r="C3541" s="83"/>
      <c r="D3541" s="83"/>
      <c r="L3541">
        <v>0</v>
      </c>
    </row>
    <row r="3542" spans="2:22" ht="21" customHeight="1" outlineLevel="6" x14ac:dyDescent="0.2">
      <c r="B3542" s="69">
        <v>2630</v>
      </c>
      <c r="C3542" s="6" t="s">
        <v>11088</v>
      </c>
      <c r="D3542" s="6" t="s">
        <v>11089</v>
      </c>
      <c r="E3542" s="7" t="s">
        <v>11090</v>
      </c>
      <c r="F3542" s="13"/>
      <c r="G3542" s="14"/>
      <c r="H3542" s="15">
        <v>40</v>
      </c>
      <c r="I3542" s="15">
        <v>10</v>
      </c>
      <c r="J3542" s="17">
        <v>2946</v>
      </c>
      <c r="K3542" s="5">
        <v>40</v>
      </c>
      <c r="L3542" s="16">
        <v>61.199999999999996</v>
      </c>
      <c r="M3542" s="12"/>
      <c r="N3542" s="14">
        <f>L3542*M3542</f>
        <v>0</v>
      </c>
      <c r="O3542" s="28">
        <f>0.23*M3542</f>
        <v>0</v>
      </c>
      <c r="P3542" s="24">
        <f>0.00029*M3542</f>
        <v>0</v>
      </c>
      <c r="Q3542" s="25"/>
      <c r="R3542" s="26" t="s">
        <v>11091</v>
      </c>
      <c r="S3542" s="26" t="s">
        <v>93</v>
      </c>
      <c r="T3542" s="6" t="str">
        <f>HYPERLINK("https://kanzpp.ru/api/getInfo/image/03281d9b-e68e-11ee-a25a-00155d82e908")</f>
        <v>https://kanzpp.ru/api/getInfo/image/03281d9b-e68e-11ee-a25a-00155d82e908</v>
      </c>
      <c r="U3542" s="6"/>
      <c r="V3542" s="33" t="s">
        <v>35</v>
      </c>
    </row>
    <row r="3543" spans="2:22" ht="21" customHeight="1" outlineLevel="6" x14ac:dyDescent="0.2">
      <c r="B3543" s="69">
        <v>2631</v>
      </c>
      <c r="C3543" s="6" t="s">
        <v>11092</v>
      </c>
      <c r="D3543" s="6" t="s">
        <v>11093</v>
      </c>
      <c r="E3543" s="7" t="s">
        <v>11090</v>
      </c>
      <c r="F3543" s="13"/>
      <c r="G3543" s="14"/>
      <c r="H3543" s="15">
        <v>40</v>
      </c>
      <c r="I3543" s="15">
        <v>2</v>
      </c>
      <c r="J3543" s="15">
        <v>752</v>
      </c>
      <c r="K3543" s="5">
        <v>8</v>
      </c>
      <c r="L3543" s="16">
        <v>61.199999999999996</v>
      </c>
      <c r="M3543" s="12"/>
      <c r="N3543" s="14">
        <f>L3543*M3543</f>
        <v>0</v>
      </c>
      <c r="O3543" s="28">
        <f>0.23*M3543</f>
        <v>0</v>
      </c>
      <c r="P3543" s="24">
        <f>0.00029*M3543</f>
        <v>0</v>
      </c>
      <c r="Q3543" s="25"/>
      <c r="R3543" s="26"/>
      <c r="S3543" s="26" t="s">
        <v>93</v>
      </c>
      <c r="T3543" s="6" t="str">
        <f>HYPERLINK("https://kanzpp.ru/api/getInfo/image/87b6a032-ea99-11ee-a25a-00155d82e908")</f>
        <v>https://kanzpp.ru/api/getInfo/image/87b6a032-ea99-11ee-a25a-00155d82e908</v>
      </c>
      <c r="U3543" s="6"/>
      <c r="V3543" s="33" t="s">
        <v>35</v>
      </c>
    </row>
    <row r="3544" spans="2:22" ht="21" customHeight="1" outlineLevel="6" x14ac:dyDescent="0.2">
      <c r="B3544" s="69">
        <v>2632</v>
      </c>
      <c r="C3544" s="6" t="s">
        <v>11094</v>
      </c>
      <c r="D3544" s="6" t="s">
        <v>11095</v>
      </c>
      <c r="E3544" s="7" t="s">
        <v>11096</v>
      </c>
      <c r="F3544" s="13"/>
      <c r="G3544" s="14"/>
      <c r="H3544" s="15">
        <v>40</v>
      </c>
      <c r="I3544" s="15">
        <v>10</v>
      </c>
      <c r="J3544" s="15">
        <v>401</v>
      </c>
      <c r="K3544" s="5">
        <v>40</v>
      </c>
      <c r="L3544" s="16">
        <v>61.199999999999996</v>
      </c>
      <c r="M3544" s="12"/>
      <c r="N3544" s="14">
        <f>L3544*M3544</f>
        <v>0</v>
      </c>
      <c r="O3544" s="28">
        <f>0.23*M3544</f>
        <v>0</v>
      </c>
      <c r="P3544" s="14">
        <v>0</v>
      </c>
      <c r="Q3544" s="25"/>
      <c r="R3544" s="26" t="s">
        <v>11097</v>
      </c>
      <c r="S3544" s="26" t="s">
        <v>93</v>
      </c>
      <c r="T3544" s="6" t="str">
        <f>HYPERLINK("https://kanzpp.ru/api/getInfo/image/55ad3fd2-e68e-11ee-a25a-00155d82e908")</f>
        <v>https://kanzpp.ru/api/getInfo/image/55ad3fd2-e68e-11ee-a25a-00155d82e908</v>
      </c>
      <c r="U3544" s="6"/>
      <c r="V3544" s="33" t="s">
        <v>35</v>
      </c>
    </row>
    <row r="3545" spans="2:22" ht="21" customHeight="1" outlineLevel="6" x14ac:dyDescent="0.2">
      <c r="B3545" s="69">
        <v>2633</v>
      </c>
      <c r="C3545" s="6" t="s">
        <v>11098</v>
      </c>
      <c r="D3545" s="6" t="s">
        <v>11099</v>
      </c>
      <c r="E3545" s="7" t="s">
        <v>11100</v>
      </c>
      <c r="F3545" s="13"/>
      <c r="G3545" s="14"/>
      <c r="H3545" s="15">
        <v>40</v>
      </c>
      <c r="I3545" s="15">
        <v>10</v>
      </c>
      <c r="J3545" s="17">
        <v>4949</v>
      </c>
      <c r="K3545" s="5">
        <v>40</v>
      </c>
      <c r="L3545" s="16">
        <v>61.199999999999996</v>
      </c>
      <c r="M3545" s="12"/>
      <c r="N3545" s="14">
        <f>L3545*M3545</f>
        <v>0</v>
      </c>
      <c r="O3545" s="23">
        <f>0.221*M3545</f>
        <v>0</v>
      </c>
      <c r="P3545" s="24">
        <f>0.00028*M3545</f>
        <v>0</v>
      </c>
      <c r="Q3545" s="25"/>
      <c r="R3545" s="26" t="s">
        <v>11101</v>
      </c>
      <c r="S3545" s="26" t="s">
        <v>93</v>
      </c>
      <c r="T3545" s="6" t="str">
        <f>HYPERLINK("https://kanzpp.ru/api/getInfo/image/311c72c2-e68e-11ee-a25a-00155d82e908")</f>
        <v>https://kanzpp.ru/api/getInfo/image/311c72c2-e68e-11ee-a25a-00155d82e908</v>
      </c>
      <c r="U3545" s="6"/>
      <c r="V3545" s="33" t="s">
        <v>35</v>
      </c>
    </row>
    <row r="3546" spans="2:22" ht="21" customHeight="1" outlineLevel="6" x14ac:dyDescent="0.2">
      <c r="B3546" s="69">
        <v>2634</v>
      </c>
      <c r="C3546" s="6" t="s">
        <v>11102</v>
      </c>
      <c r="D3546" s="6" t="s">
        <v>11103</v>
      </c>
      <c r="E3546" s="7" t="s">
        <v>11104</v>
      </c>
      <c r="F3546" s="13"/>
      <c r="G3546" s="14"/>
      <c r="H3546" s="15">
        <v>40</v>
      </c>
      <c r="I3546" s="15">
        <v>10</v>
      </c>
      <c r="J3546" s="17">
        <v>1888</v>
      </c>
      <c r="K3546" s="5">
        <v>40</v>
      </c>
      <c r="L3546" s="16">
        <v>61.199999999999996</v>
      </c>
      <c r="M3546" s="12"/>
      <c r="N3546" s="14">
        <f>L3546*M3546</f>
        <v>0</v>
      </c>
      <c r="O3546" s="23">
        <f>9.067*M3546</f>
        <v>0</v>
      </c>
      <c r="P3546" s="24">
        <f>0.01862*M3546</f>
        <v>0</v>
      </c>
      <c r="Q3546" s="25"/>
      <c r="R3546" s="26" t="s">
        <v>11105</v>
      </c>
      <c r="S3546" s="26" t="s">
        <v>93</v>
      </c>
      <c r="T3546" s="6" t="str">
        <f>HYPERLINK("https://kanzpp.ru/api/getInfo/image/b745726b-e68d-11ee-a25a-00155d82e908")</f>
        <v>https://kanzpp.ru/api/getInfo/image/b745726b-e68d-11ee-a25a-00155d82e908</v>
      </c>
      <c r="U3546" s="6"/>
      <c r="V3546" s="33" t="s">
        <v>35</v>
      </c>
    </row>
    <row r="3547" spans="2:22" ht="22.95" customHeight="1" outlineLevel="5" x14ac:dyDescent="0.2">
      <c r="B3547" s="83" t="s">
        <v>11106</v>
      </c>
      <c r="C3547" s="83"/>
      <c r="D3547" s="83"/>
      <c r="L3547">
        <v>0</v>
      </c>
    </row>
    <row r="3548" spans="2:22" ht="21" customHeight="1" outlineLevel="6" x14ac:dyDescent="0.2">
      <c r="B3548" s="71">
        <v>2635</v>
      </c>
      <c r="C3548" s="37" t="s">
        <v>11107</v>
      </c>
      <c r="D3548" s="37" t="s">
        <v>11108</v>
      </c>
      <c r="E3548" s="38" t="s">
        <v>11109</v>
      </c>
      <c r="F3548" s="39"/>
      <c r="G3548" s="40"/>
      <c r="H3548" s="41">
        <v>48</v>
      </c>
      <c r="I3548" s="41">
        <v>4</v>
      </c>
      <c r="J3548" s="40" t="s">
        <v>144</v>
      </c>
      <c r="K3548" s="36">
        <v>48</v>
      </c>
      <c r="L3548" s="42">
        <f>(79.87*(1-O3/100))/0.75</f>
        <v>106.49333333333334</v>
      </c>
      <c r="M3548" s="12"/>
      <c r="N3548" s="40">
        <f>L3548*M3548</f>
        <v>0</v>
      </c>
      <c r="O3548" s="43">
        <f>0.208*M3548</f>
        <v>0</v>
      </c>
      <c r="P3548" s="47">
        <f>0.00036*M3548</f>
        <v>0</v>
      </c>
      <c r="Q3548" s="44"/>
      <c r="R3548" s="45" t="s">
        <v>11110</v>
      </c>
      <c r="S3548" s="45" t="s">
        <v>93</v>
      </c>
      <c r="T3548" s="37" t="str">
        <f>HYPERLINK("https://kanzpp.ru/api/getInfo/image/a74cdaaf-b633-11ef-a267-00155d82e908")</f>
        <v>https://kanzpp.ru/api/getInfo/image/a74cdaaf-b633-11ef-a267-00155d82e908</v>
      </c>
      <c r="U3548" s="37"/>
    </row>
    <row r="3549" spans="2:22" ht="21" customHeight="1" outlineLevel="6" x14ac:dyDescent="0.2">
      <c r="B3549" s="71">
        <v>2636</v>
      </c>
      <c r="C3549" s="37" t="s">
        <v>11111</v>
      </c>
      <c r="D3549" s="37" t="s">
        <v>11112</v>
      </c>
      <c r="E3549" s="38" t="s">
        <v>11113</v>
      </c>
      <c r="F3549" s="39"/>
      <c r="G3549" s="40"/>
      <c r="H3549" s="41">
        <v>48</v>
      </c>
      <c r="I3549" s="41">
        <v>2</v>
      </c>
      <c r="J3549" s="40" t="s">
        <v>144</v>
      </c>
      <c r="K3549" s="36">
        <v>48</v>
      </c>
      <c r="L3549" s="42">
        <f>(79.87*(1-O3/100))/0.75</f>
        <v>106.49333333333334</v>
      </c>
      <c r="M3549" s="12"/>
      <c r="N3549" s="40">
        <f>L3549*M3549</f>
        <v>0</v>
      </c>
      <c r="O3549" s="43">
        <f>0.212*M3549</f>
        <v>0</v>
      </c>
      <c r="P3549" s="47">
        <f>0.00029*M3549</f>
        <v>0</v>
      </c>
      <c r="Q3549" s="44"/>
      <c r="R3549" s="45" t="s">
        <v>11114</v>
      </c>
      <c r="S3549" s="45" t="s">
        <v>93</v>
      </c>
      <c r="T3549" s="37" t="str">
        <f>HYPERLINK("https://kanzpp.ru/api/getInfo/image/88e092dc-b633-11ef-a267-00155d82e908")</f>
        <v>https://kanzpp.ru/api/getInfo/image/88e092dc-b633-11ef-a267-00155d82e908</v>
      </c>
      <c r="U3549" s="37"/>
    </row>
    <row r="3550" spans="2:22" ht="21" customHeight="1" outlineLevel="6" x14ac:dyDescent="0.2">
      <c r="B3550" s="71">
        <v>2637</v>
      </c>
      <c r="C3550" s="37" t="s">
        <v>11115</v>
      </c>
      <c r="D3550" s="37" t="s">
        <v>11116</v>
      </c>
      <c r="E3550" s="38" t="s">
        <v>11117</v>
      </c>
      <c r="F3550" s="39"/>
      <c r="G3550" s="40"/>
      <c r="H3550" s="41">
        <v>48</v>
      </c>
      <c r="I3550" s="41">
        <v>2</v>
      </c>
      <c r="J3550" s="50">
        <v>10159</v>
      </c>
      <c r="K3550" s="36">
        <v>48</v>
      </c>
      <c r="L3550" s="42">
        <f>(79.87*(1-O3/100))/0.75</f>
        <v>106.49333333333334</v>
      </c>
      <c r="M3550" s="12"/>
      <c r="N3550" s="40">
        <f>L3550*M3550</f>
        <v>0</v>
      </c>
      <c r="O3550" s="43">
        <f>0.215*M3550</f>
        <v>0</v>
      </c>
      <c r="P3550" s="47">
        <f>0.00028*M3550</f>
        <v>0</v>
      </c>
      <c r="Q3550" s="44"/>
      <c r="R3550" s="45" t="s">
        <v>11118</v>
      </c>
      <c r="S3550" s="45" t="s">
        <v>93</v>
      </c>
      <c r="T3550" s="37" t="str">
        <f>HYPERLINK("https://kanzpp.ru/api/getInfo/image/cef0d7dd-be34-11f0-a288-00155d82e908")</f>
        <v>https://kanzpp.ru/api/getInfo/image/cef0d7dd-be34-11f0-a288-00155d82e908</v>
      </c>
      <c r="U3550" s="37"/>
    </row>
    <row r="3551" spans="2:22" ht="21" customHeight="1" outlineLevel="6" x14ac:dyDescent="0.2">
      <c r="B3551" s="71">
        <v>2638</v>
      </c>
      <c r="C3551" s="37" t="s">
        <v>11119</v>
      </c>
      <c r="D3551" s="37" t="s">
        <v>11120</v>
      </c>
      <c r="E3551" s="38" t="s">
        <v>11121</v>
      </c>
      <c r="F3551" s="39"/>
      <c r="G3551" s="40"/>
      <c r="H3551" s="41">
        <v>48</v>
      </c>
      <c r="I3551" s="41">
        <v>2</v>
      </c>
      <c r="J3551" s="50">
        <v>7899</v>
      </c>
      <c r="K3551" s="36">
        <v>48</v>
      </c>
      <c r="L3551" s="42">
        <f>(79.87*(1-O3/100))/0.75</f>
        <v>106.49333333333334</v>
      </c>
      <c r="M3551" s="12"/>
      <c r="N3551" s="40">
        <f>L3551*M3551</f>
        <v>0</v>
      </c>
      <c r="O3551" s="43">
        <f>0.215*M3551</f>
        <v>0</v>
      </c>
      <c r="P3551" s="47">
        <f>0.00037*M3551</f>
        <v>0</v>
      </c>
      <c r="Q3551" s="44"/>
      <c r="R3551" s="45" t="s">
        <v>11122</v>
      </c>
      <c r="S3551" s="45" t="s">
        <v>93</v>
      </c>
      <c r="T3551" s="37" t="str">
        <f>HYPERLINK("https://kanzpp.ru/api/getInfo/image/21c55af2-be35-11f0-a288-00155d82e908")</f>
        <v>https://kanzpp.ru/api/getInfo/image/21c55af2-be35-11f0-a288-00155d82e908</v>
      </c>
      <c r="U3551" s="37"/>
    </row>
    <row r="3552" spans="2:22" ht="22.95" customHeight="1" outlineLevel="2" x14ac:dyDescent="0.2">
      <c r="B3552" s="80" t="s">
        <v>11123</v>
      </c>
      <c r="C3552" s="80"/>
      <c r="D3552" s="80"/>
      <c r="L3552">
        <v>0</v>
      </c>
    </row>
    <row r="3553" spans="2:22" ht="22.95" customHeight="1" outlineLevel="3" x14ac:dyDescent="0.2">
      <c r="B3553" s="81" t="s">
        <v>11124</v>
      </c>
      <c r="C3553" s="81"/>
      <c r="D3553" s="81"/>
      <c r="L3553">
        <v>0</v>
      </c>
    </row>
    <row r="3554" spans="2:22" ht="21" customHeight="1" outlineLevel="4" x14ac:dyDescent="0.2">
      <c r="B3554" s="71">
        <v>2639</v>
      </c>
      <c r="C3554" s="37" t="s">
        <v>11125</v>
      </c>
      <c r="D3554" s="37" t="s">
        <v>11126</v>
      </c>
      <c r="E3554" s="38" t="s">
        <v>11127</v>
      </c>
      <c r="F3554" s="39"/>
      <c r="G3554" s="40"/>
      <c r="H3554" s="41">
        <v>3</v>
      </c>
      <c r="I3554" s="40"/>
      <c r="J3554" s="41">
        <v>574</v>
      </c>
      <c r="K3554" s="36">
        <v>1</v>
      </c>
      <c r="L3554" s="42">
        <f>(646.69*(1-O3/100))/0.75</f>
        <v>862.25333333333344</v>
      </c>
      <c r="M3554" s="12"/>
      <c r="N3554" s="40">
        <f>L3554*M3554</f>
        <v>0</v>
      </c>
      <c r="O3554" s="43">
        <f>1.035*M3554</f>
        <v>0</v>
      </c>
      <c r="P3554" s="47">
        <f>0.00243*M3554</f>
        <v>0</v>
      </c>
      <c r="Q3554" s="44"/>
      <c r="R3554" s="45" t="s">
        <v>11128</v>
      </c>
      <c r="S3554" s="45" t="s">
        <v>93</v>
      </c>
      <c r="T3554" s="37" t="str">
        <f>HYPERLINK("https://kanzpp.ru/api/getInfo/image/3b770a35-eeb2-11ef-a274-00155d82e908")</f>
        <v>https://kanzpp.ru/api/getInfo/image/3b770a35-eeb2-11ef-a274-00155d82e908</v>
      </c>
      <c r="U3554" s="37"/>
    </row>
    <row r="3555" spans="2:22" ht="21" customHeight="1" outlineLevel="4" x14ac:dyDescent="0.2">
      <c r="B3555" s="71">
        <v>2640</v>
      </c>
      <c r="C3555" s="37" t="s">
        <v>11129</v>
      </c>
      <c r="D3555" s="37" t="s">
        <v>11130</v>
      </c>
      <c r="E3555" s="38" t="s">
        <v>11131</v>
      </c>
      <c r="F3555" s="39"/>
      <c r="G3555" s="40"/>
      <c r="H3555" s="41">
        <v>3</v>
      </c>
      <c r="I3555" s="40"/>
      <c r="J3555" s="41">
        <v>497</v>
      </c>
      <c r="K3555" s="36">
        <v>1</v>
      </c>
      <c r="L3555" s="42">
        <f>(646.69*(1-O3/100))/0.75</f>
        <v>862.25333333333344</v>
      </c>
      <c r="M3555" s="12"/>
      <c r="N3555" s="40">
        <f>L3555*M3555</f>
        <v>0</v>
      </c>
      <c r="O3555" s="43">
        <f>1.032*M3555</f>
        <v>0</v>
      </c>
      <c r="P3555" s="47">
        <f>0.00249*M3555</f>
        <v>0</v>
      </c>
      <c r="Q3555" s="44"/>
      <c r="R3555" s="45" t="s">
        <v>11132</v>
      </c>
      <c r="S3555" s="45" t="s">
        <v>93</v>
      </c>
      <c r="T3555" s="37" t="str">
        <f>HYPERLINK("https://kanzpp.ru/api/getInfo/image/db8bfa3c-eeb1-11ef-a274-00155d82e908")</f>
        <v>https://kanzpp.ru/api/getInfo/image/db8bfa3c-eeb1-11ef-a274-00155d82e908</v>
      </c>
      <c r="U3555" s="37"/>
    </row>
    <row r="3556" spans="2:22" ht="21" customHeight="1" outlineLevel="4" x14ac:dyDescent="0.2">
      <c r="B3556" s="71">
        <v>2641</v>
      </c>
      <c r="C3556" s="37" t="s">
        <v>11133</v>
      </c>
      <c r="D3556" s="37" t="s">
        <v>11134</v>
      </c>
      <c r="E3556" s="38" t="s">
        <v>11135</v>
      </c>
      <c r="F3556" s="39"/>
      <c r="G3556" s="40"/>
      <c r="H3556" s="41">
        <v>3</v>
      </c>
      <c r="I3556" s="40"/>
      <c r="J3556" s="41">
        <v>383</v>
      </c>
      <c r="K3556" s="36">
        <v>1</v>
      </c>
      <c r="L3556" s="42">
        <f>(646.69*(1-O3/100))/0.75</f>
        <v>862.25333333333344</v>
      </c>
      <c r="M3556" s="12"/>
      <c r="N3556" s="40">
        <f>L3556*M3556</f>
        <v>0</v>
      </c>
      <c r="O3556" s="48">
        <f>1.04*M3556</f>
        <v>0</v>
      </c>
      <c r="P3556" s="47">
        <f>0.00272*M3556</f>
        <v>0</v>
      </c>
      <c r="Q3556" s="44"/>
      <c r="R3556" s="45" t="s">
        <v>11136</v>
      </c>
      <c r="S3556" s="45" t="s">
        <v>93</v>
      </c>
      <c r="T3556" s="37" t="str">
        <f>HYPERLINK("https://kanzpp.ru/api/getInfo/image/61519027-eeb2-11ef-a274-00155d82e908")</f>
        <v>https://kanzpp.ru/api/getInfo/image/61519027-eeb2-11ef-a274-00155d82e908</v>
      </c>
      <c r="U3556" s="37"/>
    </row>
    <row r="3557" spans="2:22" ht="22.95" customHeight="1" outlineLevel="3" x14ac:dyDescent="0.2">
      <c r="B3557" s="81" t="s">
        <v>11137</v>
      </c>
      <c r="C3557" s="81"/>
      <c r="D3557" s="81"/>
      <c r="L3557">
        <v>0</v>
      </c>
    </row>
    <row r="3558" spans="2:22" ht="21" customHeight="1" outlineLevel="4" x14ac:dyDescent="0.2">
      <c r="B3558" s="71">
        <v>2642</v>
      </c>
      <c r="C3558" s="37" t="s">
        <v>11138</v>
      </c>
      <c r="D3558" s="37" t="s">
        <v>11139</v>
      </c>
      <c r="E3558" s="38" t="s">
        <v>11140</v>
      </c>
      <c r="F3558" s="39"/>
      <c r="G3558" s="40"/>
      <c r="H3558" s="41">
        <v>8</v>
      </c>
      <c r="I3558" s="40"/>
      <c r="J3558" s="41">
        <v>1</v>
      </c>
      <c r="K3558" s="36">
        <v>1</v>
      </c>
      <c r="L3558" s="42">
        <f>(290.9*(1-O3/100))/0.75</f>
        <v>387.86666666666662</v>
      </c>
      <c r="M3558" s="12"/>
      <c r="N3558" s="40">
        <f>L3558*M3558</f>
        <v>0</v>
      </c>
      <c r="O3558" s="43">
        <f>0.618*M3558</f>
        <v>0</v>
      </c>
      <c r="P3558" s="47">
        <f>0.00206*M3558</f>
        <v>0</v>
      </c>
      <c r="Q3558" s="44"/>
      <c r="R3558" s="45" t="s">
        <v>11141</v>
      </c>
      <c r="S3558" s="45" t="s">
        <v>93</v>
      </c>
      <c r="T3558" s="37" t="str">
        <f>HYPERLINK("https://kanzpp.ru/api/getInfo/image/eb8cc5a8-26fd-11ef-a25f-00155d82e908")</f>
        <v>https://kanzpp.ru/api/getInfo/image/eb8cc5a8-26fd-11ef-a25f-00155d82e908</v>
      </c>
      <c r="U3558" s="37"/>
    </row>
    <row r="3559" spans="2:22" ht="21" customHeight="1" outlineLevel="4" x14ac:dyDescent="0.2">
      <c r="B3559" s="69">
        <v>2643</v>
      </c>
      <c r="C3559" s="6" t="s">
        <v>11142</v>
      </c>
      <c r="D3559" s="6" t="s">
        <v>11143</v>
      </c>
      <c r="E3559" s="7" t="s">
        <v>11144</v>
      </c>
      <c r="F3559" s="13"/>
      <c r="G3559" s="14"/>
      <c r="H3559" s="15">
        <v>8</v>
      </c>
      <c r="I3559" s="14"/>
      <c r="J3559" s="15">
        <v>306</v>
      </c>
      <c r="K3559" s="5">
        <v>2</v>
      </c>
      <c r="L3559" s="16">
        <v>279.86666666666667</v>
      </c>
      <c r="M3559" s="12"/>
      <c r="N3559" s="14">
        <f>L3559*M3559</f>
        <v>0</v>
      </c>
      <c r="O3559" s="23">
        <f>0.616*M3559</f>
        <v>0</v>
      </c>
      <c r="P3559" s="24">
        <f>0.00277*M3559</f>
        <v>0</v>
      </c>
      <c r="Q3559" s="25"/>
      <c r="R3559" s="26" t="s">
        <v>11145</v>
      </c>
      <c r="S3559" s="26" t="s">
        <v>93</v>
      </c>
      <c r="T3559" s="6" t="str">
        <f>HYPERLINK("https://kanzpp.ru/api/getInfo/image/54b76d87-2190-11ef-a25f-00155d82e908")</f>
        <v>https://kanzpp.ru/api/getInfo/image/54b76d87-2190-11ef-a25f-00155d82e908</v>
      </c>
      <c r="U3559" s="6"/>
      <c r="V3559" s="33" t="s">
        <v>35</v>
      </c>
    </row>
    <row r="3560" spans="2:22" ht="22.95" customHeight="1" outlineLevel="3" x14ac:dyDescent="0.2">
      <c r="B3560" s="81" t="s">
        <v>11146</v>
      </c>
      <c r="C3560" s="81"/>
      <c r="D3560" s="81"/>
      <c r="L3560">
        <v>0</v>
      </c>
    </row>
    <row r="3561" spans="2:22" ht="22.95" customHeight="1" outlineLevel="4" x14ac:dyDescent="0.2">
      <c r="B3561" s="82" t="s">
        <v>11147</v>
      </c>
      <c r="C3561" s="82"/>
      <c r="D3561" s="82"/>
      <c r="L3561">
        <v>0</v>
      </c>
    </row>
    <row r="3562" spans="2:22" ht="21" customHeight="1" outlineLevel="5" x14ac:dyDescent="0.2">
      <c r="B3562" s="69">
        <v>2644</v>
      </c>
      <c r="C3562" s="6" t="s">
        <v>11148</v>
      </c>
      <c r="D3562" s="6" t="s">
        <v>11149</v>
      </c>
      <c r="E3562" s="7" t="s">
        <v>11150</v>
      </c>
      <c r="F3562" s="13"/>
      <c r="G3562" s="14"/>
      <c r="H3562" s="15">
        <v>14</v>
      </c>
      <c r="I3562" s="14"/>
      <c r="J3562" s="14" t="s">
        <v>144</v>
      </c>
      <c r="K3562" s="5">
        <v>4</v>
      </c>
      <c r="L3562" s="16">
        <v>132</v>
      </c>
      <c r="M3562" s="12"/>
      <c r="N3562" s="14">
        <f t="shared" ref="N3562:N3567" si="161">L3562*M3562</f>
        <v>0</v>
      </c>
      <c r="O3562" s="28">
        <f>0.28*M3562</f>
        <v>0</v>
      </c>
      <c r="P3562" s="24">
        <f>0.00244*M3562</f>
        <v>0</v>
      </c>
      <c r="Q3562" s="25"/>
      <c r="R3562" s="26" t="s">
        <v>11151</v>
      </c>
      <c r="S3562" s="26" t="s">
        <v>93</v>
      </c>
      <c r="T3562" s="6" t="str">
        <f>HYPERLINK("https://kanzpp.ru/api/getInfo/image/cf48c90d-56af-11ee-a245-00155d82e902")</f>
        <v>https://kanzpp.ru/api/getInfo/image/cf48c90d-56af-11ee-a245-00155d82e902</v>
      </c>
      <c r="U3562" s="6"/>
      <c r="V3562" s="33" t="s">
        <v>35</v>
      </c>
    </row>
    <row r="3563" spans="2:22" ht="21" customHeight="1" outlineLevel="5" x14ac:dyDescent="0.2">
      <c r="B3563" s="71">
        <v>2645</v>
      </c>
      <c r="C3563" s="37" t="s">
        <v>11152</v>
      </c>
      <c r="D3563" s="37" t="s">
        <v>11153</v>
      </c>
      <c r="E3563" s="38" t="s">
        <v>11154</v>
      </c>
      <c r="F3563" s="39"/>
      <c r="G3563" s="40"/>
      <c r="H3563" s="41">
        <v>14</v>
      </c>
      <c r="I3563" s="40"/>
      <c r="J3563" s="41">
        <v>591</v>
      </c>
      <c r="K3563" s="36">
        <v>4</v>
      </c>
      <c r="L3563" s="42">
        <f>(152.04*(1-O3/100))/0.75</f>
        <v>202.72</v>
      </c>
      <c r="M3563" s="12"/>
      <c r="N3563" s="40">
        <f t="shared" si="161"/>
        <v>0</v>
      </c>
      <c r="O3563" s="43">
        <f>0.282*M3563</f>
        <v>0</v>
      </c>
      <c r="P3563" s="46">
        <f>0.0014*M3563</f>
        <v>0</v>
      </c>
      <c r="Q3563" s="44"/>
      <c r="R3563" s="45" t="s">
        <v>11155</v>
      </c>
      <c r="S3563" s="45" t="s">
        <v>93</v>
      </c>
      <c r="T3563" s="37" t="str">
        <f>HYPERLINK("https://kanzpp.ru/api/getInfo/image/a2616c46-607d-11f0-a281-00155d82e908")</f>
        <v>https://kanzpp.ru/api/getInfo/image/a2616c46-607d-11f0-a281-00155d82e908</v>
      </c>
      <c r="U3563" s="37"/>
    </row>
    <row r="3564" spans="2:22" ht="21" customHeight="1" outlineLevel="5" x14ac:dyDescent="0.2">
      <c r="B3564" s="69">
        <v>2646</v>
      </c>
      <c r="C3564" s="6" t="s">
        <v>11156</v>
      </c>
      <c r="D3564" s="6" t="s">
        <v>11157</v>
      </c>
      <c r="E3564" s="7" t="s">
        <v>11158</v>
      </c>
      <c r="F3564" s="13"/>
      <c r="G3564" s="14"/>
      <c r="H3564" s="15">
        <v>14</v>
      </c>
      <c r="I3564" s="15">
        <v>1</v>
      </c>
      <c r="J3564" s="15">
        <v>1</v>
      </c>
      <c r="K3564" s="5">
        <v>1</v>
      </c>
      <c r="L3564" s="16">
        <v>145.10666666666665</v>
      </c>
      <c r="M3564" s="12"/>
      <c r="N3564" s="14">
        <f t="shared" si="161"/>
        <v>0</v>
      </c>
      <c r="O3564" s="28">
        <f>0.31*M3564</f>
        <v>0</v>
      </c>
      <c r="P3564" s="24">
        <f>0.00106*M3564</f>
        <v>0</v>
      </c>
      <c r="Q3564" s="25"/>
      <c r="R3564" s="26" t="s">
        <v>11159</v>
      </c>
      <c r="S3564" s="26" t="s">
        <v>93</v>
      </c>
      <c r="T3564" s="6" t="str">
        <f>HYPERLINK("https://kanzpp.ru/api/getInfo/image/245833ac-8172-11eb-a275-ac1f6b442184")</f>
        <v>https://kanzpp.ru/api/getInfo/image/245833ac-8172-11eb-a275-ac1f6b442184</v>
      </c>
      <c r="U3564" s="6"/>
      <c r="V3564" s="33" t="s">
        <v>35</v>
      </c>
    </row>
    <row r="3565" spans="2:22" ht="21" customHeight="1" outlineLevel="5" x14ac:dyDescent="0.2">
      <c r="B3565" s="71">
        <v>2647</v>
      </c>
      <c r="C3565" s="37" t="s">
        <v>11160</v>
      </c>
      <c r="D3565" s="37" t="s">
        <v>11161</v>
      </c>
      <c r="E3565" s="38" t="s">
        <v>11162</v>
      </c>
      <c r="F3565" s="39"/>
      <c r="G3565" s="40"/>
      <c r="H3565" s="41">
        <v>14</v>
      </c>
      <c r="I3565" s="40"/>
      <c r="J3565" s="41">
        <v>651</v>
      </c>
      <c r="K3565" s="36">
        <v>4</v>
      </c>
      <c r="L3565" s="42">
        <f>(152.04*(1-O3/100))/0.75</f>
        <v>202.72</v>
      </c>
      <c r="M3565" s="12"/>
      <c r="N3565" s="40">
        <f t="shared" si="161"/>
        <v>0</v>
      </c>
      <c r="O3565" s="43">
        <f>0.282*M3565</f>
        <v>0</v>
      </c>
      <c r="P3565" s="47">
        <f>0.00114*M3565</f>
        <v>0</v>
      </c>
      <c r="Q3565" s="44"/>
      <c r="R3565" s="45" t="s">
        <v>11163</v>
      </c>
      <c r="S3565" s="45" t="s">
        <v>93</v>
      </c>
      <c r="T3565" s="37" t="str">
        <f>HYPERLINK("https://kanzpp.ru/api/getInfo/image/ed790b65-607d-11f0-a281-00155d82e908")</f>
        <v>https://kanzpp.ru/api/getInfo/image/ed790b65-607d-11f0-a281-00155d82e908</v>
      </c>
      <c r="U3565" s="37"/>
    </row>
    <row r="3566" spans="2:22" ht="21" customHeight="1" outlineLevel="5" x14ac:dyDescent="0.2">
      <c r="B3566" s="71">
        <v>2648</v>
      </c>
      <c r="C3566" s="37" t="s">
        <v>11164</v>
      </c>
      <c r="D3566" s="37" t="s">
        <v>11165</v>
      </c>
      <c r="E3566" s="38" t="s">
        <v>11166</v>
      </c>
      <c r="F3566" s="39"/>
      <c r="G3566" s="40"/>
      <c r="H3566" s="41">
        <v>14</v>
      </c>
      <c r="I3566" s="40"/>
      <c r="J3566" s="41">
        <v>14</v>
      </c>
      <c r="K3566" s="36">
        <v>4</v>
      </c>
      <c r="L3566" s="42">
        <f>(152.04*(1-O3/100))/0.75</f>
        <v>202.72</v>
      </c>
      <c r="M3566" s="12"/>
      <c r="N3566" s="40">
        <f t="shared" si="161"/>
        <v>0</v>
      </c>
      <c r="O3566" s="43">
        <f>0.285*M3566</f>
        <v>0</v>
      </c>
      <c r="P3566" s="47">
        <f>0.00114*M3566</f>
        <v>0</v>
      </c>
      <c r="Q3566" s="44"/>
      <c r="R3566" s="45" t="s">
        <v>11167</v>
      </c>
      <c r="S3566" s="45" t="s">
        <v>93</v>
      </c>
      <c r="T3566" s="37" t="str">
        <f>HYPERLINK("https://kanzpp.ru/api/getInfo/image/f818faf4-781b-11f0-a284-00155d82e908")</f>
        <v>https://kanzpp.ru/api/getInfo/image/f818faf4-781b-11f0-a284-00155d82e908</v>
      </c>
      <c r="U3566" s="37"/>
    </row>
    <row r="3567" spans="2:22" ht="21" customHeight="1" outlineLevel="5" x14ac:dyDescent="0.2">
      <c r="B3567" s="71">
        <v>2649</v>
      </c>
      <c r="C3567" s="37" t="s">
        <v>11168</v>
      </c>
      <c r="D3567" s="37" t="s">
        <v>11169</v>
      </c>
      <c r="E3567" s="38" t="s">
        <v>11170</v>
      </c>
      <c r="F3567" s="39"/>
      <c r="G3567" s="40"/>
      <c r="H3567" s="41">
        <v>14</v>
      </c>
      <c r="I3567" s="40"/>
      <c r="J3567" s="41">
        <v>1</v>
      </c>
      <c r="K3567" s="36">
        <v>1</v>
      </c>
      <c r="L3567" s="42">
        <f>(152.04*(1-O3/100))/0.75</f>
        <v>202.72</v>
      </c>
      <c r="M3567" s="12"/>
      <c r="N3567" s="40">
        <f t="shared" si="161"/>
        <v>0</v>
      </c>
      <c r="O3567" s="43">
        <f>0.283*M3567</f>
        <v>0</v>
      </c>
      <c r="P3567" s="47">
        <f>0.00114*M3567</f>
        <v>0</v>
      </c>
      <c r="Q3567" s="44"/>
      <c r="R3567" s="45" t="s">
        <v>11171</v>
      </c>
      <c r="S3567" s="45" t="s">
        <v>93</v>
      </c>
      <c r="T3567" s="37" t="str">
        <f>HYPERLINK("https://kanzpp.ru/api/getInfo/image/11f9f3e0-607e-11f0-a281-00155d82e908")</f>
        <v>https://kanzpp.ru/api/getInfo/image/11f9f3e0-607e-11f0-a281-00155d82e908</v>
      </c>
      <c r="U3567" s="37"/>
    </row>
    <row r="3568" spans="2:22" ht="22.95" customHeight="1" outlineLevel="4" x14ac:dyDescent="0.2">
      <c r="B3568" s="82" t="s">
        <v>11172</v>
      </c>
      <c r="C3568" s="82"/>
      <c r="D3568" s="82"/>
      <c r="L3568">
        <v>0</v>
      </c>
    </row>
    <row r="3569" spans="2:22" ht="21" customHeight="1" outlineLevel="5" x14ac:dyDescent="0.2">
      <c r="B3569" s="69">
        <v>2650</v>
      </c>
      <c r="C3569" s="6" t="s">
        <v>11173</v>
      </c>
      <c r="D3569" s="6" t="s">
        <v>11174</v>
      </c>
      <c r="E3569" s="7" t="s">
        <v>11175</v>
      </c>
      <c r="F3569" s="13"/>
      <c r="G3569" s="14"/>
      <c r="H3569" s="15">
        <v>14</v>
      </c>
      <c r="I3569" s="14"/>
      <c r="J3569" s="15">
        <v>1</v>
      </c>
      <c r="K3569" s="5">
        <v>1</v>
      </c>
      <c r="L3569" s="16">
        <v>132</v>
      </c>
      <c r="M3569" s="12"/>
      <c r="N3569" s="14">
        <f>L3569*M3569</f>
        <v>0</v>
      </c>
      <c r="O3569" s="23">
        <f>0.273*M3569</f>
        <v>0</v>
      </c>
      <c r="P3569" s="31">
        <f>0.0012*M3569</f>
        <v>0</v>
      </c>
      <c r="Q3569" s="25"/>
      <c r="R3569" s="26" t="s">
        <v>11176</v>
      </c>
      <c r="S3569" s="26" t="s">
        <v>93</v>
      </c>
      <c r="T3569" s="6" t="str">
        <f>HYPERLINK("https://kanzpp.ru/api/getInfo/image/676ca499-3731-11ec-a20f-ac1f6b442185")</f>
        <v>https://kanzpp.ru/api/getInfo/image/676ca499-3731-11ec-a20f-ac1f6b442185</v>
      </c>
      <c r="U3569" s="6"/>
      <c r="V3569" s="33" t="s">
        <v>35</v>
      </c>
    </row>
    <row r="3570" spans="2:22" ht="21" customHeight="1" outlineLevel="5" x14ac:dyDescent="0.2">
      <c r="B3570" s="69">
        <v>2651</v>
      </c>
      <c r="C3570" s="6" t="s">
        <v>11177</v>
      </c>
      <c r="D3570" s="6" t="s">
        <v>11178</v>
      </c>
      <c r="E3570" s="7" t="s">
        <v>11179</v>
      </c>
      <c r="F3570" s="13"/>
      <c r="G3570" s="14"/>
      <c r="H3570" s="15">
        <v>14</v>
      </c>
      <c r="I3570" s="14"/>
      <c r="J3570" s="15">
        <v>969</v>
      </c>
      <c r="K3570" s="5">
        <v>4</v>
      </c>
      <c r="L3570" s="16">
        <v>132.50666666666666</v>
      </c>
      <c r="M3570" s="12"/>
      <c r="N3570" s="14">
        <f>L3570*M3570</f>
        <v>0</v>
      </c>
      <c r="O3570" s="28">
        <f>0.28*M3570</f>
        <v>0</v>
      </c>
      <c r="P3570" s="31">
        <f>0.0013*M3570</f>
        <v>0</v>
      </c>
      <c r="Q3570" s="25"/>
      <c r="R3570" s="26" t="s">
        <v>11180</v>
      </c>
      <c r="S3570" s="26" t="s">
        <v>93</v>
      </c>
      <c r="T3570" s="6" t="str">
        <f>HYPERLINK("https://kanzpp.ru/api/getInfo/image/fe930375-2197-11ef-a25f-00155d82e908")</f>
        <v>https://kanzpp.ru/api/getInfo/image/fe930375-2197-11ef-a25f-00155d82e908</v>
      </c>
      <c r="U3570" s="6"/>
      <c r="V3570" s="33" t="s">
        <v>35</v>
      </c>
    </row>
    <row r="3571" spans="2:22" ht="21" customHeight="1" outlineLevel="5" x14ac:dyDescent="0.2">
      <c r="B3571" s="69">
        <v>2652</v>
      </c>
      <c r="C3571" s="6" t="s">
        <v>11181</v>
      </c>
      <c r="D3571" s="6" t="s">
        <v>11182</v>
      </c>
      <c r="E3571" s="7" t="s">
        <v>11183</v>
      </c>
      <c r="F3571" s="13"/>
      <c r="G3571" s="14"/>
      <c r="H3571" s="15">
        <v>14</v>
      </c>
      <c r="I3571" s="14"/>
      <c r="J3571" s="14" t="s">
        <v>144</v>
      </c>
      <c r="K3571" s="5">
        <v>4</v>
      </c>
      <c r="L3571" s="16">
        <v>132</v>
      </c>
      <c r="M3571" s="12"/>
      <c r="N3571" s="14">
        <f>L3571*M3571</f>
        <v>0</v>
      </c>
      <c r="O3571" s="23">
        <f>0.281*M3571</f>
        <v>0</v>
      </c>
      <c r="P3571" s="24">
        <f>0.00112*M3571</f>
        <v>0</v>
      </c>
      <c r="Q3571" s="25"/>
      <c r="R3571" s="26" t="s">
        <v>11184</v>
      </c>
      <c r="S3571" s="26" t="s">
        <v>93</v>
      </c>
      <c r="T3571" s="6" t="str">
        <f>HYPERLINK("https://kanzpp.ru/api/getInfo/image/2429a5ba-2198-11ef-a25f-00155d82e908")</f>
        <v>https://kanzpp.ru/api/getInfo/image/2429a5ba-2198-11ef-a25f-00155d82e908</v>
      </c>
      <c r="U3571" s="6"/>
      <c r="V3571" s="33" t="s">
        <v>35</v>
      </c>
    </row>
    <row r="3572" spans="2:22" ht="21" customHeight="1" outlineLevel="5" x14ac:dyDescent="0.2">
      <c r="B3572" s="69">
        <v>2653</v>
      </c>
      <c r="C3572" s="6" t="s">
        <v>11185</v>
      </c>
      <c r="D3572" s="6" t="s">
        <v>11186</v>
      </c>
      <c r="E3572" s="7" t="s">
        <v>11187</v>
      </c>
      <c r="F3572" s="13"/>
      <c r="G3572" s="14"/>
      <c r="H3572" s="15">
        <v>14</v>
      </c>
      <c r="I3572" s="14"/>
      <c r="J3572" s="14" t="s">
        <v>144</v>
      </c>
      <c r="K3572" s="5">
        <v>4</v>
      </c>
      <c r="L3572" s="16">
        <v>132</v>
      </c>
      <c r="M3572" s="12"/>
      <c r="N3572" s="14">
        <f>L3572*M3572</f>
        <v>0</v>
      </c>
      <c r="O3572" s="23">
        <f>0.276*M3572</f>
        <v>0</v>
      </c>
      <c r="P3572" s="31">
        <f>0.0013*M3572</f>
        <v>0</v>
      </c>
      <c r="Q3572" s="25"/>
      <c r="R3572" s="26" t="s">
        <v>11188</v>
      </c>
      <c r="S3572" s="26" t="s">
        <v>93</v>
      </c>
      <c r="T3572" s="6" t="str">
        <f>HYPERLINK("https://kanzpp.ru/api/getInfo/image/430e0b24-2198-11ef-a25f-00155d82e908")</f>
        <v>https://kanzpp.ru/api/getInfo/image/430e0b24-2198-11ef-a25f-00155d82e908</v>
      </c>
      <c r="U3572" s="6"/>
      <c r="V3572" s="33" t="s">
        <v>35</v>
      </c>
    </row>
    <row r="3573" spans="2:22" ht="22.95" customHeight="1" outlineLevel="4" x14ac:dyDescent="0.2">
      <c r="B3573" s="82" t="s">
        <v>11189</v>
      </c>
      <c r="C3573" s="82"/>
      <c r="D3573" s="82"/>
      <c r="L3573">
        <v>0</v>
      </c>
    </row>
    <row r="3574" spans="2:22" ht="21" customHeight="1" outlineLevel="5" x14ac:dyDescent="0.2">
      <c r="B3574" s="69">
        <v>2654</v>
      </c>
      <c r="C3574" s="6" t="s">
        <v>11190</v>
      </c>
      <c r="D3574" s="6" t="s">
        <v>11191</v>
      </c>
      <c r="E3574" s="7" t="s">
        <v>11192</v>
      </c>
      <c r="F3574" s="13"/>
      <c r="G3574" s="14"/>
      <c r="H3574" s="15">
        <v>14</v>
      </c>
      <c r="I3574" s="14"/>
      <c r="J3574" s="14" t="s">
        <v>144</v>
      </c>
      <c r="K3574" s="5">
        <v>4</v>
      </c>
      <c r="L3574" s="16">
        <v>65.333333333333329</v>
      </c>
      <c r="M3574" s="12"/>
      <c r="N3574" s="14">
        <f>L3574*M3574</f>
        <v>0</v>
      </c>
      <c r="O3574" s="23">
        <f>0.269*M3574</f>
        <v>0</v>
      </c>
      <c r="P3574" s="24">
        <f>0.00035*M3574</f>
        <v>0</v>
      </c>
      <c r="Q3574" s="25"/>
      <c r="R3574" s="26" t="s">
        <v>11193</v>
      </c>
      <c r="S3574" s="26" t="s">
        <v>93</v>
      </c>
      <c r="T3574" s="6" t="str">
        <f>HYPERLINK("https://kanzpp.ru/api/getInfo/image/02d438f3-a335-11ef-a267-00155d82e908")</f>
        <v>https://kanzpp.ru/api/getInfo/image/02d438f3-a335-11ef-a267-00155d82e908</v>
      </c>
      <c r="U3574" s="6"/>
      <c r="V3574" s="33" t="s">
        <v>35</v>
      </c>
    </row>
    <row r="3575" spans="2:22" ht="21" customHeight="1" outlineLevel="5" x14ac:dyDescent="0.2">
      <c r="B3575" s="69">
        <v>2655</v>
      </c>
      <c r="C3575" s="6" t="s">
        <v>11194</v>
      </c>
      <c r="D3575" s="6" t="s">
        <v>11195</v>
      </c>
      <c r="E3575" s="7" t="s">
        <v>11196</v>
      </c>
      <c r="F3575" s="13"/>
      <c r="G3575" s="14"/>
      <c r="H3575" s="15">
        <v>14</v>
      </c>
      <c r="I3575" s="14"/>
      <c r="J3575" s="15">
        <v>112</v>
      </c>
      <c r="K3575" s="5">
        <v>4</v>
      </c>
      <c r="L3575" s="16">
        <v>65.333333333333329</v>
      </c>
      <c r="M3575" s="12"/>
      <c r="N3575" s="14">
        <f>L3575*M3575</f>
        <v>0</v>
      </c>
      <c r="O3575" s="23">
        <f>0.286*M3575</f>
        <v>0</v>
      </c>
      <c r="P3575" s="24">
        <f>0.00117*M3575</f>
        <v>0</v>
      </c>
      <c r="Q3575" s="25"/>
      <c r="R3575" s="26" t="s">
        <v>11197</v>
      </c>
      <c r="S3575" s="26" t="s">
        <v>93</v>
      </c>
      <c r="T3575" s="6" t="str">
        <f>HYPERLINK("https://kanzpp.ru/api/getInfo/image/565b33a0-56af-11ee-a245-00155d82e902")</f>
        <v>https://kanzpp.ru/api/getInfo/image/565b33a0-56af-11ee-a245-00155d82e902</v>
      </c>
      <c r="U3575" s="6"/>
      <c r="V3575" s="33" t="s">
        <v>35</v>
      </c>
    </row>
    <row r="3576" spans="2:22" ht="21" customHeight="1" outlineLevel="5" x14ac:dyDescent="0.2">
      <c r="B3576" s="69">
        <v>2656</v>
      </c>
      <c r="C3576" s="6" t="s">
        <v>11198</v>
      </c>
      <c r="D3576" s="6" t="s">
        <v>11199</v>
      </c>
      <c r="E3576" s="7" t="s">
        <v>11200</v>
      </c>
      <c r="F3576" s="13"/>
      <c r="G3576" s="14"/>
      <c r="H3576" s="15">
        <v>14</v>
      </c>
      <c r="I3576" s="14"/>
      <c r="J3576" s="15">
        <v>578</v>
      </c>
      <c r="K3576" s="5">
        <v>4</v>
      </c>
      <c r="L3576" s="16">
        <v>65.333333333333329</v>
      </c>
      <c r="M3576" s="12"/>
      <c r="N3576" s="14">
        <f>L3576*M3576</f>
        <v>0</v>
      </c>
      <c r="O3576" s="23">
        <f>0.283*M3576</f>
        <v>0</v>
      </c>
      <c r="P3576" s="24">
        <f>0.00123*M3576</f>
        <v>0</v>
      </c>
      <c r="Q3576" s="25"/>
      <c r="R3576" s="26" t="s">
        <v>11201</v>
      </c>
      <c r="S3576" s="26" t="s">
        <v>93</v>
      </c>
      <c r="T3576" s="6" t="str">
        <f>HYPERLINK("https://kanzpp.ru/api/getInfo/image/7d28e92e-56af-11ee-a245-00155d82e902")</f>
        <v>https://kanzpp.ru/api/getInfo/image/7d28e92e-56af-11ee-a245-00155d82e902</v>
      </c>
      <c r="U3576" s="6"/>
      <c r="V3576" s="33" t="s">
        <v>35</v>
      </c>
    </row>
    <row r="3577" spans="2:22" ht="21" customHeight="1" outlineLevel="5" x14ac:dyDescent="0.2">
      <c r="B3577" s="71">
        <v>2657</v>
      </c>
      <c r="C3577" s="37" t="s">
        <v>11202</v>
      </c>
      <c r="D3577" s="37" t="s">
        <v>11203</v>
      </c>
      <c r="E3577" s="38" t="s">
        <v>11204</v>
      </c>
      <c r="F3577" s="39"/>
      <c r="G3577" s="40"/>
      <c r="H3577" s="41">
        <v>14</v>
      </c>
      <c r="I3577" s="40"/>
      <c r="J3577" s="41">
        <v>59</v>
      </c>
      <c r="K3577" s="36">
        <v>4</v>
      </c>
      <c r="L3577" s="42">
        <f>(163.66*(1-O3/100))/0.75</f>
        <v>218.21333333333334</v>
      </c>
      <c r="M3577" s="12"/>
      <c r="N3577" s="40">
        <f>L3577*M3577</f>
        <v>0</v>
      </c>
      <c r="O3577" s="43">
        <f>0.275*M3577</f>
        <v>0</v>
      </c>
      <c r="P3577" s="46">
        <f>0.0012*M3577</f>
        <v>0</v>
      </c>
      <c r="Q3577" s="44"/>
      <c r="R3577" s="45" t="s">
        <v>11205</v>
      </c>
      <c r="S3577" s="45" t="s">
        <v>93</v>
      </c>
      <c r="T3577" s="37" t="str">
        <f>HYPERLINK("https://kanzpp.ru/api/getInfo/image/66b6d63a-679c-11f0-a283-00155d82e908")</f>
        <v>https://kanzpp.ru/api/getInfo/image/66b6d63a-679c-11f0-a283-00155d82e908</v>
      </c>
      <c r="U3577" s="37"/>
    </row>
    <row r="3578" spans="2:22" ht="21" customHeight="1" outlineLevel="5" x14ac:dyDescent="0.2">
      <c r="B3578" s="71">
        <v>2658</v>
      </c>
      <c r="C3578" s="37" t="s">
        <v>11206</v>
      </c>
      <c r="D3578" s="37" t="s">
        <v>11207</v>
      </c>
      <c r="E3578" s="38" t="s">
        <v>11208</v>
      </c>
      <c r="F3578" s="39"/>
      <c r="G3578" s="40"/>
      <c r="H3578" s="41">
        <v>14</v>
      </c>
      <c r="I3578" s="40"/>
      <c r="J3578" s="41">
        <v>2</v>
      </c>
      <c r="K3578" s="36">
        <v>2</v>
      </c>
      <c r="L3578" s="42">
        <f>(163.66*(1-O3/100))/0.75</f>
        <v>218.21333333333334</v>
      </c>
      <c r="M3578" s="12"/>
      <c r="N3578" s="40">
        <f>L3578*M3578</f>
        <v>0</v>
      </c>
      <c r="O3578" s="43">
        <f>0.288*M3578</f>
        <v>0</v>
      </c>
      <c r="P3578" s="47">
        <f>0.00118*M3578</f>
        <v>0</v>
      </c>
      <c r="Q3578" s="44"/>
      <c r="R3578" s="45" t="s">
        <v>11209</v>
      </c>
      <c r="S3578" s="45" t="s">
        <v>93</v>
      </c>
      <c r="T3578" s="37" t="str">
        <f>HYPERLINK("https://kanzpp.ru/api/getInfo/image/f43cd3b7-679f-11f0-a283-00155d82e908")</f>
        <v>https://kanzpp.ru/api/getInfo/image/f43cd3b7-679f-11f0-a283-00155d82e908</v>
      </c>
      <c r="U3578" s="37"/>
    </row>
    <row r="3579" spans="2:22" ht="22.95" customHeight="1" outlineLevel="4" x14ac:dyDescent="0.2">
      <c r="B3579" s="82" t="s">
        <v>11210</v>
      </c>
      <c r="C3579" s="82"/>
      <c r="D3579" s="82"/>
      <c r="L3579">
        <v>0</v>
      </c>
    </row>
    <row r="3580" spans="2:22" ht="21" customHeight="1" outlineLevel="5" x14ac:dyDescent="0.2">
      <c r="B3580" s="69">
        <v>2659</v>
      </c>
      <c r="C3580" s="6" t="s">
        <v>11211</v>
      </c>
      <c r="D3580" s="6" t="s">
        <v>11212</v>
      </c>
      <c r="E3580" s="7" t="s">
        <v>11213</v>
      </c>
      <c r="F3580" s="13"/>
      <c r="G3580" s="14"/>
      <c r="H3580" s="15">
        <v>14</v>
      </c>
      <c r="I3580" s="14"/>
      <c r="J3580" s="15">
        <v>963</v>
      </c>
      <c r="K3580" s="5">
        <v>4</v>
      </c>
      <c r="L3580" s="16">
        <v>132</v>
      </c>
      <c r="M3580" s="12"/>
      <c r="N3580" s="14">
        <f t="shared" ref="N3580:N3586" si="162">L3580*M3580</f>
        <v>0</v>
      </c>
      <c r="O3580" s="23">
        <f>0.311*M3580</f>
        <v>0</v>
      </c>
      <c r="P3580" s="24">
        <f>0.00115*M3580</f>
        <v>0</v>
      </c>
      <c r="Q3580" s="25"/>
      <c r="R3580" s="26" t="s">
        <v>11214</v>
      </c>
      <c r="S3580" s="26" t="s">
        <v>93</v>
      </c>
      <c r="T3580" s="6" t="str">
        <f>HYPERLINK("https://kanzpp.ru/api/getInfo/image/30417740-2199-11ef-a25f-00155d82e908")</f>
        <v>https://kanzpp.ru/api/getInfo/image/30417740-2199-11ef-a25f-00155d82e908</v>
      </c>
      <c r="U3580" s="6"/>
      <c r="V3580" s="33" t="s">
        <v>35</v>
      </c>
    </row>
    <row r="3581" spans="2:22" ht="21" customHeight="1" outlineLevel="5" x14ac:dyDescent="0.2">
      <c r="B3581" s="69">
        <v>2660</v>
      </c>
      <c r="C3581" s="6" t="s">
        <v>11215</v>
      </c>
      <c r="D3581" s="6" t="s">
        <v>11216</v>
      </c>
      <c r="E3581" s="7" t="s">
        <v>11217</v>
      </c>
      <c r="F3581" s="13"/>
      <c r="G3581" s="14"/>
      <c r="H3581" s="15">
        <v>14</v>
      </c>
      <c r="I3581" s="14"/>
      <c r="J3581" s="15">
        <v>422</v>
      </c>
      <c r="K3581" s="5">
        <v>4</v>
      </c>
      <c r="L3581" s="16">
        <v>65.333333333333329</v>
      </c>
      <c r="M3581" s="12"/>
      <c r="N3581" s="14">
        <f t="shared" si="162"/>
        <v>0</v>
      </c>
      <c r="O3581" s="23">
        <f>0.357*M3581</f>
        <v>0</v>
      </c>
      <c r="P3581" s="24">
        <f>0.00106*M3581</f>
        <v>0</v>
      </c>
      <c r="Q3581" s="25"/>
      <c r="R3581" s="26" t="s">
        <v>11218</v>
      </c>
      <c r="S3581" s="26" t="s">
        <v>93</v>
      </c>
      <c r="T3581" s="6" t="str">
        <f>HYPERLINK("https://kanzpp.ru/api/getInfo/image/e3de7839-3731-11ec-a20f-ac1f6b442185")</f>
        <v>https://kanzpp.ru/api/getInfo/image/e3de7839-3731-11ec-a20f-ac1f6b442185</v>
      </c>
      <c r="U3581" s="6"/>
      <c r="V3581" s="33" t="s">
        <v>35</v>
      </c>
    </row>
    <row r="3582" spans="2:22" ht="21" customHeight="1" outlineLevel="5" x14ac:dyDescent="0.2">
      <c r="B3582" s="69">
        <v>2661</v>
      </c>
      <c r="C3582" s="6" t="s">
        <v>11219</v>
      </c>
      <c r="D3582" s="6" t="s">
        <v>11220</v>
      </c>
      <c r="E3582" s="7" t="s">
        <v>11221</v>
      </c>
      <c r="F3582" s="13"/>
      <c r="G3582" s="14"/>
      <c r="H3582" s="15">
        <v>14</v>
      </c>
      <c r="I3582" s="14"/>
      <c r="J3582" s="15">
        <v>8</v>
      </c>
      <c r="K3582" s="5">
        <v>4</v>
      </c>
      <c r="L3582" s="16">
        <v>65.333333333333329</v>
      </c>
      <c r="M3582" s="12"/>
      <c r="N3582" s="14">
        <f t="shared" si="162"/>
        <v>0</v>
      </c>
      <c r="O3582" s="23">
        <f>0.357*M3582</f>
        <v>0</v>
      </c>
      <c r="P3582" s="24">
        <f>0.00106*M3582</f>
        <v>0</v>
      </c>
      <c r="Q3582" s="25"/>
      <c r="R3582" s="26" t="s">
        <v>11222</v>
      </c>
      <c r="S3582" s="26" t="s">
        <v>93</v>
      </c>
      <c r="T3582" s="6" t="str">
        <f>HYPERLINK("https://kanzpp.ru/api/getInfo/image/39db0e4b-816f-11eb-a275-ac1f6b442184")</f>
        <v>https://kanzpp.ru/api/getInfo/image/39db0e4b-816f-11eb-a275-ac1f6b442184</v>
      </c>
      <c r="U3582" s="6"/>
      <c r="V3582" s="33" t="s">
        <v>35</v>
      </c>
    </row>
    <row r="3583" spans="2:22" ht="21" customHeight="1" outlineLevel="5" x14ac:dyDescent="0.2">
      <c r="B3583" s="69">
        <v>2662</v>
      </c>
      <c r="C3583" s="6" t="s">
        <v>11223</v>
      </c>
      <c r="D3583" s="6" t="s">
        <v>11224</v>
      </c>
      <c r="E3583" s="7" t="s">
        <v>11225</v>
      </c>
      <c r="F3583" s="13"/>
      <c r="G3583" s="14"/>
      <c r="H3583" s="15">
        <v>14</v>
      </c>
      <c r="I3583" s="14"/>
      <c r="J3583" s="14" t="s">
        <v>144</v>
      </c>
      <c r="K3583" s="5">
        <v>4</v>
      </c>
      <c r="L3583" s="16">
        <v>167.44</v>
      </c>
      <c r="M3583" s="12"/>
      <c r="N3583" s="14">
        <f t="shared" si="162"/>
        <v>0</v>
      </c>
      <c r="O3583" s="23">
        <f>0.316*M3583</f>
        <v>0</v>
      </c>
      <c r="P3583" s="24">
        <f>0.00128*M3583</f>
        <v>0</v>
      </c>
      <c r="Q3583" s="25"/>
      <c r="R3583" s="26" t="s">
        <v>11226</v>
      </c>
      <c r="S3583" s="26" t="s">
        <v>93</v>
      </c>
      <c r="T3583" s="6" t="str">
        <f>HYPERLINK("https://kanzpp.ru/api/getInfo/image/f5cf9987-26ff-11ef-a25f-00155d82e908")</f>
        <v>https://kanzpp.ru/api/getInfo/image/f5cf9987-26ff-11ef-a25f-00155d82e908</v>
      </c>
      <c r="U3583" s="6"/>
      <c r="V3583" s="33" t="s">
        <v>35</v>
      </c>
    </row>
    <row r="3584" spans="2:22" ht="21" customHeight="1" outlineLevel="5" x14ac:dyDescent="0.2">
      <c r="B3584" s="69">
        <v>2663</v>
      </c>
      <c r="C3584" s="6" t="s">
        <v>11227</v>
      </c>
      <c r="D3584" s="6" t="s">
        <v>11228</v>
      </c>
      <c r="E3584" s="7" t="s">
        <v>11229</v>
      </c>
      <c r="F3584" s="13"/>
      <c r="G3584" s="14"/>
      <c r="H3584" s="15">
        <v>14</v>
      </c>
      <c r="I3584" s="14"/>
      <c r="J3584" s="15">
        <v>561</v>
      </c>
      <c r="K3584" s="5">
        <v>4</v>
      </c>
      <c r="L3584" s="16">
        <v>132</v>
      </c>
      <c r="M3584" s="12"/>
      <c r="N3584" s="14">
        <f t="shared" si="162"/>
        <v>0</v>
      </c>
      <c r="O3584" s="23">
        <f>0.357*M3584</f>
        <v>0</v>
      </c>
      <c r="P3584" s="24">
        <f>0.00106*M3584</f>
        <v>0</v>
      </c>
      <c r="Q3584" s="25"/>
      <c r="R3584" s="26" t="s">
        <v>11230</v>
      </c>
      <c r="S3584" s="26" t="s">
        <v>93</v>
      </c>
      <c r="T3584" s="6" t="str">
        <f>HYPERLINK("https://kanzpp.ru/api/getInfo/image/165daa6f-3732-11ec-a20f-ac1f6b442185")</f>
        <v>https://kanzpp.ru/api/getInfo/image/165daa6f-3732-11ec-a20f-ac1f6b442185</v>
      </c>
      <c r="U3584" s="6"/>
      <c r="V3584" s="33" t="s">
        <v>35</v>
      </c>
    </row>
    <row r="3585" spans="2:22" ht="21" customHeight="1" outlineLevel="5" x14ac:dyDescent="0.2">
      <c r="B3585" s="69">
        <v>2664</v>
      </c>
      <c r="C3585" s="6" t="s">
        <v>11231</v>
      </c>
      <c r="D3585" s="6" t="s">
        <v>11232</v>
      </c>
      <c r="E3585" s="7" t="s">
        <v>11233</v>
      </c>
      <c r="F3585" s="13"/>
      <c r="G3585" s="14"/>
      <c r="H3585" s="15">
        <v>14</v>
      </c>
      <c r="I3585" s="14"/>
      <c r="J3585" s="15">
        <v>335</v>
      </c>
      <c r="K3585" s="5">
        <v>4</v>
      </c>
      <c r="L3585" s="16">
        <v>146.28</v>
      </c>
      <c r="M3585" s="12"/>
      <c r="N3585" s="14">
        <f t="shared" si="162"/>
        <v>0</v>
      </c>
      <c r="O3585" s="23">
        <f>0.309*M3585</f>
        <v>0</v>
      </c>
      <c r="P3585" s="24">
        <f>0.00125*M3585</f>
        <v>0</v>
      </c>
      <c r="Q3585" s="25"/>
      <c r="R3585" s="26" t="s">
        <v>11234</v>
      </c>
      <c r="S3585" s="26" t="s">
        <v>93</v>
      </c>
      <c r="T3585" s="6" t="str">
        <f>HYPERLINK("https://kanzpp.ru/api/getInfo/image/0f9804df-2199-11ef-a25f-00155d82e908")</f>
        <v>https://kanzpp.ru/api/getInfo/image/0f9804df-2199-11ef-a25f-00155d82e908</v>
      </c>
      <c r="U3585" s="6"/>
      <c r="V3585" s="33" t="s">
        <v>35</v>
      </c>
    </row>
    <row r="3586" spans="2:22" ht="21" customHeight="1" outlineLevel="5" x14ac:dyDescent="0.2">
      <c r="B3586" s="71">
        <v>2665</v>
      </c>
      <c r="C3586" s="37" t="s">
        <v>11235</v>
      </c>
      <c r="D3586" s="37" t="s">
        <v>11236</v>
      </c>
      <c r="E3586" s="38" t="s">
        <v>11237</v>
      </c>
      <c r="F3586" s="39"/>
      <c r="G3586" s="40"/>
      <c r="H3586" s="41">
        <v>14</v>
      </c>
      <c r="I3586" s="40"/>
      <c r="J3586" s="41">
        <v>101</v>
      </c>
      <c r="K3586" s="36">
        <v>4</v>
      </c>
      <c r="L3586" s="42">
        <f>(167.44*(1-O3/100))/0.75</f>
        <v>223.25333333333333</v>
      </c>
      <c r="M3586" s="12"/>
      <c r="N3586" s="40">
        <f t="shared" si="162"/>
        <v>0</v>
      </c>
      <c r="O3586" s="49">
        <f>0.3*M3586</f>
        <v>0</v>
      </c>
      <c r="P3586" s="47">
        <f>0.00135*M3586</f>
        <v>0</v>
      </c>
      <c r="Q3586" s="44"/>
      <c r="R3586" s="45" t="s">
        <v>11238</v>
      </c>
      <c r="S3586" s="45" t="s">
        <v>93</v>
      </c>
      <c r="T3586" s="37" t="str">
        <f>HYPERLINK("https://kanzpp.ru/api/getInfo/image/19d812b5-2700-11ef-a25f-00155d82e908")</f>
        <v>https://kanzpp.ru/api/getInfo/image/19d812b5-2700-11ef-a25f-00155d82e908</v>
      </c>
      <c r="U3586" s="37"/>
    </row>
    <row r="3587" spans="2:22" ht="22.95" customHeight="1" outlineLevel="4" x14ac:dyDescent="0.2">
      <c r="B3587" s="82" t="s">
        <v>11239</v>
      </c>
      <c r="C3587" s="82"/>
      <c r="D3587" s="82"/>
      <c r="L3587">
        <v>0</v>
      </c>
    </row>
    <row r="3588" spans="2:22" ht="21" customHeight="1" outlineLevel="5" x14ac:dyDescent="0.2">
      <c r="B3588" s="71">
        <v>2666</v>
      </c>
      <c r="C3588" s="37" t="s">
        <v>11240</v>
      </c>
      <c r="D3588" s="37" t="s">
        <v>11241</v>
      </c>
      <c r="E3588" s="38" t="s">
        <v>11242</v>
      </c>
      <c r="F3588" s="39"/>
      <c r="G3588" s="40"/>
      <c r="H3588" s="41">
        <v>20</v>
      </c>
      <c r="I3588" s="40"/>
      <c r="J3588" s="40" t="s">
        <v>144</v>
      </c>
      <c r="K3588" s="36">
        <v>3</v>
      </c>
      <c r="L3588" s="42">
        <f>(219.87*(1-O3/100))/0.75</f>
        <v>293.16000000000003</v>
      </c>
      <c r="M3588" s="12"/>
      <c r="N3588" s="40">
        <f>L3588*M3588</f>
        <v>0</v>
      </c>
      <c r="O3588" s="43">
        <f>0.076*M3588</f>
        <v>0</v>
      </c>
      <c r="P3588" s="47">
        <f>0.00021*M3588</f>
        <v>0</v>
      </c>
      <c r="Q3588" s="44"/>
      <c r="R3588" s="45" t="s">
        <v>11243</v>
      </c>
      <c r="S3588" s="45" t="s">
        <v>93</v>
      </c>
      <c r="T3588" s="37" t="str">
        <f>HYPERLINK("https://kanzpp.ru/api/getInfo/image/837d170a-7f0d-11ef-a265-00155d82e908")</f>
        <v>https://kanzpp.ru/api/getInfo/image/837d170a-7f0d-11ef-a265-00155d82e908</v>
      </c>
      <c r="U3588" s="37"/>
    </row>
    <row r="3589" spans="2:22" ht="21" customHeight="1" outlineLevel="5" x14ac:dyDescent="0.2">
      <c r="B3589" s="69">
        <v>2667</v>
      </c>
      <c r="C3589" s="6" t="s">
        <v>11244</v>
      </c>
      <c r="D3589" s="6" t="s">
        <v>11245</v>
      </c>
      <c r="E3589" s="7" t="s">
        <v>11246</v>
      </c>
      <c r="F3589" s="13"/>
      <c r="G3589" s="14"/>
      <c r="H3589" s="15">
        <v>20</v>
      </c>
      <c r="I3589" s="14"/>
      <c r="J3589" s="15">
        <v>8</v>
      </c>
      <c r="K3589" s="5">
        <v>3</v>
      </c>
      <c r="L3589" s="16">
        <v>65.333333333333329</v>
      </c>
      <c r="M3589" s="12"/>
      <c r="N3589" s="14">
        <f>L3589*M3589</f>
        <v>0</v>
      </c>
      <c r="O3589" s="23">
        <f>0.306*M3589</f>
        <v>0</v>
      </c>
      <c r="P3589" s="24">
        <f>0.00087*M3589</f>
        <v>0</v>
      </c>
      <c r="Q3589" s="25"/>
      <c r="R3589" s="26" t="s">
        <v>11247</v>
      </c>
      <c r="S3589" s="26" t="s">
        <v>93</v>
      </c>
      <c r="T3589" s="6" t="str">
        <f>HYPERLINK("https://kanzpp.ru/api/getInfo/image/255d7d08-b4db-11ec-a211-ac1f6b442185")</f>
        <v>https://kanzpp.ru/api/getInfo/image/255d7d08-b4db-11ec-a211-ac1f6b442185</v>
      </c>
      <c r="U3589" s="6"/>
      <c r="V3589" s="33" t="s">
        <v>35</v>
      </c>
    </row>
    <row r="3590" spans="2:22" ht="21" customHeight="1" outlineLevel="5" x14ac:dyDescent="0.2">
      <c r="B3590" s="71">
        <v>2668</v>
      </c>
      <c r="C3590" s="37" t="s">
        <v>11248</v>
      </c>
      <c r="D3590" s="37" t="s">
        <v>11249</v>
      </c>
      <c r="E3590" s="38" t="s">
        <v>11250</v>
      </c>
      <c r="F3590" s="39"/>
      <c r="G3590" s="40"/>
      <c r="H3590" s="41">
        <v>20</v>
      </c>
      <c r="I3590" s="40"/>
      <c r="J3590" s="40" t="s">
        <v>144</v>
      </c>
      <c r="K3590" s="36">
        <v>3</v>
      </c>
      <c r="L3590" s="42">
        <f>(219.87*(1-O3/100))/0.75</f>
        <v>293.16000000000003</v>
      </c>
      <c r="M3590" s="12"/>
      <c r="N3590" s="40">
        <f>L3590*M3590</f>
        <v>0</v>
      </c>
      <c r="O3590" s="48">
        <f>0.33*M3590</f>
        <v>0</v>
      </c>
      <c r="P3590" s="47">
        <f>0.00083*M3590</f>
        <v>0</v>
      </c>
      <c r="Q3590" s="44"/>
      <c r="R3590" s="45" t="s">
        <v>11251</v>
      </c>
      <c r="S3590" s="45" t="s">
        <v>93</v>
      </c>
      <c r="T3590" s="37" t="str">
        <f>HYPERLINK("https://kanzpp.ru/api/getInfo/image/eb2acd06-7f0d-11ef-a265-00155d82e908")</f>
        <v>https://kanzpp.ru/api/getInfo/image/eb2acd06-7f0d-11ef-a265-00155d82e908</v>
      </c>
      <c r="U3590" s="37"/>
    </row>
    <row r="3591" spans="2:22" ht="21" customHeight="1" outlineLevel="5" x14ac:dyDescent="0.2">
      <c r="B3591" s="71">
        <v>2669</v>
      </c>
      <c r="C3591" s="37" t="s">
        <v>11252</v>
      </c>
      <c r="D3591" s="37" t="s">
        <v>11253</v>
      </c>
      <c r="E3591" s="38" t="s">
        <v>11254</v>
      </c>
      <c r="F3591" s="39"/>
      <c r="G3591" s="40"/>
      <c r="H3591" s="41">
        <v>20</v>
      </c>
      <c r="I3591" s="40"/>
      <c r="J3591" s="40" t="s">
        <v>144</v>
      </c>
      <c r="K3591" s="36">
        <v>3</v>
      </c>
      <c r="L3591" s="42">
        <f>(219.87*(1-O3/100))/0.75</f>
        <v>293.16000000000003</v>
      </c>
      <c r="M3591" s="12"/>
      <c r="N3591" s="40">
        <f>L3591*M3591</f>
        <v>0</v>
      </c>
      <c r="O3591" s="43">
        <f>0.327*M3591</f>
        <v>0</v>
      </c>
      <c r="P3591" s="46">
        <f>0.0009*M3591</f>
        <v>0</v>
      </c>
      <c r="Q3591" s="44"/>
      <c r="R3591" s="45" t="s">
        <v>11255</v>
      </c>
      <c r="S3591" s="45" t="s">
        <v>93</v>
      </c>
      <c r="T3591" s="37" t="str">
        <f>HYPERLINK("https://kanzpp.ru/api/getInfo/image/c206ad21-7f0d-11ef-a265-00155d82e908")</f>
        <v>https://kanzpp.ru/api/getInfo/image/c206ad21-7f0d-11ef-a265-00155d82e908</v>
      </c>
      <c r="U3591" s="37"/>
    </row>
    <row r="3592" spans="2:22" ht="22.95" customHeight="1" outlineLevel="4" x14ac:dyDescent="0.2">
      <c r="B3592" s="82" t="s">
        <v>11256</v>
      </c>
      <c r="C3592" s="82"/>
      <c r="D3592" s="82"/>
      <c r="L3592">
        <v>0</v>
      </c>
    </row>
    <row r="3593" spans="2:22" ht="21" customHeight="1" outlineLevel="5" x14ac:dyDescent="0.2">
      <c r="B3593" s="71">
        <v>2670</v>
      </c>
      <c r="C3593" s="37" t="s">
        <v>11257</v>
      </c>
      <c r="D3593" s="37" t="s">
        <v>11258</v>
      </c>
      <c r="E3593" s="38" t="s">
        <v>11259</v>
      </c>
      <c r="F3593" s="39"/>
      <c r="G3593" s="40"/>
      <c r="H3593" s="41">
        <v>20</v>
      </c>
      <c r="I3593" s="40"/>
      <c r="J3593" s="41">
        <v>247</v>
      </c>
      <c r="K3593" s="36">
        <v>3</v>
      </c>
      <c r="L3593" s="42">
        <f>(222.53*(1-O3/100))/0.75</f>
        <v>296.70666666666665</v>
      </c>
      <c r="M3593" s="12"/>
      <c r="N3593" s="40">
        <f>L3593*M3593</f>
        <v>0</v>
      </c>
      <c r="O3593" s="43">
        <f>0.328*M3593</f>
        <v>0</v>
      </c>
      <c r="P3593" s="47">
        <f>0.00088*M3593</f>
        <v>0</v>
      </c>
      <c r="Q3593" s="44"/>
      <c r="R3593" s="45" t="s">
        <v>11260</v>
      </c>
      <c r="S3593" s="45" t="s">
        <v>93</v>
      </c>
      <c r="T3593" s="37" t="str">
        <f>HYPERLINK("https://kanzpp.ru/api/getInfo/image/fc2dff34-c375-11f0-a289-00155d82e908")</f>
        <v>https://kanzpp.ru/api/getInfo/image/fc2dff34-c375-11f0-a289-00155d82e908</v>
      </c>
      <c r="U3593" s="37"/>
    </row>
    <row r="3594" spans="2:22" ht="21" customHeight="1" outlineLevel="5" x14ac:dyDescent="0.2">
      <c r="B3594" s="71">
        <v>2671</v>
      </c>
      <c r="C3594" s="37" t="s">
        <v>11261</v>
      </c>
      <c r="D3594" s="37" t="s">
        <v>11262</v>
      </c>
      <c r="E3594" s="38" t="s">
        <v>11263</v>
      </c>
      <c r="F3594" s="39"/>
      <c r="G3594" s="40"/>
      <c r="H3594" s="41">
        <v>20</v>
      </c>
      <c r="I3594" s="40"/>
      <c r="J3594" s="41">
        <v>557</v>
      </c>
      <c r="K3594" s="36">
        <v>3</v>
      </c>
      <c r="L3594" s="42">
        <f>(222.53*(1-O3/100))/0.75</f>
        <v>296.70666666666665</v>
      </c>
      <c r="M3594" s="12"/>
      <c r="N3594" s="40">
        <f>L3594*M3594</f>
        <v>0</v>
      </c>
      <c r="O3594" s="43">
        <f>0.304*M3594</f>
        <v>0</v>
      </c>
      <c r="P3594" s="47">
        <f>0.00048*M3594</f>
        <v>0</v>
      </c>
      <c r="Q3594" s="44"/>
      <c r="R3594" s="45" t="s">
        <v>11264</v>
      </c>
      <c r="S3594" s="45" t="s">
        <v>93</v>
      </c>
      <c r="T3594" s="37" t="str">
        <f>HYPERLINK("https://kanzpp.ru/api/getInfo/image/c50eb6ee-c375-11f0-a289-00155d82e908")</f>
        <v>https://kanzpp.ru/api/getInfo/image/c50eb6ee-c375-11f0-a289-00155d82e908</v>
      </c>
      <c r="U3594" s="37"/>
    </row>
    <row r="3595" spans="2:22" ht="21" customHeight="1" outlineLevel="5" x14ac:dyDescent="0.2">
      <c r="B3595" s="71">
        <v>2672</v>
      </c>
      <c r="C3595" s="37" t="s">
        <v>11265</v>
      </c>
      <c r="D3595" s="37" t="s">
        <v>11266</v>
      </c>
      <c r="E3595" s="38" t="s">
        <v>11267</v>
      </c>
      <c r="F3595" s="39"/>
      <c r="G3595" s="40"/>
      <c r="H3595" s="41">
        <v>20</v>
      </c>
      <c r="I3595" s="40"/>
      <c r="J3595" s="41">
        <v>660</v>
      </c>
      <c r="K3595" s="36">
        <v>3</v>
      </c>
      <c r="L3595" s="42">
        <f>(222.53*(1-O3/100))/0.75</f>
        <v>296.70666666666665</v>
      </c>
      <c r="M3595" s="12"/>
      <c r="N3595" s="40">
        <f>L3595*M3595</f>
        <v>0</v>
      </c>
      <c r="O3595" s="43">
        <f>0.302*M3595</f>
        <v>0</v>
      </c>
      <c r="P3595" s="47">
        <f>0.00098*M3595</f>
        <v>0</v>
      </c>
      <c r="Q3595" s="44"/>
      <c r="R3595" s="45" t="s">
        <v>11268</v>
      </c>
      <c r="S3595" s="45" t="s">
        <v>93</v>
      </c>
      <c r="T3595" s="37" t="str">
        <f>HYPERLINK("https://kanzpp.ru/api/getInfo/image/25003253-c376-11f0-a289-00155d82e908")</f>
        <v>https://kanzpp.ru/api/getInfo/image/25003253-c376-11f0-a289-00155d82e908</v>
      </c>
      <c r="U3595" s="37"/>
    </row>
    <row r="3596" spans="2:22" ht="21" customHeight="1" outlineLevel="5" x14ac:dyDescent="0.2">
      <c r="B3596" s="71">
        <v>2673</v>
      </c>
      <c r="C3596" s="37" t="s">
        <v>11269</v>
      </c>
      <c r="D3596" s="37" t="s">
        <v>11270</v>
      </c>
      <c r="E3596" s="38" t="s">
        <v>11271</v>
      </c>
      <c r="F3596" s="39"/>
      <c r="G3596" s="40"/>
      <c r="H3596" s="41">
        <v>20</v>
      </c>
      <c r="I3596" s="40"/>
      <c r="J3596" s="41">
        <v>141</v>
      </c>
      <c r="K3596" s="36">
        <v>3</v>
      </c>
      <c r="L3596" s="42">
        <f>(222.53*(1-O3/100))/0.75</f>
        <v>296.70666666666665</v>
      </c>
      <c r="M3596" s="12"/>
      <c r="N3596" s="40">
        <f>L3596*M3596</f>
        <v>0</v>
      </c>
      <c r="O3596" s="43">
        <f>6.665*M3596</f>
        <v>0</v>
      </c>
      <c r="P3596" s="47">
        <f>0.01629*M3596</f>
        <v>0</v>
      </c>
      <c r="Q3596" s="44"/>
      <c r="R3596" s="45" t="s">
        <v>11272</v>
      </c>
      <c r="S3596" s="45" t="s">
        <v>93</v>
      </c>
      <c r="T3596" s="37" t="str">
        <f>HYPERLINK("https://kanzpp.ru/api/getInfo/image/6129e7e9-c376-11f0-a289-00155d82e908")</f>
        <v>https://kanzpp.ru/api/getInfo/image/6129e7e9-c376-11f0-a289-00155d82e908</v>
      </c>
      <c r="U3596" s="37"/>
    </row>
    <row r="3597" spans="2:22" ht="22.95" customHeight="1" outlineLevel="4" x14ac:dyDescent="0.2">
      <c r="B3597" s="82" t="s">
        <v>11273</v>
      </c>
      <c r="C3597" s="82"/>
      <c r="D3597" s="82"/>
      <c r="L3597">
        <v>0</v>
      </c>
    </row>
    <row r="3598" spans="2:22" ht="21" customHeight="1" outlineLevel="5" x14ac:dyDescent="0.2">
      <c r="B3598" s="69">
        <v>2674</v>
      </c>
      <c r="C3598" s="6" t="s">
        <v>11274</v>
      </c>
      <c r="D3598" s="6" t="s">
        <v>11275</v>
      </c>
      <c r="E3598" s="7" t="s">
        <v>11276</v>
      </c>
      <c r="F3598" s="13"/>
      <c r="G3598" s="14"/>
      <c r="H3598" s="15">
        <v>38</v>
      </c>
      <c r="I3598" s="14"/>
      <c r="J3598" s="15">
        <v>4</v>
      </c>
      <c r="K3598" s="5">
        <v>3</v>
      </c>
      <c r="L3598" s="16">
        <v>92</v>
      </c>
      <c r="M3598" s="12"/>
      <c r="N3598" s="14">
        <f>L3598*M3598</f>
        <v>0</v>
      </c>
      <c r="O3598" s="23">
        <f>0.436*M3598</f>
        <v>0</v>
      </c>
      <c r="P3598" s="24">
        <f>0.00084*M3598</f>
        <v>0</v>
      </c>
      <c r="Q3598" s="25"/>
      <c r="R3598" s="26" t="s">
        <v>11277</v>
      </c>
      <c r="S3598" s="26" t="s">
        <v>93</v>
      </c>
      <c r="T3598" s="6" t="str">
        <f>HYPERLINK("https://kanzpp.ru/api/getInfo/image/bbf56fec-219a-11ef-a25f-00155d82e908")</f>
        <v>https://kanzpp.ru/api/getInfo/image/bbf56fec-219a-11ef-a25f-00155d82e908</v>
      </c>
      <c r="U3598" s="6"/>
      <c r="V3598" s="33" t="s">
        <v>35</v>
      </c>
    </row>
    <row r="3599" spans="2:22" ht="21" customHeight="1" outlineLevel="5" x14ac:dyDescent="0.2">
      <c r="B3599" s="69">
        <v>2675</v>
      </c>
      <c r="C3599" s="6" t="s">
        <v>11278</v>
      </c>
      <c r="D3599" s="6" t="s">
        <v>11279</v>
      </c>
      <c r="E3599" s="7" t="s">
        <v>11280</v>
      </c>
      <c r="F3599" s="13"/>
      <c r="G3599" s="14"/>
      <c r="H3599" s="15">
        <v>38</v>
      </c>
      <c r="I3599" s="14"/>
      <c r="J3599" s="15">
        <v>1</v>
      </c>
      <c r="K3599" s="5">
        <v>1</v>
      </c>
      <c r="L3599" s="16">
        <v>199.86666666666667</v>
      </c>
      <c r="M3599" s="12"/>
      <c r="N3599" s="14">
        <f>L3599*M3599</f>
        <v>0</v>
      </c>
      <c r="O3599" s="23">
        <f>0.431*M3599</f>
        <v>0</v>
      </c>
      <c r="P3599" s="24">
        <f>0.00026*M3599</f>
        <v>0</v>
      </c>
      <c r="Q3599" s="25"/>
      <c r="R3599" s="26" t="s">
        <v>11281</v>
      </c>
      <c r="S3599" s="26" t="s">
        <v>93</v>
      </c>
      <c r="T3599" s="6" t="str">
        <f>HYPERLINK("https://kanzpp.ru/api/getInfo/image/fec1005b-219a-11ef-a25f-00155d82e908")</f>
        <v>https://kanzpp.ru/api/getInfo/image/fec1005b-219a-11ef-a25f-00155d82e908</v>
      </c>
      <c r="U3599" s="6"/>
      <c r="V3599" s="33" t="s">
        <v>35</v>
      </c>
    </row>
    <row r="3600" spans="2:22" ht="21" customHeight="1" outlineLevel="5" x14ac:dyDescent="0.2">
      <c r="B3600" s="69">
        <v>2676</v>
      </c>
      <c r="C3600" s="6" t="s">
        <v>11282</v>
      </c>
      <c r="D3600" s="6" t="s">
        <v>11283</v>
      </c>
      <c r="E3600" s="7" t="s">
        <v>11284</v>
      </c>
      <c r="F3600" s="13"/>
      <c r="G3600" s="14"/>
      <c r="H3600" s="15">
        <v>40</v>
      </c>
      <c r="I3600" s="14"/>
      <c r="J3600" s="15">
        <v>1</v>
      </c>
      <c r="K3600" s="5">
        <v>1</v>
      </c>
      <c r="L3600" s="16">
        <v>92</v>
      </c>
      <c r="M3600" s="12"/>
      <c r="N3600" s="14">
        <f>L3600*M3600</f>
        <v>0</v>
      </c>
      <c r="O3600" s="23">
        <f>0.358*M3600</f>
        <v>0</v>
      </c>
      <c r="P3600" s="24">
        <f>0.00032*M3600</f>
        <v>0</v>
      </c>
      <c r="Q3600" s="25"/>
      <c r="R3600" s="26" t="s">
        <v>11285</v>
      </c>
      <c r="S3600" s="26" t="s">
        <v>93</v>
      </c>
      <c r="T3600" s="6" t="str">
        <f>HYPERLINK("https://kanzpp.ru/api/getInfo/image/5620583b-b4d9-11ec-a211-ac1f6b442185")</f>
        <v>https://kanzpp.ru/api/getInfo/image/5620583b-b4d9-11ec-a211-ac1f6b442185</v>
      </c>
      <c r="U3600" s="6"/>
      <c r="V3600" s="33" t="s">
        <v>35</v>
      </c>
    </row>
    <row r="3601" spans="2:22" ht="21" customHeight="1" outlineLevel="5" x14ac:dyDescent="0.2">
      <c r="B3601" s="69">
        <v>2677</v>
      </c>
      <c r="C3601" s="6" t="s">
        <v>11286</v>
      </c>
      <c r="D3601" s="6" t="s">
        <v>11287</v>
      </c>
      <c r="E3601" s="7" t="s">
        <v>11288</v>
      </c>
      <c r="F3601" s="13"/>
      <c r="G3601" s="14"/>
      <c r="H3601" s="15">
        <v>40</v>
      </c>
      <c r="I3601" s="14"/>
      <c r="J3601" s="15">
        <v>806</v>
      </c>
      <c r="K3601" s="5">
        <v>3</v>
      </c>
      <c r="L3601" s="16">
        <v>92</v>
      </c>
      <c r="M3601" s="12"/>
      <c r="N3601" s="14">
        <f>L3601*M3601</f>
        <v>0</v>
      </c>
      <c r="O3601" s="23">
        <f>0.318*M3601</f>
        <v>0</v>
      </c>
      <c r="P3601" s="31">
        <f>0.0009*M3601</f>
        <v>0</v>
      </c>
      <c r="Q3601" s="25"/>
      <c r="R3601" s="26" t="s">
        <v>11289</v>
      </c>
      <c r="S3601" s="26" t="s">
        <v>93</v>
      </c>
      <c r="T3601" s="6" t="str">
        <f>HYPERLINK("https://kanzpp.ru/api/getInfo/image/edf4fbcf-b4d8-11ec-a211-ac1f6b442185")</f>
        <v>https://kanzpp.ru/api/getInfo/image/edf4fbcf-b4d8-11ec-a211-ac1f6b442185</v>
      </c>
      <c r="U3601" s="6"/>
      <c r="V3601" s="33" t="s">
        <v>35</v>
      </c>
    </row>
    <row r="3602" spans="2:22" ht="22.95" customHeight="1" outlineLevel="4" x14ac:dyDescent="0.2">
      <c r="B3602" s="82" t="s">
        <v>11290</v>
      </c>
      <c r="C3602" s="82"/>
      <c r="D3602" s="82"/>
      <c r="L3602">
        <v>0</v>
      </c>
    </row>
    <row r="3603" spans="2:22" ht="21" customHeight="1" outlineLevel="5" x14ac:dyDescent="0.2">
      <c r="B3603" s="71">
        <v>2678</v>
      </c>
      <c r="C3603" s="37" t="s">
        <v>11291</v>
      </c>
      <c r="D3603" s="37" t="s">
        <v>11292</v>
      </c>
      <c r="E3603" s="38" t="s">
        <v>11293</v>
      </c>
      <c r="F3603" s="39"/>
      <c r="G3603" s="40"/>
      <c r="H3603" s="41">
        <v>14</v>
      </c>
      <c r="I3603" s="40"/>
      <c r="J3603" s="41">
        <v>1</v>
      </c>
      <c r="K3603" s="36">
        <v>1</v>
      </c>
      <c r="L3603" s="42">
        <f>(186.53*(1-O3/100))/0.75</f>
        <v>248.70666666666668</v>
      </c>
      <c r="M3603" s="12"/>
      <c r="N3603" s="40">
        <f>L3603*M3603</f>
        <v>0</v>
      </c>
      <c r="O3603" s="43">
        <f>0.352*M3603</f>
        <v>0</v>
      </c>
      <c r="P3603" s="47">
        <f>0.00051*M3603</f>
        <v>0</v>
      </c>
      <c r="Q3603" s="44"/>
      <c r="R3603" s="45" t="s">
        <v>11294</v>
      </c>
      <c r="S3603" s="45" t="s">
        <v>93</v>
      </c>
      <c r="T3603" s="37" t="str">
        <f>HYPERLINK("https://kanzpp.ru/api/getInfo/image/dfd66020-c371-11f0-a289-00155d82e908")</f>
        <v>https://kanzpp.ru/api/getInfo/image/dfd66020-c371-11f0-a289-00155d82e908</v>
      </c>
      <c r="U3603" s="37"/>
    </row>
    <row r="3604" spans="2:22" ht="21" customHeight="1" outlineLevel="5" x14ac:dyDescent="0.2">
      <c r="B3604" s="71">
        <v>2679</v>
      </c>
      <c r="C3604" s="37" t="s">
        <v>11295</v>
      </c>
      <c r="D3604" s="37" t="s">
        <v>11296</v>
      </c>
      <c r="E3604" s="38" t="s">
        <v>11297</v>
      </c>
      <c r="F3604" s="39"/>
      <c r="G3604" s="40"/>
      <c r="H3604" s="41">
        <v>14</v>
      </c>
      <c r="I3604" s="40"/>
      <c r="J3604" s="41">
        <v>2</v>
      </c>
      <c r="K3604" s="36">
        <v>2</v>
      </c>
      <c r="L3604" s="42">
        <f>(186.53*(1-O3/100))/0.75</f>
        <v>248.70666666666668</v>
      </c>
      <c r="M3604" s="12"/>
      <c r="N3604" s="40">
        <f>L3604*M3604</f>
        <v>0</v>
      </c>
      <c r="O3604" s="43">
        <f>0.355*M3604</f>
        <v>0</v>
      </c>
      <c r="P3604" s="47">
        <f>0.00119*M3604</f>
        <v>0</v>
      </c>
      <c r="Q3604" s="44"/>
      <c r="R3604" s="45" t="s">
        <v>11298</v>
      </c>
      <c r="S3604" s="45" t="s">
        <v>93</v>
      </c>
      <c r="T3604" s="37" t="str">
        <f>HYPERLINK("https://kanzpp.ru/api/getInfo/image/0f8b9749-c373-11f0-a289-00155d82e908")</f>
        <v>https://kanzpp.ru/api/getInfo/image/0f8b9749-c373-11f0-a289-00155d82e908</v>
      </c>
      <c r="U3604" s="37"/>
    </row>
    <row r="3605" spans="2:22" ht="21" customHeight="1" outlineLevel="5" x14ac:dyDescent="0.2">
      <c r="B3605" s="71">
        <v>2680</v>
      </c>
      <c r="C3605" s="37" t="s">
        <v>11299</v>
      </c>
      <c r="D3605" s="37" t="s">
        <v>11300</v>
      </c>
      <c r="E3605" s="38" t="s">
        <v>11301</v>
      </c>
      <c r="F3605" s="39"/>
      <c r="G3605" s="40"/>
      <c r="H3605" s="41">
        <v>14</v>
      </c>
      <c r="I3605" s="40"/>
      <c r="J3605" s="41">
        <v>70</v>
      </c>
      <c r="K3605" s="36">
        <v>3</v>
      </c>
      <c r="L3605" s="42">
        <f>(186.53*(1-O3/100))/0.75</f>
        <v>248.70666666666668</v>
      </c>
      <c r="M3605" s="12"/>
      <c r="N3605" s="40">
        <f>L3605*M3605</f>
        <v>0</v>
      </c>
      <c r="O3605" s="43">
        <f>0.355*M3605</f>
        <v>0</v>
      </c>
      <c r="P3605" s="47">
        <f>0.00119*M3605</f>
        <v>0</v>
      </c>
      <c r="Q3605" s="44"/>
      <c r="R3605" s="45" t="s">
        <v>11302</v>
      </c>
      <c r="S3605" s="45" t="s">
        <v>93</v>
      </c>
      <c r="T3605" s="37" t="str">
        <f>HYPERLINK("https://kanzpp.ru/api/getInfo/image/6af5fea9-c373-11f0-a289-00155d82e908")</f>
        <v>https://kanzpp.ru/api/getInfo/image/6af5fea9-c373-11f0-a289-00155d82e908</v>
      </c>
      <c r="U3605" s="37"/>
    </row>
    <row r="3606" spans="2:22" ht="21" customHeight="1" outlineLevel="5" x14ac:dyDescent="0.2">
      <c r="B3606" s="71">
        <v>2681</v>
      </c>
      <c r="C3606" s="37" t="s">
        <v>11303</v>
      </c>
      <c r="D3606" s="37" t="s">
        <v>11304</v>
      </c>
      <c r="E3606" s="38" t="s">
        <v>11305</v>
      </c>
      <c r="F3606" s="39"/>
      <c r="G3606" s="40"/>
      <c r="H3606" s="41">
        <v>14</v>
      </c>
      <c r="I3606" s="40"/>
      <c r="J3606" s="41">
        <v>1</v>
      </c>
      <c r="K3606" s="36">
        <v>1</v>
      </c>
      <c r="L3606" s="42">
        <f>(186.53*(1-O3/100))/0.75</f>
        <v>248.70666666666668</v>
      </c>
      <c r="M3606" s="12"/>
      <c r="N3606" s="40">
        <f>L3606*M3606</f>
        <v>0</v>
      </c>
      <c r="O3606" s="48">
        <f>0.35*M3606</f>
        <v>0</v>
      </c>
      <c r="P3606" s="47">
        <f>0.00128*M3606</f>
        <v>0</v>
      </c>
      <c r="Q3606" s="44"/>
      <c r="R3606" s="45" t="s">
        <v>11306</v>
      </c>
      <c r="S3606" s="45" t="s">
        <v>93</v>
      </c>
      <c r="T3606" s="37" t="str">
        <f>HYPERLINK("https://kanzpp.ru/api/getInfo/image/b26639f6-c373-11f0-a289-00155d82e908")</f>
        <v>https://kanzpp.ru/api/getInfo/image/b26639f6-c373-11f0-a289-00155d82e908</v>
      </c>
      <c r="U3606" s="37"/>
    </row>
    <row r="3607" spans="2:22" ht="22.95" customHeight="1" outlineLevel="4" x14ac:dyDescent="0.2">
      <c r="B3607" s="82" t="s">
        <v>11307</v>
      </c>
      <c r="C3607" s="82"/>
      <c r="D3607" s="82"/>
      <c r="L3607">
        <v>0</v>
      </c>
    </row>
    <row r="3608" spans="2:22" ht="21" customHeight="1" outlineLevel="5" x14ac:dyDescent="0.2">
      <c r="B3608" s="69">
        <v>2682</v>
      </c>
      <c r="C3608" s="6" t="s">
        <v>11308</v>
      </c>
      <c r="D3608" s="6" t="s">
        <v>11309</v>
      </c>
      <c r="E3608" s="7" t="s">
        <v>11310</v>
      </c>
      <c r="F3608" s="13"/>
      <c r="G3608" s="14"/>
      <c r="H3608" s="15">
        <v>14</v>
      </c>
      <c r="I3608" s="14"/>
      <c r="J3608" s="14" t="s">
        <v>144</v>
      </c>
      <c r="K3608" s="5">
        <v>3</v>
      </c>
      <c r="L3608" s="16">
        <v>53.199999999999996</v>
      </c>
      <c r="M3608" s="12"/>
      <c r="N3608" s="14">
        <f>L3608*M3608</f>
        <v>0</v>
      </c>
      <c r="O3608" s="23">
        <f>0.358*M3608</f>
        <v>0</v>
      </c>
      <c r="P3608" s="31">
        <f>0.0012*M3608</f>
        <v>0</v>
      </c>
      <c r="Q3608" s="25"/>
      <c r="R3608" s="26" t="s">
        <v>11311</v>
      </c>
      <c r="S3608" s="26" t="s">
        <v>93</v>
      </c>
      <c r="T3608" s="6" t="str">
        <f>HYPERLINK("https://kanzpp.ru/api/getInfo/image/3e2c2c62-219f-11ef-a25f-00155d82e908")</f>
        <v>https://kanzpp.ru/api/getInfo/image/3e2c2c62-219f-11ef-a25f-00155d82e908</v>
      </c>
      <c r="U3608" s="6"/>
      <c r="V3608" s="33" t="s">
        <v>35</v>
      </c>
    </row>
    <row r="3609" spans="2:22" ht="22.95" customHeight="1" outlineLevel="4" x14ac:dyDescent="0.2">
      <c r="B3609" s="82" t="s">
        <v>11312</v>
      </c>
      <c r="C3609" s="82"/>
      <c r="D3609" s="82"/>
      <c r="L3609">
        <v>0</v>
      </c>
    </row>
    <row r="3610" spans="2:22" ht="21" customHeight="1" outlineLevel="5" x14ac:dyDescent="0.2">
      <c r="B3610" s="69">
        <v>2683</v>
      </c>
      <c r="C3610" s="6" t="s">
        <v>11313</v>
      </c>
      <c r="D3610" s="6" t="s">
        <v>11314</v>
      </c>
      <c r="E3610" s="7" t="s">
        <v>11315</v>
      </c>
      <c r="F3610" s="13"/>
      <c r="G3610" s="14"/>
      <c r="H3610" s="15">
        <v>12</v>
      </c>
      <c r="I3610" s="14"/>
      <c r="J3610" s="15">
        <v>980</v>
      </c>
      <c r="K3610" s="5">
        <v>3</v>
      </c>
      <c r="L3610" s="16">
        <v>132</v>
      </c>
      <c r="M3610" s="12"/>
      <c r="N3610" s="14">
        <f>L3610*M3610</f>
        <v>0</v>
      </c>
      <c r="O3610" s="23">
        <f>0.416*M3610</f>
        <v>0</v>
      </c>
      <c r="P3610" s="24">
        <f>0.00107*M3610</f>
        <v>0</v>
      </c>
      <c r="Q3610" s="25"/>
      <c r="R3610" s="26" t="s">
        <v>11316</v>
      </c>
      <c r="S3610" s="26" t="s">
        <v>93</v>
      </c>
      <c r="T3610" s="6" t="str">
        <f>HYPERLINK("https://kanzpp.ru/api/getInfo/image/c48ea5d1-21a0-11ef-a25f-00155d82e908")</f>
        <v>https://kanzpp.ru/api/getInfo/image/c48ea5d1-21a0-11ef-a25f-00155d82e908</v>
      </c>
      <c r="U3610" s="6"/>
      <c r="V3610" s="33" t="s">
        <v>35</v>
      </c>
    </row>
    <row r="3611" spans="2:22" ht="21" customHeight="1" outlineLevel="5" x14ac:dyDescent="0.2">
      <c r="B3611" s="69">
        <v>2684</v>
      </c>
      <c r="C3611" s="6" t="s">
        <v>11317</v>
      </c>
      <c r="D3611" s="6" t="s">
        <v>11318</v>
      </c>
      <c r="E3611" s="7" t="s">
        <v>11319</v>
      </c>
      <c r="F3611" s="13"/>
      <c r="G3611" s="14"/>
      <c r="H3611" s="15">
        <v>12</v>
      </c>
      <c r="I3611" s="14"/>
      <c r="J3611" s="15">
        <v>47</v>
      </c>
      <c r="K3611" s="5">
        <v>3</v>
      </c>
      <c r="L3611" s="16">
        <v>132</v>
      </c>
      <c r="M3611" s="12"/>
      <c r="N3611" s="14">
        <f>L3611*M3611</f>
        <v>0</v>
      </c>
      <c r="O3611" s="23">
        <f>0.436*M3611</f>
        <v>0</v>
      </c>
      <c r="P3611" s="24">
        <f>0.00109*M3611</f>
        <v>0</v>
      </c>
      <c r="Q3611" s="25"/>
      <c r="R3611" s="26" t="s">
        <v>11320</v>
      </c>
      <c r="S3611" s="26" t="s">
        <v>93</v>
      </c>
      <c r="T3611" s="6" t="str">
        <f>HYPERLINK("https://kanzpp.ru/api/getInfo/image/6cd338d7-2718-11ef-a25f-00155d82e908")</f>
        <v>https://kanzpp.ru/api/getInfo/image/6cd338d7-2718-11ef-a25f-00155d82e908</v>
      </c>
      <c r="U3611" s="6"/>
      <c r="V3611" s="33" t="s">
        <v>35</v>
      </c>
    </row>
    <row r="3612" spans="2:22" ht="21" customHeight="1" outlineLevel="5" x14ac:dyDescent="0.2">
      <c r="B3612" s="71">
        <v>2685</v>
      </c>
      <c r="C3612" s="37" t="s">
        <v>11321</v>
      </c>
      <c r="D3612" s="37" t="s">
        <v>11322</v>
      </c>
      <c r="E3612" s="38" t="s">
        <v>11323</v>
      </c>
      <c r="F3612" s="39"/>
      <c r="G3612" s="40"/>
      <c r="H3612" s="41">
        <v>10</v>
      </c>
      <c r="I3612" s="40"/>
      <c r="J3612" s="41">
        <v>110</v>
      </c>
      <c r="K3612" s="36">
        <v>3</v>
      </c>
      <c r="L3612" s="42">
        <f>(190.6*(1-O3/100))/0.75</f>
        <v>254.13333333333333</v>
      </c>
      <c r="M3612" s="12"/>
      <c r="N3612" s="40">
        <f>L3612*M3612</f>
        <v>0</v>
      </c>
      <c r="O3612" s="43">
        <f>0.475*M3612</f>
        <v>0</v>
      </c>
      <c r="P3612" s="47">
        <f>0.00192*M3612</f>
        <v>0</v>
      </c>
      <c r="Q3612" s="44"/>
      <c r="R3612" s="45" t="s">
        <v>11324</v>
      </c>
      <c r="S3612" s="45" t="s">
        <v>93</v>
      </c>
      <c r="T3612" s="37" t="str">
        <f>HYPERLINK("https://kanzpp.ru/api/getInfo/image/6920b43d-7820-11f0-a284-00155d82e908")</f>
        <v>https://kanzpp.ru/api/getInfo/image/6920b43d-7820-11f0-a284-00155d82e908</v>
      </c>
      <c r="U3612" s="37"/>
    </row>
    <row r="3613" spans="2:22" ht="21" customHeight="1" outlineLevel="5" x14ac:dyDescent="0.2">
      <c r="B3613" s="71">
        <v>2686</v>
      </c>
      <c r="C3613" s="37" t="s">
        <v>11325</v>
      </c>
      <c r="D3613" s="37" t="s">
        <v>11326</v>
      </c>
      <c r="E3613" s="38" t="s">
        <v>11327</v>
      </c>
      <c r="F3613" s="39"/>
      <c r="G3613" s="40"/>
      <c r="H3613" s="41">
        <v>15</v>
      </c>
      <c r="I3613" s="40"/>
      <c r="J3613" s="41">
        <v>1</v>
      </c>
      <c r="K3613" s="36">
        <v>1</v>
      </c>
      <c r="L3613" s="42">
        <f>(117.6*(1-O3/100))/0.75</f>
        <v>156.79999999999998</v>
      </c>
      <c r="M3613" s="12"/>
      <c r="N3613" s="40">
        <f>L3613*M3613</f>
        <v>0</v>
      </c>
      <c r="O3613" s="48">
        <f>0.14*M3613</f>
        <v>0</v>
      </c>
      <c r="P3613" s="47">
        <f>0.00098*M3613</f>
        <v>0</v>
      </c>
      <c r="Q3613" s="44"/>
      <c r="R3613" s="45" t="s">
        <v>11328</v>
      </c>
      <c r="S3613" s="45" t="s">
        <v>93</v>
      </c>
      <c r="T3613" s="37" t="str">
        <f>HYPERLINK("https://kanzpp.ru/api/getInfo/image/5cf388bf-6792-11f0-a283-00155d82e908")</f>
        <v>https://kanzpp.ru/api/getInfo/image/5cf388bf-6792-11f0-a283-00155d82e908</v>
      </c>
      <c r="U3613" s="37"/>
    </row>
    <row r="3614" spans="2:22" ht="21" customHeight="1" outlineLevel="5" x14ac:dyDescent="0.2">
      <c r="B3614" s="71">
        <v>2687</v>
      </c>
      <c r="C3614" s="37" t="s">
        <v>11329</v>
      </c>
      <c r="D3614" s="37" t="s">
        <v>11330</v>
      </c>
      <c r="E3614" s="38" t="s">
        <v>11331</v>
      </c>
      <c r="F3614" s="39"/>
      <c r="G3614" s="40"/>
      <c r="H3614" s="41">
        <v>15</v>
      </c>
      <c r="I3614" s="40"/>
      <c r="J3614" s="41">
        <v>1</v>
      </c>
      <c r="K3614" s="36">
        <v>1</v>
      </c>
      <c r="L3614" s="42">
        <f>(117.6*(1-O3/100))/0.75</f>
        <v>156.79999999999998</v>
      </c>
      <c r="M3614" s="12"/>
      <c r="N3614" s="40">
        <f>L3614*M3614</f>
        <v>0</v>
      </c>
      <c r="O3614" s="43">
        <f>0.141*M3614</f>
        <v>0</v>
      </c>
      <c r="P3614" s="47">
        <f>0.00058*M3614</f>
        <v>0</v>
      </c>
      <c r="Q3614" s="44"/>
      <c r="R3614" s="45" t="s">
        <v>11332</v>
      </c>
      <c r="S3614" s="45" t="s">
        <v>93</v>
      </c>
      <c r="T3614" s="37" t="str">
        <f>HYPERLINK("https://kanzpp.ru/api/getInfo/image/dcacbb21-6792-11f0-a283-00155d82e908")</f>
        <v>https://kanzpp.ru/api/getInfo/image/dcacbb21-6792-11f0-a283-00155d82e908</v>
      </c>
      <c r="U3614" s="37"/>
    </row>
    <row r="3615" spans="2:22" ht="22.95" customHeight="1" outlineLevel="2" x14ac:dyDescent="0.2">
      <c r="B3615" s="80" t="s">
        <v>11333</v>
      </c>
      <c r="C3615" s="80"/>
      <c r="D3615" s="80"/>
      <c r="L3615">
        <v>0</v>
      </c>
    </row>
    <row r="3616" spans="2:22" ht="22.95" customHeight="1" outlineLevel="3" x14ac:dyDescent="0.2">
      <c r="B3616" s="81" t="s">
        <v>11334</v>
      </c>
      <c r="C3616" s="81"/>
      <c r="D3616" s="81"/>
      <c r="L3616">
        <v>0</v>
      </c>
    </row>
    <row r="3617" spans="2:22" ht="22.95" customHeight="1" outlineLevel="4" x14ac:dyDescent="0.2">
      <c r="B3617" s="82" t="s">
        <v>11335</v>
      </c>
      <c r="C3617" s="82"/>
      <c r="D3617" s="82"/>
      <c r="L3617">
        <v>0</v>
      </c>
    </row>
    <row r="3618" spans="2:22" ht="22.95" customHeight="1" outlineLevel="5" x14ac:dyDescent="0.2">
      <c r="B3618" s="83" t="s">
        <v>11336</v>
      </c>
      <c r="C3618" s="83"/>
      <c r="D3618" s="83"/>
      <c r="L3618">
        <v>0</v>
      </c>
    </row>
    <row r="3619" spans="2:22" ht="21" customHeight="1" outlineLevel="6" x14ac:dyDescent="0.2">
      <c r="B3619" s="71">
        <v>2688</v>
      </c>
      <c r="C3619" s="37" t="s">
        <v>11337</v>
      </c>
      <c r="D3619" s="37" t="s">
        <v>11338</v>
      </c>
      <c r="E3619" s="38" t="s">
        <v>11339</v>
      </c>
      <c r="F3619" s="39"/>
      <c r="G3619" s="40"/>
      <c r="H3619" s="41">
        <v>40</v>
      </c>
      <c r="I3619" s="41">
        <v>10</v>
      </c>
      <c r="J3619" s="41">
        <v>395</v>
      </c>
      <c r="K3619" s="36">
        <v>40</v>
      </c>
      <c r="L3619" s="42">
        <f>(66.93*(1-O3/100))/0.75</f>
        <v>89.240000000000009</v>
      </c>
      <c r="M3619" s="12"/>
      <c r="N3619" s="40">
        <f>L3619*M3619</f>
        <v>0</v>
      </c>
      <c r="O3619" s="43">
        <f>0.182*M3619</f>
        <v>0</v>
      </c>
      <c r="P3619" s="47">
        <f>0.00028*M3619</f>
        <v>0</v>
      </c>
      <c r="Q3619" s="44"/>
      <c r="R3619" s="45" t="s">
        <v>11340</v>
      </c>
      <c r="S3619" s="45" t="s">
        <v>93</v>
      </c>
      <c r="T3619" s="37" t="str">
        <f>HYPERLINK("https://kanzpp.ru/api/getInfo/image/a35af118-6074-11f0-a281-00155d82e908")</f>
        <v>https://kanzpp.ru/api/getInfo/image/a35af118-6074-11f0-a281-00155d82e908</v>
      </c>
      <c r="U3619" s="37"/>
    </row>
    <row r="3620" spans="2:22" ht="22.95" customHeight="1" outlineLevel="3" x14ac:dyDescent="0.2">
      <c r="B3620" s="81" t="s">
        <v>11341</v>
      </c>
      <c r="C3620" s="81"/>
      <c r="D3620" s="81"/>
      <c r="L3620">
        <v>0</v>
      </c>
    </row>
    <row r="3621" spans="2:22" ht="21" customHeight="1" outlineLevel="4" x14ac:dyDescent="0.2">
      <c r="B3621" s="69">
        <v>2689</v>
      </c>
      <c r="C3621" s="6" t="s">
        <v>11342</v>
      </c>
      <c r="D3621" s="6" t="s">
        <v>11343</v>
      </c>
      <c r="E3621" s="7" t="s">
        <v>11344</v>
      </c>
      <c r="F3621" s="13"/>
      <c r="G3621" s="14"/>
      <c r="H3621" s="15">
        <v>30</v>
      </c>
      <c r="I3621" s="15">
        <v>5</v>
      </c>
      <c r="J3621" s="15">
        <v>30</v>
      </c>
      <c r="K3621" s="5">
        <v>30</v>
      </c>
      <c r="L3621" s="16">
        <v>59.44</v>
      </c>
      <c r="M3621" s="12"/>
      <c r="N3621" s="14">
        <f>L3621*M3621</f>
        <v>0</v>
      </c>
      <c r="O3621" s="23">
        <f>0.288*M3621</f>
        <v>0</v>
      </c>
      <c r="P3621" s="24">
        <f>0.00046*M3621</f>
        <v>0</v>
      </c>
      <c r="Q3621" s="25"/>
      <c r="R3621" s="26" t="s">
        <v>11345</v>
      </c>
      <c r="S3621" s="26" t="s">
        <v>93</v>
      </c>
      <c r="T3621" s="6" t="str">
        <f>HYPERLINK("https://kanzpp.ru/api/getInfo/image/026b9272-53c5-11ee-a244-00155d82e902")</f>
        <v>https://kanzpp.ru/api/getInfo/image/026b9272-53c5-11ee-a244-00155d82e902</v>
      </c>
      <c r="U3621" s="6"/>
      <c r="V3621" s="33" t="s">
        <v>35</v>
      </c>
    </row>
    <row r="3622" spans="2:22" ht="22.95" customHeight="1" outlineLevel="4" x14ac:dyDescent="0.2">
      <c r="B3622" s="82" t="s">
        <v>11346</v>
      </c>
      <c r="C3622" s="82"/>
      <c r="D3622" s="82"/>
      <c r="L3622">
        <v>0</v>
      </c>
    </row>
    <row r="3623" spans="2:22" ht="21" customHeight="1" outlineLevel="5" x14ac:dyDescent="0.2">
      <c r="B3623" s="69">
        <v>2690</v>
      </c>
      <c r="C3623" s="6" t="s">
        <v>11347</v>
      </c>
      <c r="D3623" s="6" t="s">
        <v>11348</v>
      </c>
      <c r="E3623" s="7" t="s">
        <v>11349</v>
      </c>
      <c r="F3623" s="13"/>
      <c r="G3623" s="14"/>
      <c r="H3623" s="15">
        <v>30</v>
      </c>
      <c r="I3623" s="15">
        <v>5</v>
      </c>
      <c r="J3623" s="15">
        <v>463</v>
      </c>
      <c r="K3623" s="5">
        <v>30</v>
      </c>
      <c r="L3623" s="16">
        <v>65.213333333333324</v>
      </c>
      <c r="M3623" s="12"/>
      <c r="N3623" s="14">
        <f>L3623*M3623</f>
        <v>0</v>
      </c>
      <c r="O3623" s="23">
        <f>0.288*M3623</f>
        <v>0</v>
      </c>
      <c r="P3623" s="24">
        <f>0.00046*M3623</f>
        <v>0</v>
      </c>
      <c r="Q3623" s="25"/>
      <c r="R3623" s="26" t="s">
        <v>11350</v>
      </c>
      <c r="S3623" s="26" t="s">
        <v>93</v>
      </c>
      <c r="T3623" s="6" t="str">
        <f>HYPERLINK("https://kanzpp.ru/api/getInfo/image/d13cec4e-53cc-11ee-a244-00155d82e902")</f>
        <v>https://kanzpp.ru/api/getInfo/image/d13cec4e-53cc-11ee-a244-00155d82e902</v>
      </c>
      <c r="U3623" s="6"/>
      <c r="V3623" s="33" t="s">
        <v>35</v>
      </c>
    </row>
    <row r="3624" spans="2:22" ht="21" customHeight="1" outlineLevel="5" x14ac:dyDescent="0.2">
      <c r="B3624" s="69">
        <v>2691</v>
      </c>
      <c r="C3624" s="6" t="s">
        <v>11351</v>
      </c>
      <c r="D3624" s="6" t="s">
        <v>11348</v>
      </c>
      <c r="E3624" s="7" t="s">
        <v>11349</v>
      </c>
      <c r="F3624" s="13"/>
      <c r="G3624" s="14"/>
      <c r="H3624" s="15">
        <v>30</v>
      </c>
      <c r="I3624" s="14"/>
      <c r="J3624" s="15">
        <v>215</v>
      </c>
      <c r="K3624" s="5">
        <v>30</v>
      </c>
      <c r="L3624" s="16">
        <v>65.213333333333324</v>
      </c>
      <c r="M3624" s="12"/>
      <c r="N3624" s="14">
        <f>L3624*M3624</f>
        <v>0</v>
      </c>
      <c r="O3624" s="23">
        <f>0.347*M3624</f>
        <v>0</v>
      </c>
      <c r="P3624" s="24">
        <f>0.00059*M3624</f>
        <v>0</v>
      </c>
      <c r="Q3624" s="25"/>
      <c r="R3624" s="26"/>
      <c r="S3624" s="26" t="s">
        <v>93</v>
      </c>
      <c r="T3624" s="6"/>
      <c r="U3624" s="6"/>
      <c r="V3624" s="33" t="s">
        <v>35</v>
      </c>
    </row>
    <row r="3625" spans="2:22" ht="21" customHeight="1" outlineLevel="5" x14ac:dyDescent="0.2">
      <c r="B3625" s="71">
        <v>2692</v>
      </c>
      <c r="C3625" s="37" t="s">
        <v>11352</v>
      </c>
      <c r="D3625" s="37" t="s">
        <v>11353</v>
      </c>
      <c r="E3625" s="38" t="s">
        <v>11354</v>
      </c>
      <c r="F3625" s="39"/>
      <c r="G3625" s="40"/>
      <c r="H3625" s="41">
        <v>30</v>
      </c>
      <c r="I3625" s="41">
        <v>5</v>
      </c>
      <c r="J3625" s="41">
        <v>50</v>
      </c>
      <c r="K3625" s="36">
        <v>30</v>
      </c>
      <c r="L3625" s="42">
        <f>(83.65*(1-O3/100))/0.75</f>
        <v>111.53333333333335</v>
      </c>
      <c r="M3625" s="12"/>
      <c r="N3625" s="40">
        <f>L3625*M3625</f>
        <v>0</v>
      </c>
      <c r="O3625" s="43">
        <f>0.108*M3625</f>
        <v>0</v>
      </c>
      <c r="P3625" s="47">
        <f>0.00021*M3625</f>
        <v>0</v>
      </c>
      <c r="Q3625" s="44"/>
      <c r="R3625" s="45" t="s">
        <v>11355</v>
      </c>
      <c r="S3625" s="45" t="s">
        <v>93</v>
      </c>
      <c r="T3625" s="37" t="str">
        <f>HYPERLINK("https://kanzpp.ru/api/getInfo/image/8eee9afd-6076-11f0-a281-00155d82e908")</f>
        <v>https://kanzpp.ru/api/getInfo/image/8eee9afd-6076-11f0-a281-00155d82e908</v>
      </c>
      <c r="U3625" s="37"/>
    </row>
    <row r="3626" spans="2:22" ht="21" customHeight="1" outlineLevel="5" x14ac:dyDescent="0.2">
      <c r="B3626" s="71">
        <v>2693</v>
      </c>
      <c r="C3626" s="37" t="s">
        <v>11356</v>
      </c>
      <c r="D3626" s="37" t="s">
        <v>11357</v>
      </c>
      <c r="E3626" s="38" t="s">
        <v>11358</v>
      </c>
      <c r="F3626" s="39"/>
      <c r="G3626" s="40"/>
      <c r="H3626" s="41">
        <v>30</v>
      </c>
      <c r="I3626" s="41">
        <v>5</v>
      </c>
      <c r="J3626" s="41">
        <v>273</v>
      </c>
      <c r="K3626" s="36">
        <v>30</v>
      </c>
      <c r="L3626" s="42">
        <f>(83.65*(1-O3/100))/0.75</f>
        <v>111.53333333333335</v>
      </c>
      <c r="M3626" s="12"/>
      <c r="N3626" s="40">
        <f>L3626*M3626</f>
        <v>0</v>
      </c>
      <c r="O3626" s="43">
        <f>0.108*M3626</f>
        <v>0</v>
      </c>
      <c r="P3626" s="47">
        <f>0.00021*M3626</f>
        <v>0</v>
      </c>
      <c r="Q3626" s="44"/>
      <c r="R3626" s="45" t="s">
        <v>11359</v>
      </c>
      <c r="S3626" s="45" t="s">
        <v>93</v>
      </c>
      <c r="T3626" s="37" t="str">
        <f>HYPERLINK("https://kanzpp.ru/api/getInfo/image/63c222d6-6076-11f0-a281-00155d82e908")</f>
        <v>https://kanzpp.ru/api/getInfo/image/63c222d6-6076-11f0-a281-00155d82e908</v>
      </c>
      <c r="U3626" s="37"/>
    </row>
    <row r="3627" spans="2:22" ht="21" customHeight="1" outlineLevel="5" x14ac:dyDescent="0.2">
      <c r="B3627" s="69">
        <v>2694</v>
      </c>
      <c r="C3627" s="6" t="s">
        <v>11360</v>
      </c>
      <c r="D3627" s="6" t="s">
        <v>11361</v>
      </c>
      <c r="E3627" s="7" t="s">
        <v>11362</v>
      </c>
      <c r="F3627" s="13"/>
      <c r="G3627" s="14"/>
      <c r="H3627" s="15">
        <v>30</v>
      </c>
      <c r="I3627" s="15">
        <v>5</v>
      </c>
      <c r="J3627" s="15">
        <v>645</v>
      </c>
      <c r="K3627" s="5">
        <v>30</v>
      </c>
      <c r="L3627" s="16">
        <v>65.213333333333324</v>
      </c>
      <c r="M3627" s="12"/>
      <c r="N3627" s="14">
        <f>L3627*M3627</f>
        <v>0</v>
      </c>
      <c r="O3627" s="23">
        <f>0.284*M3627</f>
        <v>0</v>
      </c>
      <c r="P3627" s="24">
        <f>0.00069*M3627</f>
        <v>0</v>
      </c>
      <c r="Q3627" s="25"/>
      <c r="R3627" s="26" t="s">
        <v>11363</v>
      </c>
      <c r="S3627" s="26" t="s">
        <v>93</v>
      </c>
      <c r="T3627" s="6" t="str">
        <f>HYPERLINK("https://kanzpp.ru/api/getInfo/image/39275282-9c2c-11ef-a267-00155d82e908")</f>
        <v>https://kanzpp.ru/api/getInfo/image/39275282-9c2c-11ef-a267-00155d82e908</v>
      </c>
      <c r="U3627" s="6"/>
      <c r="V3627" s="33" t="s">
        <v>35</v>
      </c>
    </row>
    <row r="3628" spans="2:22" ht="22.95" customHeight="1" outlineLevel="4" x14ac:dyDescent="0.2">
      <c r="B3628" s="82" t="s">
        <v>11364</v>
      </c>
      <c r="C3628" s="82"/>
      <c r="D3628" s="82"/>
      <c r="L3628">
        <v>0</v>
      </c>
    </row>
    <row r="3629" spans="2:22" ht="22.95" customHeight="1" outlineLevel="5" x14ac:dyDescent="0.2">
      <c r="B3629" s="83" t="s">
        <v>11365</v>
      </c>
      <c r="C3629" s="83"/>
      <c r="D3629" s="83"/>
      <c r="L3629">
        <v>0</v>
      </c>
    </row>
    <row r="3630" spans="2:22" ht="21" customHeight="1" outlineLevel="6" x14ac:dyDescent="0.2">
      <c r="B3630" s="69">
        <v>2695</v>
      </c>
      <c r="C3630" s="6" t="s">
        <v>11366</v>
      </c>
      <c r="D3630" s="6" t="s">
        <v>11367</v>
      </c>
      <c r="E3630" s="7" t="s">
        <v>11368</v>
      </c>
      <c r="F3630" s="13"/>
      <c r="G3630" s="14"/>
      <c r="H3630" s="15">
        <v>30</v>
      </c>
      <c r="I3630" s="15">
        <v>5</v>
      </c>
      <c r="J3630" s="15">
        <v>215</v>
      </c>
      <c r="K3630" s="5">
        <v>30</v>
      </c>
      <c r="L3630" s="16">
        <v>70.533333333333331</v>
      </c>
      <c r="M3630" s="12"/>
      <c r="N3630" s="14">
        <f>L3630*M3630</f>
        <v>0</v>
      </c>
      <c r="O3630" s="23">
        <f>0.288*M3630</f>
        <v>0</v>
      </c>
      <c r="P3630" s="24">
        <f>0.00046*M3630</f>
        <v>0</v>
      </c>
      <c r="Q3630" s="25"/>
      <c r="R3630" s="26" t="s">
        <v>11369</v>
      </c>
      <c r="S3630" s="26" t="s">
        <v>93</v>
      </c>
      <c r="T3630" s="6" t="str">
        <f>HYPERLINK("https://kanzpp.ru/api/getInfo/image/986423cd-53ca-11ee-a244-00155d82e902")</f>
        <v>https://kanzpp.ru/api/getInfo/image/986423cd-53ca-11ee-a244-00155d82e902</v>
      </c>
      <c r="U3630" s="6"/>
      <c r="V3630" s="33" t="s">
        <v>35</v>
      </c>
    </row>
    <row r="3631" spans="2:22" ht="21" customHeight="1" outlineLevel="6" x14ac:dyDescent="0.2">
      <c r="B3631" s="69">
        <v>2696</v>
      </c>
      <c r="C3631" s="6" t="s">
        <v>11370</v>
      </c>
      <c r="D3631" s="6" t="s">
        <v>11367</v>
      </c>
      <c r="E3631" s="7" t="s">
        <v>11368</v>
      </c>
      <c r="F3631" s="13"/>
      <c r="G3631" s="14"/>
      <c r="H3631" s="15">
        <v>30</v>
      </c>
      <c r="I3631" s="14"/>
      <c r="J3631" s="17">
        <v>1150</v>
      </c>
      <c r="K3631" s="5">
        <v>30</v>
      </c>
      <c r="L3631" s="16">
        <v>52</v>
      </c>
      <c r="M3631" s="12"/>
      <c r="N3631" s="14">
        <f>L3631*M3631</f>
        <v>0</v>
      </c>
      <c r="O3631" s="23">
        <f>0.293*M3631</f>
        <v>0</v>
      </c>
      <c r="P3631" s="24">
        <f>0.00096*M3631</f>
        <v>0</v>
      </c>
      <c r="Q3631" s="25"/>
      <c r="R3631" s="26"/>
      <c r="S3631" s="26" t="s">
        <v>93</v>
      </c>
      <c r="T3631" s="6"/>
      <c r="U3631" s="6"/>
      <c r="V3631" s="33" t="s">
        <v>35</v>
      </c>
    </row>
    <row r="3632" spans="2:22" ht="21" customHeight="1" outlineLevel="6" x14ac:dyDescent="0.2">
      <c r="B3632" s="71">
        <v>2697</v>
      </c>
      <c r="C3632" s="37" t="s">
        <v>11371</v>
      </c>
      <c r="D3632" s="37" t="s">
        <v>11372</v>
      </c>
      <c r="E3632" s="38" t="s">
        <v>11373</v>
      </c>
      <c r="F3632" s="39"/>
      <c r="G3632" s="40"/>
      <c r="H3632" s="41">
        <v>30</v>
      </c>
      <c r="I3632" s="41">
        <v>5</v>
      </c>
      <c r="J3632" s="41">
        <v>682</v>
      </c>
      <c r="K3632" s="36">
        <v>30</v>
      </c>
      <c r="L3632" s="42">
        <f>(105.2*(1-O3/100))/0.75</f>
        <v>140.26666666666668</v>
      </c>
      <c r="M3632" s="12"/>
      <c r="N3632" s="40">
        <f>L3632*M3632</f>
        <v>0</v>
      </c>
      <c r="O3632" s="43">
        <f>0.294*M3632</f>
        <v>0</v>
      </c>
      <c r="P3632" s="47">
        <f>0.00053*M3632</f>
        <v>0</v>
      </c>
      <c r="Q3632" s="44"/>
      <c r="R3632" s="45" t="s">
        <v>11374</v>
      </c>
      <c r="S3632" s="45" t="s">
        <v>93</v>
      </c>
      <c r="T3632" s="37" t="str">
        <f>HYPERLINK("https://kanzpp.ru/api/getInfo/image/c2513fbe-53ca-11ee-a244-00155d82e902")</f>
        <v>https://kanzpp.ru/api/getInfo/image/c2513fbe-53ca-11ee-a244-00155d82e902</v>
      </c>
      <c r="U3632" s="37"/>
    </row>
    <row r="3633" spans="2:22" ht="22.95" customHeight="1" outlineLevel="3" x14ac:dyDescent="0.2">
      <c r="B3633" s="81" t="s">
        <v>11375</v>
      </c>
      <c r="C3633" s="81"/>
      <c r="D3633" s="81"/>
      <c r="L3633">
        <v>0</v>
      </c>
    </row>
    <row r="3634" spans="2:22" ht="22.95" customHeight="1" outlineLevel="4" x14ac:dyDescent="0.2">
      <c r="B3634" s="82" t="s">
        <v>11376</v>
      </c>
      <c r="C3634" s="82"/>
      <c r="D3634" s="82"/>
      <c r="L3634">
        <v>0</v>
      </c>
    </row>
    <row r="3635" spans="2:22" ht="21" customHeight="1" outlineLevel="5" x14ac:dyDescent="0.2">
      <c r="B3635" s="69">
        <v>2698</v>
      </c>
      <c r="C3635" s="6" t="s">
        <v>11377</v>
      </c>
      <c r="D3635" s="6" t="s">
        <v>11378</v>
      </c>
      <c r="E3635" s="7" t="s">
        <v>11379</v>
      </c>
      <c r="F3635" s="13"/>
      <c r="G3635" s="14"/>
      <c r="H3635" s="15">
        <v>30</v>
      </c>
      <c r="I3635" s="15">
        <v>5</v>
      </c>
      <c r="J3635" s="17">
        <v>1155</v>
      </c>
      <c r="K3635" s="5">
        <v>30</v>
      </c>
      <c r="L3635" s="16">
        <v>66.533333333333331</v>
      </c>
      <c r="M3635" s="12"/>
      <c r="N3635" s="14">
        <f>L3635*M3635</f>
        <v>0</v>
      </c>
      <c r="O3635" s="23">
        <f>0.337*M3635</f>
        <v>0</v>
      </c>
      <c r="P3635" s="24">
        <f>0.00057*M3635</f>
        <v>0</v>
      </c>
      <c r="Q3635" s="25"/>
      <c r="R3635" s="26" t="s">
        <v>11380</v>
      </c>
      <c r="S3635" s="26" t="s">
        <v>93</v>
      </c>
      <c r="T3635" s="6" t="str">
        <f>HYPERLINK("https://kanzpp.ru/api/getInfo/image/8693e495-6070-11f0-a281-00155d82e908")</f>
        <v>https://kanzpp.ru/api/getInfo/image/8693e495-6070-11f0-a281-00155d82e908</v>
      </c>
      <c r="U3635" s="6"/>
      <c r="V3635" s="33" t="s">
        <v>35</v>
      </c>
    </row>
    <row r="3636" spans="2:22" ht="22.95" customHeight="1" outlineLevel="4" x14ac:dyDescent="0.2">
      <c r="B3636" s="82" t="s">
        <v>11381</v>
      </c>
      <c r="C3636" s="82"/>
      <c r="D3636" s="82"/>
      <c r="L3636">
        <v>0</v>
      </c>
    </row>
    <row r="3637" spans="2:22" ht="21" customHeight="1" outlineLevel="5" x14ac:dyDescent="0.2">
      <c r="B3637" s="71">
        <v>2699</v>
      </c>
      <c r="C3637" s="37" t="s">
        <v>11382</v>
      </c>
      <c r="D3637" s="37" t="s">
        <v>11383</v>
      </c>
      <c r="E3637" s="38" t="s">
        <v>11384</v>
      </c>
      <c r="F3637" s="39"/>
      <c r="G3637" s="40"/>
      <c r="H3637" s="41">
        <v>30</v>
      </c>
      <c r="I3637" s="41">
        <v>5</v>
      </c>
      <c r="J3637" s="41">
        <v>445</v>
      </c>
      <c r="K3637" s="36">
        <v>30</v>
      </c>
      <c r="L3637" s="42">
        <f>(98.35*(1-O3/100))/0.75</f>
        <v>131.13333333333333</v>
      </c>
      <c r="M3637" s="12"/>
      <c r="N3637" s="40">
        <f>L3637*M3637</f>
        <v>0</v>
      </c>
      <c r="O3637" s="48">
        <f>0.34*M3637</f>
        <v>0</v>
      </c>
      <c r="P3637" s="47">
        <f>0.00057*M3637</f>
        <v>0</v>
      </c>
      <c r="Q3637" s="44"/>
      <c r="R3637" s="45" t="s">
        <v>11385</v>
      </c>
      <c r="S3637" s="45" t="s">
        <v>93</v>
      </c>
      <c r="T3637" s="37" t="str">
        <f>HYPERLINK("https://kanzpp.ru/api/getInfo/image/a3e6a179-6797-11f0-a283-00155d82e908")</f>
        <v>https://kanzpp.ru/api/getInfo/image/a3e6a179-6797-11f0-a283-00155d82e908</v>
      </c>
      <c r="U3637" s="37"/>
    </row>
    <row r="3638" spans="2:22" ht="21" customHeight="1" outlineLevel="5" x14ac:dyDescent="0.2">
      <c r="B3638" s="71">
        <v>2700</v>
      </c>
      <c r="C3638" s="37" t="s">
        <v>11386</v>
      </c>
      <c r="D3638" s="37" t="s">
        <v>11387</v>
      </c>
      <c r="E3638" s="38" t="s">
        <v>11388</v>
      </c>
      <c r="F3638" s="39"/>
      <c r="G3638" s="40"/>
      <c r="H3638" s="41">
        <v>30</v>
      </c>
      <c r="I3638" s="41">
        <v>5</v>
      </c>
      <c r="J3638" s="41">
        <v>290</v>
      </c>
      <c r="K3638" s="36">
        <v>30</v>
      </c>
      <c r="L3638" s="42">
        <f>(98.35*(1-O3/100))/0.75</f>
        <v>131.13333333333333</v>
      </c>
      <c r="M3638" s="12"/>
      <c r="N3638" s="40">
        <f>L3638*M3638</f>
        <v>0</v>
      </c>
      <c r="O3638" s="43">
        <f>0.337*M3638</f>
        <v>0</v>
      </c>
      <c r="P3638" s="47">
        <f>0.00057*M3638</f>
        <v>0</v>
      </c>
      <c r="Q3638" s="44"/>
      <c r="R3638" s="45" t="s">
        <v>11389</v>
      </c>
      <c r="S3638" s="45" t="s">
        <v>93</v>
      </c>
      <c r="T3638" s="37" t="str">
        <f>HYPERLINK("https://kanzpp.ru/api/getInfo/image/5a1838e0-6798-11f0-a283-00155d82e908")</f>
        <v>https://kanzpp.ru/api/getInfo/image/5a1838e0-6798-11f0-a283-00155d82e908</v>
      </c>
      <c r="U3638" s="37"/>
    </row>
    <row r="3639" spans="2:22" ht="21" customHeight="1" outlineLevel="5" x14ac:dyDescent="0.2">
      <c r="B3639" s="69">
        <v>2701</v>
      </c>
      <c r="C3639" s="6" t="s">
        <v>11390</v>
      </c>
      <c r="D3639" s="6" t="s">
        <v>11391</v>
      </c>
      <c r="E3639" s="7" t="s">
        <v>11392</v>
      </c>
      <c r="F3639" s="13"/>
      <c r="G3639" s="14"/>
      <c r="H3639" s="15">
        <v>30</v>
      </c>
      <c r="I3639" s="15">
        <v>5</v>
      </c>
      <c r="J3639" s="15">
        <v>555</v>
      </c>
      <c r="K3639" s="5">
        <v>30</v>
      </c>
      <c r="L3639" s="16">
        <v>79.86666666666666</v>
      </c>
      <c r="M3639" s="12"/>
      <c r="N3639" s="14">
        <f>L3639*M3639</f>
        <v>0</v>
      </c>
      <c r="O3639" s="23">
        <f>0.335*M3639</f>
        <v>0</v>
      </c>
      <c r="P3639" s="24">
        <f>0.00064*M3639</f>
        <v>0</v>
      </c>
      <c r="Q3639" s="25"/>
      <c r="R3639" s="26" t="s">
        <v>11393</v>
      </c>
      <c r="S3639" s="26" t="s">
        <v>93</v>
      </c>
      <c r="T3639" s="6" t="str">
        <f>HYPERLINK("https://kanzpp.ru/api/getInfo/image/3d3ef7a0-53d0-11ee-a244-00155d82e902")</f>
        <v>https://kanzpp.ru/api/getInfo/image/3d3ef7a0-53d0-11ee-a244-00155d82e902</v>
      </c>
      <c r="U3639" s="6"/>
      <c r="V3639" s="33" t="s">
        <v>35</v>
      </c>
    </row>
    <row r="3640" spans="2:22" ht="22.95" customHeight="1" outlineLevel="4" x14ac:dyDescent="0.2">
      <c r="B3640" s="82" t="s">
        <v>11394</v>
      </c>
      <c r="C3640" s="82"/>
      <c r="D3640" s="82"/>
      <c r="L3640">
        <v>0</v>
      </c>
    </row>
    <row r="3641" spans="2:22" ht="22.95" customHeight="1" outlineLevel="5" x14ac:dyDescent="0.2">
      <c r="B3641" s="83" t="s">
        <v>11395</v>
      </c>
      <c r="C3641" s="83"/>
      <c r="D3641" s="83"/>
      <c r="L3641">
        <v>0</v>
      </c>
    </row>
    <row r="3642" spans="2:22" ht="21" customHeight="1" outlineLevel="6" x14ac:dyDescent="0.2">
      <c r="B3642" s="69">
        <v>2702</v>
      </c>
      <c r="C3642" s="6" t="s">
        <v>11396</v>
      </c>
      <c r="D3642" s="6" t="s">
        <v>11397</v>
      </c>
      <c r="E3642" s="7" t="s">
        <v>11398</v>
      </c>
      <c r="F3642" s="13"/>
      <c r="G3642" s="14"/>
      <c r="H3642" s="15">
        <v>30</v>
      </c>
      <c r="I3642" s="15">
        <v>5</v>
      </c>
      <c r="J3642" s="15">
        <v>875</v>
      </c>
      <c r="K3642" s="5">
        <v>30</v>
      </c>
      <c r="L3642" s="16">
        <v>114.34666666666668</v>
      </c>
      <c r="M3642" s="12"/>
      <c r="N3642" s="14">
        <f>L3642*M3642</f>
        <v>0</v>
      </c>
      <c r="O3642" s="23">
        <f>0.337*M3642</f>
        <v>0</v>
      </c>
      <c r="P3642" s="24">
        <f>0.00057*M3642</f>
        <v>0</v>
      </c>
      <c r="Q3642" s="25"/>
      <c r="R3642" s="26" t="s">
        <v>11399</v>
      </c>
      <c r="S3642" s="26" t="s">
        <v>93</v>
      </c>
      <c r="T3642" s="6" t="str">
        <f>HYPERLINK("https://kanzpp.ru/api/getInfo/image/b3a883e1-678a-11f0-a283-00155d82e908")</f>
        <v>https://kanzpp.ru/api/getInfo/image/b3a883e1-678a-11f0-a283-00155d82e908</v>
      </c>
      <c r="U3642" s="6"/>
      <c r="V3642" s="33" t="s">
        <v>35</v>
      </c>
    </row>
    <row r="3643" spans="2:22" ht="22.95" customHeight="1" outlineLevel="5" x14ac:dyDescent="0.2">
      <c r="B3643" s="83" t="s">
        <v>11400</v>
      </c>
      <c r="C3643" s="83"/>
      <c r="D3643" s="83"/>
      <c r="L3643">
        <v>0</v>
      </c>
    </row>
    <row r="3644" spans="2:22" ht="22.95" customHeight="1" outlineLevel="6" x14ac:dyDescent="0.2">
      <c r="B3644" s="84" t="s">
        <v>11401</v>
      </c>
      <c r="C3644" s="84"/>
      <c r="D3644" s="84"/>
      <c r="L3644">
        <v>0</v>
      </c>
    </row>
    <row r="3645" spans="2:22" ht="21" customHeight="1" outlineLevel="7" x14ac:dyDescent="0.2">
      <c r="B3645" s="69">
        <v>2703</v>
      </c>
      <c r="C3645" s="6" t="s">
        <v>11402</v>
      </c>
      <c r="D3645" s="6" t="s">
        <v>11403</v>
      </c>
      <c r="E3645" s="7" t="s">
        <v>11404</v>
      </c>
      <c r="F3645" s="13"/>
      <c r="G3645" s="14"/>
      <c r="H3645" s="15">
        <v>30</v>
      </c>
      <c r="I3645" s="15">
        <v>5</v>
      </c>
      <c r="J3645" s="14" t="s">
        <v>144</v>
      </c>
      <c r="K3645" s="5">
        <v>30</v>
      </c>
      <c r="L3645" s="16">
        <v>86.666666666666671</v>
      </c>
      <c r="M3645" s="12"/>
      <c r="N3645" s="14">
        <f>L3645*M3645</f>
        <v>0</v>
      </c>
      <c r="O3645" s="23">
        <f>0.349*M3645</f>
        <v>0</v>
      </c>
      <c r="P3645" s="24">
        <f>0.00063*M3645</f>
        <v>0</v>
      </c>
      <c r="Q3645" s="25"/>
      <c r="R3645" s="26" t="s">
        <v>11405</v>
      </c>
      <c r="S3645" s="26" t="s">
        <v>93</v>
      </c>
      <c r="T3645" s="6" t="str">
        <f>HYPERLINK("https://kanzpp.ru/api/getInfo/image/9fe8f092-19d5-11ef-a25d-00155d82e908")</f>
        <v>https://kanzpp.ru/api/getInfo/image/9fe8f092-19d5-11ef-a25d-00155d82e908</v>
      </c>
      <c r="U3645" s="6"/>
      <c r="V3645" s="33" t="s">
        <v>35</v>
      </c>
    </row>
    <row r="3646" spans="2:22" ht="21" customHeight="1" outlineLevel="7" x14ac:dyDescent="0.2">
      <c r="B3646" s="69">
        <v>2704</v>
      </c>
      <c r="C3646" s="6" t="s">
        <v>11406</v>
      </c>
      <c r="D3646" s="6" t="s">
        <v>11407</v>
      </c>
      <c r="E3646" s="7" t="s">
        <v>11408</v>
      </c>
      <c r="F3646" s="13"/>
      <c r="G3646" s="14"/>
      <c r="H3646" s="15">
        <v>30</v>
      </c>
      <c r="I3646" s="15">
        <v>5</v>
      </c>
      <c r="J3646" s="14" t="s">
        <v>144</v>
      </c>
      <c r="K3646" s="5">
        <v>30</v>
      </c>
      <c r="L3646" s="16">
        <v>86.666666666666671</v>
      </c>
      <c r="M3646" s="12"/>
      <c r="N3646" s="14">
        <f>L3646*M3646</f>
        <v>0</v>
      </c>
      <c r="O3646" s="23">
        <f>0.344*M3646</f>
        <v>0</v>
      </c>
      <c r="P3646" s="24">
        <f>0.00075*M3646</f>
        <v>0</v>
      </c>
      <c r="Q3646" s="25"/>
      <c r="R3646" s="26" t="s">
        <v>11409</v>
      </c>
      <c r="S3646" s="26" t="s">
        <v>93</v>
      </c>
      <c r="T3646" s="6" t="str">
        <f>HYPERLINK("https://kanzpp.ru/api/getInfo/image/c290a787-19d5-11ef-a25d-00155d82e908")</f>
        <v>https://kanzpp.ru/api/getInfo/image/c290a787-19d5-11ef-a25d-00155d82e908</v>
      </c>
      <c r="U3646" s="6"/>
      <c r="V3646" s="33" t="s">
        <v>35</v>
      </c>
    </row>
    <row r="3647" spans="2:22" ht="21" customHeight="1" outlineLevel="7" x14ac:dyDescent="0.2">
      <c r="B3647" s="69">
        <v>2705</v>
      </c>
      <c r="C3647" s="6" t="s">
        <v>11410</v>
      </c>
      <c r="D3647" s="6" t="s">
        <v>11411</v>
      </c>
      <c r="E3647" s="7" t="s">
        <v>11412</v>
      </c>
      <c r="F3647" s="13"/>
      <c r="G3647" s="14"/>
      <c r="H3647" s="15">
        <v>30</v>
      </c>
      <c r="I3647" s="15">
        <v>5</v>
      </c>
      <c r="J3647" s="17">
        <v>1404</v>
      </c>
      <c r="K3647" s="5">
        <v>30</v>
      </c>
      <c r="L3647" s="16">
        <v>86.666666666666671</v>
      </c>
      <c r="M3647" s="12"/>
      <c r="N3647" s="14">
        <f>L3647*M3647</f>
        <v>0</v>
      </c>
      <c r="O3647" s="23">
        <f>0.346*M3647</f>
        <v>0</v>
      </c>
      <c r="P3647" s="24">
        <f>0.00058*M3647</f>
        <v>0</v>
      </c>
      <c r="Q3647" s="25"/>
      <c r="R3647" s="26" t="s">
        <v>11413</v>
      </c>
      <c r="S3647" s="26" t="s">
        <v>93</v>
      </c>
      <c r="T3647" s="6" t="str">
        <f>HYPERLINK("https://kanzpp.ru/api/getInfo/image/de9209f5-19d5-11ef-a25d-00155d82e908")</f>
        <v>https://kanzpp.ru/api/getInfo/image/de9209f5-19d5-11ef-a25d-00155d82e908</v>
      </c>
      <c r="U3647" s="6"/>
      <c r="V3647" s="33" t="s">
        <v>35</v>
      </c>
    </row>
    <row r="3648" spans="2:22" ht="22.95" customHeight="1" outlineLevel="6" x14ac:dyDescent="0.2">
      <c r="B3648" s="84" t="s">
        <v>11414</v>
      </c>
      <c r="C3648" s="84"/>
      <c r="D3648" s="84"/>
      <c r="L3648">
        <v>0</v>
      </c>
    </row>
    <row r="3649" spans="2:22" ht="21" customHeight="1" outlineLevel="7" x14ac:dyDescent="0.2">
      <c r="B3649" s="69">
        <v>2706</v>
      </c>
      <c r="C3649" s="6" t="s">
        <v>11415</v>
      </c>
      <c r="D3649" s="6" t="s">
        <v>11416</v>
      </c>
      <c r="E3649" s="7" t="s">
        <v>11417</v>
      </c>
      <c r="F3649" s="13"/>
      <c r="G3649" s="14"/>
      <c r="H3649" s="15">
        <v>30</v>
      </c>
      <c r="I3649" s="15">
        <v>5</v>
      </c>
      <c r="J3649" s="14" t="s">
        <v>144</v>
      </c>
      <c r="K3649" s="5">
        <v>30</v>
      </c>
      <c r="L3649" s="16">
        <v>86.666666666666671</v>
      </c>
      <c r="M3649" s="12"/>
      <c r="N3649" s="14">
        <f>L3649*M3649</f>
        <v>0</v>
      </c>
      <c r="O3649" s="23">
        <f>0.336*M3649</f>
        <v>0</v>
      </c>
      <c r="P3649" s="24">
        <f>0.00052*M3649</f>
        <v>0</v>
      </c>
      <c r="Q3649" s="25"/>
      <c r="R3649" s="26" t="s">
        <v>11418</v>
      </c>
      <c r="S3649" s="26" t="s">
        <v>93</v>
      </c>
      <c r="T3649" s="6" t="str">
        <f>HYPERLINK("https://kanzpp.ru/api/getInfo/image/eaea4992-19d4-11ef-a25d-00155d82e908")</f>
        <v>https://kanzpp.ru/api/getInfo/image/eaea4992-19d4-11ef-a25d-00155d82e908</v>
      </c>
      <c r="U3649" s="6"/>
      <c r="V3649" s="33" t="s">
        <v>35</v>
      </c>
    </row>
    <row r="3650" spans="2:22" ht="21" customHeight="1" outlineLevel="7" x14ac:dyDescent="0.2">
      <c r="B3650" s="69">
        <v>2707</v>
      </c>
      <c r="C3650" s="6" t="s">
        <v>11419</v>
      </c>
      <c r="D3650" s="6" t="s">
        <v>11420</v>
      </c>
      <c r="E3650" s="7" t="s">
        <v>11421</v>
      </c>
      <c r="F3650" s="13"/>
      <c r="G3650" s="14"/>
      <c r="H3650" s="15">
        <v>30</v>
      </c>
      <c r="I3650" s="15">
        <v>5</v>
      </c>
      <c r="J3650" s="15">
        <v>930</v>
      </c>
      <c r="K3650" s="5">
        <v>30</v>
      </c>
      <c r="L3650" s="16">
        <v>86.666666666666671</v>
      </c>
      <c r="M3650" s="12"/>
      <c r="N3650" s="14">
        <f>L3650*M3650</f>
        <v>0</v>
      </c>
      <c r="O3650" s="23">
        <f>0.346*M3650</f>
        <v>0</v>
      </c>
      <c r="P3650" s="24">
        <f>0.00058*M3650</f>
        <v>0</v>
      </c>
      <c r="Q3650" s="25"/>
      <c r="R3650" s="26" t="s">
        <v>11422</v>
      </c>
      <c r="S3650" s="26" t="s">
        <v>93</v>
      </c>
      <c r="T3650" s="6" t="str">
        <f>HYPERLINK("https://kanzpp.ru/api/getInfo/image/b41b43b1-19d4-11ef-a25d-00155d82e908")</f>
        <v>https://kanzpp.ru/api/getInfo/image/b41b43b1-19d4-11ef-a25d-00155d82e908</v>
      </c>
      <c r="U3650" s="6"/>
      <c r="V3650" s="33" t="s">
        <v>35</v>
      </c>
    </row>
    <row r="3651" spans="2:22" ht="21" customHeight="1" outlineLevel="7" x14ac:dyDescent="0.2">
      <c r="B3651" s="69">
        <v>2708</v>
      </c>
      <c r="C3651" s="6" t="s">
        <v>11423</v>
      </c>
      <c r="D3651" s="6" t="s">
        <v>11424</v>
      </c>
      <c r="E3651" s="7" t="s">
        <v>11425</v>
      </c>
      <c r="F3651" s="13"/>
      <c r="G3651" s="14"/>
      <c r="H3651" s="15">
        <v>30</v>
      </c>
      <c r="I3651" s="15">
        <v>5</v>
      </c>
      <c r="J3651" s="15">
        <v>580</v>
      </c>
      <c r="K3651" s="5">
        <v>30</v>
      </c>
      <c r="L3651" s="16">
        <v>86.666666666666671</v>
      </c>
      <c r="M3651" s="12"/>
      <c r="N3651" s="14">
        <f>L3651*M3651</f>
        <v>0</v>
      </c>
      <c r="O3651" s="23">
        <f>0.346*M3651</f>
        <v>0</v>
      </c>
      <c r="P3651" s="24">
        <f>0.00052*M3651</f>
        <v>0</v>
      </c>
      <c r="Q3651" s="25"/>
      <c r="R3651" s="26" t="s">
        <v>11426</v>
      </c>
      <c r="S3651" s="26" t="s">
        <v>93</v>
      </c>
      <c r="T3651" s="6" t="str">
        <f>HYPERLINK("https://kanzpp.ru/api/getInfo/image/c9f701e0-19d4-11ef-a25d-00155d82e908")</f>
        <v>https://kanzpp.ru/api/getInfo/image/c9f701e0-19d4-11ef-a25d-00155d82e908</v>
      </c>
      <c r="U3651" s="6"/>
      <c r="V3651" s="33" t="s">
        <v>35</v>
      </c>
    </row>
    <row r="3652" spans="2:22" ht="21" customHeight="1" outlineLevel="7" x14ac:dyDescent="0.2">
      <c r="B3652" s="69">
        <v>2709</v>
      </c>
      <c r="C3652" s="6" t="s">
        <v>11427</v>
      </c>
      <c r="D3652" s="6" t="s">
        <v>11428</v>
      </c>
      <c r="E3652" s="7" t="s">
        <v>11429</v>
      </c>
      <c r="F3652" s="13"/>
      <c r="G3652" s="14"/>
      <c r="H3652" s="15">
        <v>30</v>
      </c>
      <c r="I3652" s="15">
        <v>5</v>
      </c>
      <c r="J3652" s="17">
        <v>2464</v>
      </c>
      <c r="K3652" s="5">
        <v>30</v>
      </c>
      <c r="L3652" s="16">
        <v>86.666666666666671</v>
      </c>
      <c r="M3652" s="12"/>
      <c r="N3652" s="14">
        <f>L3652*M3652</f>
        <v>0</v>
      </c>
      <c r="O3652" s="23">
        <f>0.344*M3652</f>
        <v>0</v>
      </c>
      <c r="P3652" s="24">
        <f>0.00058*M3652</f>
        <v>0</v>
      </c>
      <c r="Q3652" s="25"/>
      <c r="R3652" s="26" t="s">
        <v>11430</v>
      </c>
      <c r="S3652" s="26" t="s">
        <v>93</v>
      </c>
      <c r="T3652" s="6" t="str">
        <f>HYPERLINK("https://kanzpp.ru/api/getInfo/image/76a1273c-19d4-11ef-a25d-00155d82e908")</f>
        <v>https://kanzpp.ru/api/getInfo/image/76a1273c-19d4-11ef-a25d-00155d82e908</v>
      </c>
      <c r="U3652" s="6"/>
      <c r="V3652" s="33" t="s">
        <v>35</v>
      </c>
    </row>
    <row r="3653" spans="2:22" ht="22.95" customHeight="1" outlineLevel="5" x14ac:dyDescent="0.2">
      <c r="B3653" s="83" t="s">
        <v>11431</v>
      </c>
      <c r="C3653" s="83"/>
      <c r="D3653" s="83"/>
      <c r="L3653">
        <v>0</v>
      </c>
    </row>
    <row r="3654" spans="2:22" ht="21" customHeight="1" outlineLevel="6" x14ac:dyDescent="0.2">
      <c r="B3654" s="71">
        <v>2710</v>
      </c>
      <c r="C3654" s="37" t="s">
        <v>11432</v>
      </c>
      <c r="D3654" s="37" t="s">
        <v>11433</v>
      </c>
      <c r="E3654" s="38" t="s">
        <v>11434</v>
      </c>
      <c r="F3654" s="39"/>
      <c r="G3654" s="40"/>
      <c r="H3654" s="41">
        <v>30</v>
      </c>
      <c r="I3654" s="41">
        <v>5</v>
      </c>
      <c r="J3654" s="41">
        <v>240</v>
      </c>
      <c r="K3654" s="36">
        <v>30</v>
      </c>
      <c r="L3654" s="42">
        <f>(115.05*(1-O3/100))/0.75</f>
        <v>153.4</v>
      </c>
      <c r="M3654" s="12"/>
      <c r="N3654" s="40">
        <f>L3654*M3654</f>
        <v>0</v>
      </c>
      <c r="O3654" s="43">
        <f>0.341*M3654</f>
        <v>0</v>
      </c>
      <c r="P3654" s="47">
        <f>0.00074*M3654</f>
        <v>0</v>
      </c>
      <c r="Q3654" s="44"/>
      <c r="R3654" s="45" t="s">
        <v>11435</v>
      </c>
      <c r="S3654" s="45" t="s">
        <v>93</v>
      </c>
      <c r="T3654" s="37" t="str">
        <f>HYPERLINK("https://kanzpp.ru/api/getInfo/image/9b9cc0f2-53ce-11ee-a244-00155d82e902")</f>
        <v>https://kanzpp.ru/api/getInfo/image/9b9cc0f2-53ce-11ee-a244-00155d82e902</v>
      </c>
      <c r="U3654" s="37"/>
    </row>
    <row r="3655" spans="2:22" ht="21" customHeight="1" outlineLevel="6" x14ac:dyDescent="0.2">
      <c r="B3655" s="71">
        <v>2711</v>
      </c>
      <c r="C3655" s="37" t="s">
        <v>11436</v>
      </c>
      <c r="D3655" s="37" t="s">
        <v>11437</v>
      </c>
      <c r="E3655" s="38" t="s">
        <v>11438</v>
      </c>
      <c r="F3655" s="39"/>
      <c r="G3655" s="40"/>
      <c r="H3655" s="41">
        <v>30</v>
      </c>
      <c r="I3655" s="41">
        <v>3</v>
      </c>
      <c r="J3655" s="50">
        <v>2607</v>
      </c>
      <c r="K3655" s="36">
        <v>30</v>
      </c>
      <c r="L3655" s="42">
        <f>(115.05*(1-O3/100))/0.75</f>
        <v>153.4</v>
      </c>
      <c r="M3655" s="12"/>
      <c r="N3655" s="40">
        <f>L3655*M3655</f>
        <v>0</v>
      </c>
      <c r="O3655" s="48">
        <f>0.34*M3655</f>
        <v>0</v>
      </c>
      <c r="P3655" s="47">
        <f>0.00052*M3655</f>
        <v>0</v>
      </c>
      <c r="Q3655" s="44"/>
      <c r="R3655" s="45" t="s">
        <v>11439</v>
      </c>
      <c r="S3655" s="45" t="s">
        <v>93</v>
      </c>
      <c r="T3655" s="37" t="str">
        <f>HYPERLINK("https://kanzpp.ru/api/getInfo/image/6219169d-9c2d-11ef-a267-00155d82e908")</f>
        <v>https://kanzpp.ru/api/getInfo/image/6219169d-9c2d-11ef-a267-00155d82e908</v>
      </c>
      <c r="U3655" s="37"/>
    </row>
    <row r="3656" spans="2:22" ht="21" customHeight="1" outlineLevel="6" x14ac:dyDescent="0.2">
      <c r="B3656" s="71">
        <v>2712</v>
      </c>
      <c r="C3656" s="37" t="s">
        <v>11440</v>
      </c>
      <c r="D3656" s="37" t="s">
        <v>11441</v>
      </c>
      <c r="E3656" s="38" t="s">
        <v>11442</v>
      </c>
      <c r="F3656" s="39"/>
      <c r="G3656" s="40"/>
      <c r="H3656" s="41">
        <v>30</v>
      </c>
      <c r="I3656" s="41">
        <v>3</v>
      </c>
      <c r="J3656" s="50">
        <v>2424</v>
      </c>
      <c r="K3656" s="36">
        <v>30</v>
      </c>
      <c r="L3656" s="42">
        <f>(115.05*(1-O3/100))/0.75</f>
        <v>153.4</v>
      </c>
      <c r="M3656" s="12"/>
      <c r="N3656" s="40">
        <f>L3656*M3656</f>
        <v>0</v>
      </c>
      <c r="O3656" s="43">
        <f>0.203*M3656</f>
        <v>0</v>
      </c>
      <c r="P3656" s="47">
        <f>0.00034*M3656</f>
        <v>0</v>
      </c>
      <c r="Q3656" s="44"/>
      <c r="R3656" s="45" t="s">
        <v>11443</v>
      </c>
      <c r="S3656" s="45" t="s">
        <v>93</v>
      </c>
      <c r="T3656" s="37" t="str">
        <f>HYPERLINK("https://kanzpp.ru/api/getInfo/image/d05758a3-8170-11f0-a284-00155d82e908")</f>
        <v>https://kanzpp.ru/api/getInfo/image/d05758a3-8170-11f0-a284-00155d82e908</v>
      </c>
      <c r="U3656" s="37"/>
    </row>
    <row r="3657" spans="2:22" ht="21" customHeight="1" outlineLevel="6" x14ac:dyDescent="0.2">
      <c r="B3657" s="71">
        <v>2713</v>
      </c>
      <c r="C3657" s="37" t="s">
        <v>11444</v>
      </c>
      <c r="D3657" s="37" t="s">
        <v>11445</v>
      </c>
      <c r="E3657" s="38" t="s">
        <v>11446</v>
      </c>
      <c r="F3657" s="39"/>
      <c r="G3657" s="40"/>
      <c r="H3657" s="41">
        <v>30</v>
      </c>
      <c r="I3657" s="41">
        <v>3</v>
      </c>
      <c r="J3657" s="41">
        <v>54</v>
      </c>
      <c r="K3657" s="36">
        <v>30</v>
      </c>
      <c r="L3657" s="42">
        <f>(115.05*(1-O3/100))/0.75</f>
        <v>153.4</v>
      </c>
      <c r="M3657" s="12"/>
      <c r="N3657" s="40">
        <f>L3657*M3657</f>
        <v>0</v>
      </c>
      <c r="O3657" s="43">
        <f>0.345*M3657</f>
        <v>0</v>
      </c>
      <c r="P3657" s="47">
        <f>0.00058*M3657</f>
        <v>0</v>
      </c>
      <c r="Q3657" s="44"/>
      <c r="R3657" s="45" t="s">
        <v>11447</v>
      </c>
      <c r="S3657" s="45" t="s">
        <v>93</v>
      </c>
      <c r="T3657" s="37" t="str">
        <f>HYPERLINK("https://kanzpp.ru/api/getInfo/image/3f7b7d74-9c2d-11ef-a267-00155d82e908")</f>
        <v>https://kanzpp.ru/api/getInfo/image/3f7b7d74-9c2d-11ef-a267-00155d82e908</v>
      </c>
      <c r="U3657" s="37"/>
    </row>
    <row r="3658" spans="2:22" ht="22.95" customHeight="1" outlineLevel="5" x14ac:dyDescent="0.2">
      <c r="B3658" s="83" t="s">
        <v>11448</v>
      </c>
      <c r="C3658" s="83"/>
      <c r="D3658" s="83"/>
      <c r="L3658">
        <v>0</v>
      </c>
    </row>
    <row r="3659" spans="2:22" ht="21" customHeight="1" outlineLevel="6" x14ac:dyDescent="0.2">
      <c r="B3659" s="71">
        <v>2714</v>
      </c>
      <c r="C3659" s="37" t="s">
        <v>11449</v>
      </c>
      <c r="D3659" s="37" t="s">
        <v>11450</v>
      </c>
      <c r="E3659" s="38" t="s">
        <v>11451</v>
      </c>
      <c r="F3659" s="39"/>
      <c r="G3659" s="40"/>
      <c r="H3659" s="41">
        <v>30</v>
      </c>
      <c r="I3659" s="41">
        <v>3</v>
      </c>
      <c r="J3659" s="41">
        <v>209</v>
      </c>
      <c r="K3659" s="36">
        <v>30</v>
      </c>
      <c r="L3659" s="42">
        <f>(115.05*(1-O3/100))/0.75</f>
        <v>153.4</v>
      </c>
      <c r="M3659" s="12"/>
      <c r="N3659" s="40">
        <f>L3659*M3659</f>
        <v>0</v>
      </c>
      <c r="O3659" s="43">
        <f>0.336*M3659</f>
        <v>0</v>
      </c>
      <c r="P3659" s="47">
        <f>0.00071*M3659</f>
        <v>0</v>
      </c>
      <c r="Q3659" s="44"/>
      <c r="R3659" s="45" t="s">
        <v>11452</v>
      </c>
      <c r="S3659" s="45" t="s">
        <v>93</v>
      </c>
      <c r="T3659" s="37" t="str">
        <f>HYPERLINK("https://kanzpp.ru/api/getInfo/image/99143d9c-bbd7-11f0-a288-00155d82e908")</f>
        <v>https://kanzpp.ru/api/getInfo/image/99143d9c-bbd7-11f0-a288-00155d82e908</v>
      </c>
      <c r="U3659" s="37"/>
    </row>
    <row r="3660" spans="2:22" ht="21" customHeight="1" outlineLevel="6" x14ac:dyDescent="0.2">
      <c r="B3660" s="71">
        <v>2715</v>
      </c>
      <c r="C3660" s="37" t="s">
        <v>11453</v>
      </c>
      <c r="D3660" s="37" t="s">
        <v>11454</v>
      </c>
      <c r="E3660" s="38" t="s">
        <v>11455</v>
      </c>
      <c r="F3660" s="39"/>
      <c r="G3660" s="40"/>
      <c r="H3660" s="41">
        <v>30</v>
      </c>
      <c r="I3660" s="41">
        <v>3</v>
      </c>
      <c r="J3660" s="50">
        <v>2123</v>
      </c>
      <c r="K3660" s="36">
        <v>30</v>
      </c>
      <c r="L3660" s="42">
        <f>(115.05*(1-O3/100))/0.75</f>
        <v>153.4</v>
      </c>
      <c r="M3660" s="12"/>
      <c r="N3660" s="40">
        <f>L3660*M3660</f>
        <v>0</v>
      </c>
      <c r="O3660" s="43">
        <f>0.337*M3660</f>
        <v>0</v>
      </c>
      <c r="P3660" s="47">
        <f>0.00065*M3660</f>
        <v>0</v>
      </c>
      <c r="Q3660" s="44"/>
      <c r="R3660" s="45" t="s">
        <v>11456</v>
      </c>
      <c r="S3660" s="45" t="s">
        <v>93</v>
      </c>
      <c r="T3660" s="37" t="str">
        <f>HYPERLINK("https://kanzpp.ru/api/getInfo/image/e18355b8-bbd7-11f0-a288-00155d82e908")</f>
        <v>https://kanzpp.ru/api/getInfo/image/e18355b8-bbd7-11f0-a288-00155d82e908</v>
      </c>
      <c r="U3660" s="37"/>
    </row>
    <row r="3661" spans="2:22" ht="22.95" customHeight="1" outlineLevel="2" x14ac:dyDescent="0.2">
      <c r="B3661" s="80" t="s">
        <v>11457</v>
      </c>
      <c r="C3661" s="80"/>
      <c r="D3661" s="80"/>
      <c r="L3661">
        <v>0</v>
      </c>
    </row>
    <row r="3662" spans="2:22" ht="22.95" customHeight="1" outlineLevel="3" x14ac:dyDescent="0.2">
      <c r="B3662" s="81" t="s">
        <v>11458</v>
      </c>
      <c r="C3662" s="81"/>
      <c r="D3662" s="81"/>
      <c r="L3662">
        <v>0</v>
      </c>
    </row>
    <row r="3663" spans="2:22" ht="22.95" customHeight="1" outlineLevel="4" x14ac:dyDescent="0.2">
      <c r="B3663" s="82" t="s">
        <v>11459</v>
      </c>
      <c r="C3663" s="82"/>
      <c r="D3663" s="82"/>
      <c r="L3663">
        <v>0</v>
      </c>
    </row>
    <row r="3664" spans="2:22" ht="22.95" customHeight="1" outlineLevel="5" x14ac:dyDescent="0.2">
      <c r="B3664" s="83" t="s">
        <v>11460</v>
      </c>
      <c r="C3664" s="83"/>
      <c r="D3664" s="83"/>
      <c r="L3664">
        <v>0</v>
      </c>
    </row>
    <row r="3665" spans="2:22" ht="21" customHeight="1" outlineLevel="6" x14ac:dyDescent="0.2">
      <c r="B3665" s="69">
        <v>2716</v>
      </c>
      <c r="C3665" s="6" t="s">
        <v>11461</v>
      </c>
      <c r="D3665" s="6" t="s">
        <v>11462</v>
      </c>
      <c r="E3665" s="7" t="s">
        <v>11463</v>
      </c>
      <c r="F3665" s="13"/>
      <c r="G3665" s="14"/>
      <c r="H3665" s="15">
        <v>250</v>
      </c>
      <c r="I3665" s="14"/>
      <c r="J3665" s="14" t="s">
        <v>144</v>
      </c>
      <c r="K3665" s="5">
        <v>250</v>
      </c>
      <c r="L3665" s="16">
        <v>10.200000000000001</v>
      </c>
      <c r="M3665" s="12"/>
      <c r="N3665" s="14">
        <f>L3665*M3665</f>
        <v>0</v>
      </c>
      <c r="O3665" s="23">
        <f>0.038*M3665</f>
        <v>0</v>
      </c>
      <c r="P3665" s="24">
        <f>0.00007*M3665</f>
        <v>0</v>
      </c>
      <c r="Q3665" s="25"/>
      <c r="R3665" s="26" t="s">
        <v>11464</v>
      </c>
      <c r="S3665" s="26" t="s">
        <v>29</v>
      </c>
      <c r="T3665" s="6" t="str">
        <f>HYPERLINK("https://kanzpp.ru/api/getInfo/image/1c197a4f-976e-11e5-b0ae-5cf3fc4a2490")</f>
        <v>https://kanzpp.ru/api/getInfo/image/1c197a4f-976e-11e5-b0ae-5cf3fc4a2490</v>
      </c>
      <c r="U3665" s="6"/>
      <c r="V3665" s="33" t="s">
        <v>35</v>
      </c>
    </row>
    <row r="3666" spans="2:22" ht="22.95" customHeight="1" outlineLevel="5" x14ac:dyDescent="0.2">
      <c r="B3666" s="83" t="s">
        <v>11465</v>
      </c>
      <c r="C3666" s="83"/>
      <c r="D3666" s="83"/>
      <c r="L3666">
        <v>0</v>
      </c>
    </row>
    <row r="3667" spans="2:22" ht="21" customHeight="1" outlineLevel="6" x14ac:dyDescent="0.2">
      <c r="B3667" s="71">
        <v>2717</v>
      </c>
      <c r="C3667" s="37" t="s">
        <v>11466</v>
      </c>
      <c r="D3667" s="37" t="s">
        <v>11467</v>
      </c>
      <c r="E3667" s="38" t="s">
        <v>11468</v>
      </c>
      <c r="F3667" s="39"/>
      <c r="G3667" s="40"/>
      <c r="H3667" s="41">
        <v>160</v>
      </c>
      <c r="I3667" s="41">
        <v>20</v>
      </c>
      <c r="J3667" s="50">
        <v>10887</v>
      </c>
      <c r="K3667" s="36">
        <v>160</v>
      </c>
      <c r="L3667" s="42">
        <f>(13.2*(1-O3/100))/0.75</f>
        <v>17.599999999999998</v>
      </c>
      <c r="M3667" s="12"/>
      <c r="N3667" s="40">
        <f>L3667*M3667</f>
        <v>0</v>
      </c>
      <c r="O3667" s="43">
        <f>0.063*M3667</f>
        <v>0</v>
      </c>
      <c r="P3667" s="47">
        <f>0.00007*M3667</f>
        <v>0</v>
      </c>
      <c r="Q3667" s="44"/>
      <c r="R3667" s="45" t="s">
        <v>11469</v>
      </c>
      <c r="S3667" s="45" t="s">
        <v>29</v>
      </c>
      <c r="T3667" s="37" t="str">
        <f>HYPERLINK("https://kanzpp.ru/api/getInfo/image/223c4a70-ed02-11e5-98ff-5cf3fc4a2490")</f>
        <v>https://kanzpp.ru/api/getInfo/image/223c4a70-ed02-11e5-98ff-5cf3fc4a2490</v>
      </c>
      <c r="U3667" s="37"/>
    </row>
    <row r="3668" spans="2:22" ht="22.95" customHeight="1" outlineLevel="4" x14ac:dyDescent="0.2">
      <c r="B3668" s="82" t="s">
        <v>11470</v>
      </c>
      <c r="C3668" s="82"/>
      <c r="D3668" s="82"/>
      <c r="L3668">
        <v>0</v>
      </c>
    </row>
    <row r="3669" spans="2:22" ht="22.95" customHeight="1" outlineLevel="5" x14ac:dyDescent="0.2">
      <c r="B3669" s="83" t="s">
        <v>11471</v>
      </c>
      <c r="C3669" s="83"/>
      <c r="D3669" s="83"/>
      <c r="L3669">
        <v>0</v>
      </c>
    </row>
    <row r="3670" spans="2:22" ht="22.95" customHeight="1" outlineLevel="6" x14ac:dyDescent="0.2">
      <c r="B3670" s="84" t="s">
        <v>11472</v>
      </c>
      <c r="C3670" s="84"/>
      <c r="D3670" s="84"/>
      <c r="L3670">
        <v>0</v>
      </c>
    </row>
    <row r="3671" spans="2:22" ht="21" customHeight="1" outlineLevel="7" x14ac:dyDescent="0.2">
      <c r="B3671" s="69">
        <v>2718</v>
      </c>
      <c r="C3671" s="6" t="s">
        <v>11473</v>
      </c>
      <c r="D3671" s="6" t="s">
        <v>11474</v>
      </c>
      <c r="E3671" s="7" t="s">
        <v>11475</v>
      </c>
      <c r="F3671" s="13"/>
      <c r="G3671" s="14"/>
      <c r="H3671" s="15">
        <v>240</v>
      </c>
      <c r="I3671" s="14"/>
      <c r="J3671" s="14" t="s">
        <v>144</v>
      </c>
      <c r="K3671" s="5">
        <v>240</v>
      </c>
      <c r="L3671" s="16">
        <v>7.8666666666666671</v>
      </c>
      <c r="M3671" s="12"/>
      <c r="N3671" s="14">
        <f t="shared" ref="N3671:N3678" si="163">L3671*M3671</f>
        <v>0</v>
      </c>
      <c r="O3671" s="23">
        <f>0.045*M3671</f>
        <v>0</v>
      </c>
      <c r="P3671" s="24">
        <f>0.00007*M3671</f>
        <v>0</v>
      </c>
      <c r="Q3671" s="25"/>
      <c r="R3671" s="26" t="s">
        <v>11476</v>
      </c>
      <c r="S3671" s="26" t="s">
        <v>29</v>
      </c>
      <c r="T3671" s="6" t="str">
        <f>HYPERLINK("https://kanzpp.ru/api/getInfo/image/33f35b82-765a-11ef-a265-00155d82e908")</f>
        <v>https://kanzpp.ru/api/getInfo/image/33f35b82-765a-11ef-a265-00155d82e908</v>
      </c>
      <c r="U3671" s="6"/>
      <c r="V3671" s="33" t="s">
        <v>35</v>
      </c>
    </row>
    <row r="3672" spans="2:22" ht="21" customHeight="1" outlineLevel="7" x14ac:dyDescent="0.2">
      <c r="B3672" s="69">
        <v>2719</v>
      </c>
      <c r="C3672" s="6" t="s">
        <v>11477</v>
      </c>
      <c r="D3672" s="6" t="s">
        <v>11478</v>
      </c>
      <c r="E3672" s="7" t="s">
        <v>11479</v>
      </c>
      <c r="F3672" s="13"/>
      <c r="G3672" s="14"/>
      <c r="H3672" s="15">
        <v>240</v>
      </c>
      <c r="I3672" s="14"/>
      <c r="J3672" s="17">
        <v>8590</v>
      </c>
      <c r="K3672" s="5">
        <v>240</v>
      </c>
      <c r="L3672" s="16">
        <v>7.8666666666666671</v>
      </c>
      <c r="M3672" s="12"/>
      <c r="N3672" s="14">
        <f t="shared" si="163"/>
        <v>0</v>
      </c>
      <c r="O3672" s="23">
        <f>0.033*M3672</f>
        <v>0</v>
      </c>
      <c r="P3672" s="24">
        <f>0.00003*M3672</f>
        <v>0</v>
      </c>
      <c r="Q3672" s="25"/>
      <c r="R3672" s="26" t="s">
        <v>11480</v>
      </c>
      <c r="S3672" s="26" t="s">
        <v>29</v>
      </c>
      <c r="T3672" s="6" t="str">
        <f>HYPERLINK("https://kanzpp.ru/api/getInfo/image/072a1827-15ef-11e7-b743-5cf3fc4a2490")</f>
        <v>https://kanzpp.ru/api/getInfo/image/072a1827-15ef-11e7-b743-5cf3fc4a2490</v>
      </c>
      <c r="U3672" s="6"/>
      <c r="V3672" s="33" t="s">
        <v>35</v>
      </c>
    </row>
    <row r="3673" spans="2:22" ht="21" customHeight="1" outlineLevel="7" x14ac:dyDescent="0.2">
      <c r="B3673" s="69">
        <v>2720</v>
      </c>
      <c r="C3673" s="6" t="s">
        <v>11481</v>
      </c>
      <c r="D3673" s="6" t="s">
        <v>11482</v>
      </c>
      <c r="E3673" s="7" t="s">
        <v>11483</v>
      </c>
      <c r="F3673" s="13"/>
      <c r="G3673" s="14"/>
      <c r="H3673" s="15">
        <v>240</v>
      </c>
      <c r="I3673" s="14"/>
      <c r="J3673" s="14" t="s">
        <v>144</v>
      </c>
      <c r="K3673" s="5">
        <v>240</v>
      </c>
      <c r="L3673" s="16">
        <v>7.8666666666666671</v>
      </c>
      <c r="M3673" s="12"/>
      <c r="N3673" s="14">
        <f t="shared" si="163"/>
        <v>0</v>
      </c>
      <c r="O3673" s="23">
        <f>0.052*M3673</f>
        <v>0</v>
      </c>
      <c r="P3673" s="24">
        <f>0.00007*M3673</f>
        <v>0</v>
      </c>
      <c r="Q3673" s="25"/>
      <c r="R3673" s="26" t="s">
        <v>11484</v>
      </c>
      <c r="S3673" s="26" t="s">
        <v>29</v>
      </c>
      <c r="T3673" s="6" t="str">
        <f>HYPERLINK("https://kanzpp.ru/api/getInfo/image/04d987a1-b8fd-11ed-a230-00155d82e902")</f>
        <v>https://kanzpp.ru/api/getInfo/image/04d987a1-b8fd-11ed-a230-00155d82e902</v>
      </c>
      <c r="U3673" s="6"/>
      <c r="V3673" s="33" t="s">
        <v>35</v>
      </c>
    </row>
    <row r="3674" spans="2:22" ht="21" customHeight="1" outlineLevel="7" x14ac:dyDescent="0.2">
      <c r="B3674" s="69">
        <v>2721</v>
      </c>
      <c r="C3674" s="6" t="s">
        <v>11485</v>
      </c>
      <c r="D3674" s="6" t="s">
        <v>11486</v>
      </c>
      <c r="E3674" s="7" t="s">
        <v>11487</v>
      </c>
      <c r="F3674" s="13"/>
      <c r="G3674" s="14"/>
      <c r="H3674" s="15">
        <v>240</v>
      </c>
      <c r="I3674" s="15">
        <v>4</v>
      </c>
      <c r="J3674" s="17">
        <v>11768</v>
      </c>
      <c r="K3674" s="5">
        <v>240</v>
      </c>
      <c r="L3674" s="16">
        <v>7.8666666666666671</v>
      </c>
      <c r="M3674" s="12"/>
      <c r="N3674" s="14">
        <f t="shared" si="163"/>
        <v>0</v>
      </c>
      <c r="O3674" s="23">
        <f>0.033*M3674</f>
        <v>0</v>
      </c>
      <c r="P3674" s="24">
        <f>0.00003*M3674</f>
        <v>0</v>
      </c>
      <c r="Q3674" s="25"/>
      <c r="R3674" s="26" t="s">
        <v>11488</v>
      </c>
      <c r="S3674" s="26" t="s">
        <v>29</v>
      </c>
      <c r="T3674" s="6" t="str">
        <f>HYPERLINK("https://kanzpp.ru/api/getInfo/image/de23e5a8-15ee-11e7-b743-5cf3fc4a2490")</f>
        <v>https://kanzpp.ru/api/getInfo/image/de23e5a8-15ee-11e7-b743-5cf3fc4a2490</v>
      </c>
      <c r="U3674" s="6"/>
      <c r="V3674" s="33" t="s">
        <v>35</v>
      </c>
    </row>
    <row r="3675" spans="2:22" ht="21" customHeight="1" outlineLevel="7" x14ac:dyDescent="0.2">
      <c r="B3675" s="69">
        <v>2722</v>
      </c>
      <c r="C3675" s="6" t="s">
        <v>11489</v>
      </c>
      <c r="D3675" s="6" t="s">
        <v>11490</v>
      </c>
      <c r="E3675" s="7" t="s">
        <v>11491</v>
      </c>
      <c r="F3675" s="13"/>
      <c r="G3675" s="14"/>
      <c r="H3675" s="15">
        <v>240</v>
      </c>
      <c r="I3675" s="14"/>
      <c r="J3675" s="14" t="s">
        <v>144</v>
      </c>
      <c r="K3675" s="5">
        <v>240</v>
      </c>
      <c r="L3675" s="16">
        <v>7.8666666666666671</v>
      </c>
      <c r="M3675" s="12"/>
      <c r="N3675" s="14">
        <f t="shared" si="163"/>
        <v>0</v>
      </c>
      <c r="O3675" s="23">
        <f>0.033*M3675</f>
        <v>0</v>
      </c>
      <c r="P3675" s="24">
        <f>0.00003*M3675</f>
        <v>0</v>
      </c>
      <c r="Q3675" s="25"/>
      <c r="R3675" s="26" t="s">
        <v>11492</v>
      </c>
      <c r="S3675" s="26" t="s">
        <v>29</v>
      </c>
      <c r="T3675" s="6" t="str">
        <f>HYPERLINK("https://kanzpp.ru/api/getInfo/image/20425f0f-0e1a-11eb-a25b-ac1f6b442184")</f>
        <v>https://kanzpp.ru/api/getInfo/image/20425f0f-0e1a-11eb-a25b-ac1f6b442184</v>
      </c>
      <c r="U3675" s="6"/>
      <c r="V3675" s="33" t="s">
        <v>35</v>
      </c>
    </row>
    <row r="3676" spans="2:22" ht="21" customHeight="1" outlineLevel="7" x14ac:dyDescent="0.2">
      <c r="B3676" s="69">
        <v>2723</v>
      </c>
      <c r="C3676" s="6" t="s">
        <v>11493</v>
      </c>
      <c r="D3676" s="6" t="s">
        <v>11494</v>
      </c>
      <c r="E3676" s="7" t="s">
        <v>11495</v>
      </c>
      <c r="F3676" s="13"/>
      <c r="G3676" s="14"/>
      <c r="H3676" s="15">
        <v>240</v>
      </c>
      <c r="I3676" s="14"/>
      <c r="J3676" s="14" t="s">
        <v>144</v>
      </c>
      <c r="K3676" s="5">
        <v>240</v>
      </c>
      <c r="L3676" s="16">
        <v>7.8666666666666671</v>
      </c>
      <c r="M3676" s="12"/>
      <c r="N3676" s="14">
        <f t="shared" si="163"/>
        <v>0</v>
      </c>
      <c r="O3676" s="23">
        <f>0.033*M3676</f>
        <v>0</v>
      </c>
      <c r="P3676" s="24">
        <f>0.00003*M3676</f>
        <v>0</v>
      </c>
      <c r="Q3676" s="25"/>
      <c r="R3676" s="26" t="s">
        <v>11496</v>
      </c>
      <c r="S3676" s="26" t="s">
        <v>29</v>
      </c>
      <c r="T3676" s="6" t="str">
        <f>HYPERLINK("https://kanzpp.ru/api/getInfo/image/cd3c02c6-0e19-11eb-a25b-ac1f6b442184")</f>
        <v>https://kanzpp.ru/api/getInfo/image/cd3c02c6-0e19-11eb-a25b-ac1f6b442184</v>
      </c>
      <c r="U3676" s="6"/>
      <c r="V3676" s="33" t="s">
        <v>35</v>
      </c>
    </row>
    <row r="3677" spans="2:22" ht="21" customHeight="1" outlineLevel="7" x14ac:dyDescent="0.2">
      <c r="B3677" s="69">
        <v>2724</v>
      </c>
      <c r="C3677" s="6" t="s">
        <v>11497</v>
      </c>
      <c r="D3677" s="6" t="s">
        <v>11498</v>
      </c>
      <c r="E3677" s="7" t="s">
        <v>11499</v>
      </c>
      <c r="F3677" s="13"/>
      <c r="G3677" s="14"/>
      <c r="H3677" s="15">
        <v>240</v>
      </c>
      <c r="I3677" s="14"/>
      <c r="J3677" s="17">
        <v>17031</v>
      </c>
      <c r="K3677" s="5">
        <v>240</v>
      </c>
      <c r="L3677" s="16">
        <v>7.8666666666666671</v>
      </c>
      <c r="M3677" s="12"/>
      <c r="N3677" s="14">
        <f t="shared" si="163"/>
        <v>0</v>
      </c>
      <c r="O3677" s="23">
        <f>0.033*M3677</f>
        <v>0</v>
      </c>
      <c r="P3677" s="24">
        <f>0.00003*M3677</f>
        <v>0</v>
      </c>
      <c r="Q3677" s="25"/>
      <c r="R3677" s="26" t="s">
        <v>11500</v>
      </c>
      <c r="S3677" s="26" t="s">
        <v>29</v>
      </c>
      <c r="T3677" s="6" t="str">
        <f>HYPERLINK("https://kanzpp.ru/api/getInfo/image/6e96009c-0e17-11eb-a25b-ac1f6b442184")</f>
        <v>https://kanzpp.ru/api/getInfo/image/6e96009c-0e17-11eb-a25b-ac1f6b442184</v>
      </c>
      <c r="U3677" s="6"/>
      <c r="V3677" s="33" t="s">
        <v>35</v>
      </c>
    </row>
    <row r="3678" spans="2:22" ht="21" customHeight="1" outlineLevel="7" x14ac:dyDescent="0.2">
      <c r="B3678" s="69">
        <v>2725</v>
      </c>
      <c r="C3678" s="6" t="s">
        <v>11501</v>
      </c>
      <c r="D3678" s="6" t="s">
        <v>11502</v>
      </c>
      <c r="E3678" s="7" t="s">
        <v>11503</v>
      </c>
      <c r="F3678" s="13"/>
      <c r="G3678" s="14"/>
      <c r="H3678" s="15">
        <v>240</v>
      </c>
      <c r="I3678" s="14"/>
      <c r="J3678" s="14" t="s">
        <v>144</v>
      </c>
      <c r="K3678" s="5">
        <v>240</v>
      </c>
      <c r="L3678" s="16">
        <v>7.8666666666666671</v>
      </c>
      <c r="M3678" s="12"/>
      <c r="N3678" s="14">
        <f t="shared" si="163"/>
        <v>0</v>
      </c>
      <c r="O3678" s="23">
        <f>0.034*M3678</f>
        <v>0</v>
      </c>
      <c r="P3678" s="24">
        <f>0.00014*M3678</f>
        <v>0</v>
      </c>
      <c r="Q3678" s="25"/>
      <c r="R3678" s="26" t="s">
        <v>11504</v>
      </c>
      <c r="S3678" s="26" t="s">
        <v>29</v>
      </c>
      <c r="T3678" s="6" t="str">
        <f>HYPERLINK("https://kanzpp.ru/api/getInfo/image/552ce294-0e1a-11eb-a25b-ac1f6b442184")</f>
        <v>https://kanzpp.ru/api/getInfo/image/552ce294-0e1a-11eb-a25b-ac1f6b442184</v>
      </c>
      <c r="U3678" s="6"/>
      <c r="V3678" s="33" t="s">
        <v>35</v>
      </c>
    </row>
    <row r="3679" spans="2:22" ht="22.95" customHeight="1" outlineLevel="6" x14ac:dyDescent="0.2">
      <c r="B3679" s="84" t="s">
        <v>11505</v>
      </c>
      <c r="C3679" s="84"/>
      <c r="D3679" s="84"/>
      <c r="L3679">
        <v>0</v>
      </c>
    </row>
    <row r="3680" spans="2:22" ht="21" customHeight="1" outlineLevel="7" x14ac:dyDescent="0.2">
      <c r="B3680" s="69">
        <v>2726</v>
      </c>
      <c r="C3680" s="6" t="s">
        <v>11506</v>
      </c>
      <c r="D3680" s="6" t="s">
        <v>11507</v>
      </c>
      <c r="E3680" s="7" t="s">
        <v>11508</v>
      </c>
      <c r="F3680" s="13"/>
      <c r="G3680" s="14"/>
      <c r="H3680" s="15">
        <v>240</v>
      </c>
      <c r="I3680" s="14"/>
      <c r="J3680" s="14" t="s">
        <v>144</v>
      </c>
      <c r="K3680" s="5">
        <v>240</v>
      </c>
      <c r="L3680" s="16">
        <v>5.2</v>
      </c>
      <c r="M3680" s="12"/>
      <c r="N3680" s="14">
        <f>L3680*M3680</f>
        <v>0</v>
      </c>
      <c r="O3680" s="23">
        <f>0.034*M3680</f>
        <v>0</v>
      </c>
      <c r="P3680" s="24">
        <f>0.00017*M3680</f>
        <v>0</v>
      </c>
      <c r="Q3680" s="25"/>
      <c r="R3680" s="26" t="s">
        <v>11509</v>
      </c>
      <c r="S3680" s="26" t="s">
        <v>29</v>
      </c>
      <c r="T3680" s="6" t="str">
        <f>HYPERLINK("https://kanzpp.ru/api/getInfo/image/9fa3487c-b8fe-11ed-a230-00155d82e902")</f>
        <v>https://kanzpp.ru/api/getInfo/image/9fa3487c-b8fe-11ed-a230-00155d82e902</v>
      </c>
      <c r="U3680" s="6"/>
      <c r="V3680" s="33" t="s">
        <v>35</v>
      </c>
    </row>
    <row r="3681" spans="2:22" ht="21" customHeight="1" outlineLevel="7" x14ac:dyDescent="0.2">
      <c r="B3681" s="69">
        <v>2727</v>
      </c>
      <c r="C3681" s="6" t="s">
        <v>11510</v>
      </c>
      <c r="D3681" s="6" t="s">
        <v>11511</v>
      </c>
      <c r="E3681" s="7" t="s">
        <v>11512</v>
      </c>
      <c r="F3681" s="13"/>
      <c r="G3681" s="14"/>
      <c r="H3681" s="15">
        <v>240</v>
      </c>
      <c r="I3681" s="14"/>
      <c r="J3681" s="17">
        <v>9840</v>
      </c>
      <c r="K3681" s="5">
        <v>240</v>
      </c>
      <c r="L3681" s="16">
        <v>7.8666666666666671</v>
      </c>
      <c r="M3681" s="12"/>
      <c r="N3681" s="14">
        <f>L3681*M3681</f>
        <v>0</v>
      </c>
      <c r="O3681" s="28">
        <f>0.05*M3681</f>
        <v>0</v>
      </c>
      <c r="P3681" s="24">
        <f>0.00014*M3681</f>
        <v>0</v>
      </c>
      <c r="Q3681" s="25"/>
      <c r="R3681" s="26" t="s">
        <v>11513</v>
      </c>
      <c r="S3681" s="26" t="s">
        <v>29</v>
      </c>
      <c r="T3681" s="6" t="str">
        <f>HYPERLINK("https://kanzpp.ru/api/getInfo/image/d751d3f9-7659-11ef-a265-00155d82e908")</f>
        <v>https://kanzpp.ru/api/getInfo/image/d751d3f9-7659-11ef-a265-00155d82e908</v>
      </c>
      <c r="U3681" s="6"/>
      <c r="V3681" s="33" t="s">
        <v>35</v>
      </c>
    </row>
    <row r="3682" spans="2:22" ht="21" customHeight="1" outlineLevel="7" x14ac:dyDescent="0.2">
      <c r="B3682" s="69">
        <v>2728</v>
      </c>
      <c r="C3682" s="6" t="s">
        <v>11514</v>
      </c>
      <c r="D3682" s="6" t="s">
        <v>11515</v>
      </c>
      <c r="E3682" s="7" t="s">
        <v>962</v>
      </c>
      <c r="F3682" s="13"/>
      <c r="G3682" s="14"/>
      <c r="H3682" s="15">
        <v>240</v>
      </c>
      <c r="I3682" s="14"/>
      <c r="J3682" s="17">
        <v>10530</v>
      </c>
      <c r="K3682" s="5">
        <v>240</v>
      </c>
      <c r="L3682" s="16">
        <v>5.2</v>
      </c>
      <c r="M3682" s="12"/>
      <c r="N3682" s="14">
        <f>L3682*M3682</f>
        <v>0</v>
      </c>
      <c r="O3682" s="23">
        <f>0.033*M3682</f>
        <v>0</v>
      </c>
      <c r="P3682" s="24">
        <f>0.00003*M3682</f>
        <v>0</v>
      </c>
      <c r="Q3682" s="25"/>
      <c r="R3682" s="26" t="s">
        <v>963</v>
      </c>
      <c r="S3682" s="26" t="s">
        <v>29</v>
      </c>
      <c r="T3682" s="6" t="str">
        <f>HYPERLINK("https://kanzpp.ru/api/getInfo/image/f1212cf6-43db-11e9-a221-ac1f6b442184")</f>
        <v>https://kanzpp.ru/api/getInfo/image/f1212cf6-43db-11e9-a221-ac1f6b442184</v>
      </c>
      <c r="U3682" s="6"/>
      <c r="V3682" s="33" t="s">
        <v>35</v>
      </c>
    </row>
    <row r="3683" spans="2:22" ht="21" customHeight="1" outlineLevel="7" x14ac:dyDescent="0.2">
      <c r="B3683" s="69">
        <v>2729</v>
      </c>
      <c r="C3683" s="6" t="s">
        <v>11516</v>
      </c>
      <c r="D3683" s="6" t="s">
        <v>11517</v>
      </c>
      <c r="E3683" s="7" t="s">
        <v>11518</v>
      </c>
      <c r="F3683" s="13"/>
      <c r="G3683" s="14"/>
      <c r="H3683" s="15">
        <v>240</v>
      </c>
      <c r="I3683" s="14"/>
      <c r="J3683" s="14" t="s">
        <v>144</v>
      </c>
      <c r="K3683" s="5">
        <v>240</v>
      </c>
      <c r="L3683" s="16">
        <v>7.8666666666666671</v>
      </c>
      <c r="M3683" s="12"/>
      <c r="N3683" s="14">
        <f>L3683*M3683</f>
        <v>0</v>
      </c>
      <c r="O3683" s="23">
        <f>0.049*M3683</f>
        <v>0</v>
      </c>
      <c r="P3683" s="31">
        <f>0.0001*M3683</f>
        <v>0</v>
      </c>
      <c r="Q3683" s="25"/>
      <c r="R3683" s="26" t="s">
        <v>11519</v>
      </c>
      <c r="S3683" s="26" t="s">
        <v>29</v>
      </c>
      <c r="T3683" s="6" t="str">
        <f>HYPERLINK("https://kanzpp.ru/api/getInfo/image/637e5d34-b8fe-11ed-a230-00155d82e902")</f>
        <v>https://kanzpp.ru/api/getInfo/image/637e5d34-b8fe-11ed-a230-00155d82e902</v>
      </c>
      <c r="U3683" s="6"/>
      <c r="V3683" s="33" t="s">
        <v>35</v>
      </c>
    </row>
    <row r="3684" spans="2:22" ht="22.95" customHeight="1" outlineLevel="6" x14ac:dyDescent="0.2">
      <c r="B3684" s="84" t="s">
        <v>11520</v>
      </c>
      <c r="C3684" s="84"/>
      <c r="D3684" s="84"/>
      <c r="L3684">
        <v>0</v>
      </c>
    </row>
    <row r="3685" spans="2:22" ht="21" customHeight="1" outlineLevel="7" x14ac:dyDescent="0.2">
      <c r="B3685" s="69">
        <v>2730</v>
      </c>
      <c r="C3685" s="6" t="s">
        <v>11521</v>
      </c>
      <c r="D3685" s="6" t="s">
        <v>11522</v>
      </c>
      <c r="E3685" s="7" t="s">
        <v>11523</v>
      </c>
      <c r="F3685" s="13"/>
      <c r="G3685" s="14"/>
      <c r="H3685" s="15">
        <v>240</v>
      </c>
      <c r="I3685" s="14"/>
      <c r="J3685" s="17">
        <v>7840</v>
      </c>
      <c r="K3685" s="5">
        <v>240</v>
      </c>
      <c r="L3685" s="16">
        <v>5.2</v>
      </c>
      <c r="M3685" s="12"/>
      <c r="N3685" s="14">
        <f t="shared" ref="N3685:N3690" si="164">L3685*M3685</f>
        <v>0</v>
      </c>
      <c r="O3685" s="23">
        <f>0.034*M3685</f>
        <v>0</v>
      </c>
      <c r="P3685" s="31">
        <f>0.0001*M3685</f>
        <v>0</v>
      </c>
      <c r="Q3685" s="25"/>
      <c r="R3685" s="26" t="s">
        <v>11524</v>
      </c>
      <c r="S3685" s="26" t="s">
        <v>29</v>
      </c>
      <c r="T3685" s="6" t="str">
        <f>HYPERLINK("https://kanzpp.ru/api/getInfo/image/0c57ac02-b8fe-11ed-a230-00155d82e902")</f>
        <v>https://kanzpp.ru/api/getInfo/image/0c57ac02-b8fe-11ed-a230-00155d82e902</v>
      </c>
      <c r="U3685" s="6"/>
      <c r="V3685" s="33" t="s">
        <v>35</v>
      </c>
    </row>
    <row r="3686" spans="2:22" ht="21" customHeight="1" outlineLevel="7" x14ac:dyDescent="0.2">
      <c r="B3686" s="69">
        <v>2731</v>
      </c>
      <c r="C3686" s="6" t="s">
        <v>11525</v>
      </c>
      <c r="D3686" s="6" t="s">
        <v>11526</v>
      </c>
      <c r="E3686" s="7" t="s">
        <v>11527</v>
      </c>
      <c r="F3686" s="13"/>
      <c r="G3686" s="14"/>
      <c r="H3686" s="15">
        <v>240</v>
      </c>
      <c r="I3686" s="14"/>
      <c r="J3686" s="17">
        <v>17160</v>
      </c>
      <c r="K3686" s="5">
        <v>240</v>
      </c>
      <c r="L3686" s="16">
        <v>7.8666666666666671</v>
      </c>
      <c r="M3686" s="12"/>
      <c r="N3686" s="14">
        <f t="shared" si="164"/>
        <v>0</v>
      </c>
      <c r="O3686" s="28">
        <f>0.04*M3686</f>
        <v>0</v>
      </c>
      <c r="P3686" s="24">
        <f>0.00007*M3686</f>
        <v>0</v>
      </c>
      <c r="Q3686" s="25"/>
      <c r="R3686" s="26" t="s">
        <v>11528</v>
      </c>
      <c r="S3686" s="26" t="s">
        <v>29</v>
      </c>
      <c r="T3686" s="6" t="str">
        <f>HYPERLINK("https://kanzpp.ru/api/getInfo/image/bd70b1c4-b8fd-11ed-a230-00155d82e902")</f>
        <v>https://kanzpp.ru/api/getInfo/image/bd70b1c4-b8fd-11ed-a230-00155d82e902</v>
      </c>
      <c r="U3686" s="6"/>
      <c r="V3686" s="33" t="s">
        <v>35</v>
      </c>
    </row>
    <row r="3687" spans="2:22" ht="21" customHeight="1" outlineLevel="7" x14ac:dyDescent="0.2">
      <c r="B3687" s="69">
        <v>2732</v>
      </c>
      <c r="C3687" s="6" t="s">
        <v>11529</v>
      </c>
      <c r="D3687" s="6" t="s">
        <v>11530</v>
      </c>
      <c r="E3687" s="7" t="s">
        <v>11531</v>
      </c>
      <c r="F3687" s="13"/>
      <c r="G3687" s="14"/>
      <c r="H3687" s="15">
        <v>240</v>
      </c>
      <c r="I3687" s="14"/>
      <c r="J3687" s="17">
        <v>17831</v>
      </c>
      <c r="K3687" s="5">
        <v>240</v>
      </c>
      <c r="L3687" s="16">
        <v>5.2</v>
      </c>
      <c r="M3687" s="12"/>
      <c r="N3687" s="14">
        <f t="shared" si="164"/>
        <v>0</v>
      </c>
      <c r="O3687" s="23">
        <f>0.036*M3687</f>
        <v>0</v>
      </c>
      <c r="P3687" s="31">
        <f>0.0001*M3687</f>
        <v>0</v>
      </c>
      <c r="Q3687" s="25"/>
      <c r="R3687" s="26" t="s">
        <v>11532</v>
      </c>
      <c r="S3687" s="26" t="s">
        <v>29</v>
      </c>
      <c r="T3687" s="6" t="str">
        <f>HYPERLINK("https://kanzpp.ru/api/getInfo/image/dff23928-b8fd-11ed-a230-00155d82e902")</f>
        <v>https://kanzpp.ru/api/getInfo/image/dff23928-b8fd-11ed-a230-00155d82e902</v>
      </c>
      <c r="U3687" s="6"/>
      <c r="V3687" s="33" t="s">
        <v>35</v>
      </c>
    </row>
    <row r="3688" spans="2:22" ht="21" customHeight="1" outlineLevel="7" x14ac:dyDescent="0.2">
      <c r="B3688" s="69">
        <v>2733</v>
      </c>
      <c r="C3688" s="6" t="s">
        <v>11533</v>
      </c>
      <c r="D3688" s="6" t="s">
        <v>11534</v>
      </c>
      <c r="E3688" s="7" t="s">
        <v>11535</v>
      </c>
      <c r="F3688" s="13"/>
      <c r="G3688" s="14"/>
      <c r="H3688" s="15">
        <v>240</v>
      </c>
      <c r="I3688" s="15">
        <v>4</v>
      </c>
      <c r="J3688" s="17">
        <v>15453</v>
      </c>
      <c r="K3688" s="5">
        <v>240</v>
      </c>
      <c r="L3688" s="16">
        <v>7.8666666666666671</v>
      </c>
      <c r="M3688" s="12"/>
      <c r="N3688" s="14">
        <f t="shared" si="164"/>
        <v>0</v>
      </c>
      <c r="O3688" s="23">
        <f>0.045*M3688</f>
        <v>0</v>
      </c>
      <c r="P3688" s="31">
        <f>0.0001*M3688</f>
        <v>0</v>
      </c>
      <c r="Q3688" s="25"/>
      <c r="R3688" s="26" t="s">
        <v>11536</v>
      </c>
      <c r="S3688" s="26" t="s">
        <v>29</v>
      </c>
      <c r="T3688" s="6" t="str">
        <f>HYPERLINK("https://kanzpp.ru/api/getInfo/image/dae64b77-765a-11ef-a265-00155d82e908")</f>
        <v>https://kanzpp.ru/api/getInfo/image/dae64b77-765a-11ef-a265-00155d82e908</v>
      </c>
      <c r="U3688" s="6"/>
      <c r="V3688" s="33" t="s">
        <v>35</v>
      </c>
    </row>
    <row r="3689" spans="2:22" ht="21" customHeight="1" outlineLevel="7" x14ac:dyDescent="0.2">
      <c r="B3689" s="69">
        <v>2734</v>
      </c>
      <c r="C3689" s="6" t="s">
        <v>11537</v>
      </c>
      <c r="D3689" s="6" t="s">
        <v>11538</v>
      </c>
      <c r="E3689" s="7" t="s">
        <v>11539</v>
      </c>
      <c r="F3689" s="13"/>
      <c r="G3689" s="14"/>
      <c r="H3689" s="15">
        <v>240</v>
      </c>
      <c r="I3689" s="15">
        <v>4</v>
      </c>
      <c r="J3689" s="17">
        <v>3066</v>
      </c>
      <c r="K3689" s="5">
        <v>240</v>
      </c>
      <c r="L3689" s="16">
        <v>7.8666666666666671</v>
      </c>
      <c r="M3689" s="12"/>
      <c r="N3689" s="14">
        <f t="shared" si="164"/>
        <v>0</v>
      </c>
      <c r="O3689" s="23">
        <f>0.046*M3689</f>
        <v>0</v>
      </c>
      <c r="P3689" s="24">
        <f>0.00024*M3689</f>
        <v>0</v>
      </c>
      <c r="Q3689" s="25"/>
      <c r="R3689" s="26" t="s">
        <v>11540</v>
      </c>
      <c r="S3689" s="26" t="s">
        <v>29</v>
      </c>
      <c r="T3689" s="6" t="str">
        <f>HYPERLINK("https://kanzpp.ru/api/getInfo/image/a993cca3-765a-11ef-a265-00155d82e908")</f>
        <v>https://kanzpp.ru/api/getInfo/image/a993cca3-765a-11ef-a265-00155d82e908</v>
      </c>
      <c r="U3689" s="6"/>
      <c r="V3689" s="33" t="s">
        <v>35</v>
      </c>
    </row>
    <row r="3690" spans="2:22" ht="21" customHeight="1" outlineLevel="7" x14ac:dyDescent="0.2">
      <c r="B3690" s="69">
        <v>2735</v>
      </c>
      <c r="C3690" s="6" t="s">
        <v>11541</v>
      </c>
      <c r="D3690" s="6" t="s">
        <v>11542</v>
      </c>
      <c r="E3690" s="7" t="s">
        <v>11543</v>
      </c>
      <c r="F3690" s="13"/>
      <c r="G3690" s="14"/>
      <c r="H3690" s="15">
        <v>240</v>
      </c>
      <c r="I3690" s="14"/>
      <c r="J3690" s="14" t="s">
        <v>144</v>
      </c>
      <c r="K3690" s="5">
        <v>240</v>
      </c>
      <c r="L3690" s="16">
        <v>5.2</v>
      </c>
      <c r="M3690" s="12"/>
      <c r="N3690" s="14">
        <f t="shared" si="164"/>
        <v>0</v>
      </c>
      <c r="O3690" s="28">
        <f>0.04*M3690</f>
        <v>0</v>
      </c>
      <c r="P3690" s="24">
        <f>0.00014*M3690</f>
        <v>0</v>
      </c>
      <c r="Q3690" s="25"/>
      <c r="R3690" s="26" t="s">
        <v>11544</v>
      </c>
      <c r="S3690" s="26" t="s">
        <v>29</v>
      </c>
      <c r="T3690" s="6" t="str">
        <f>HYPERLINK("https://kanzpp.ru/api/getInfo/image/33f0f0a9-b8fe-11ed-a230-00155d82e902")</f>
        <v>https://kanzpp.ru/api/getInfo/image/33f0f0a9-b8fe-11ed-a230-00155d82e902</v>
      </c>
      <c r="U3690" s="6"/>
      <c r="V3690" s="33" t="s">
        <v>35</v>
      </c>
    </row>
    <row r="3691" spans="2:22" ht="22.95" customHeight="1" outlineLevel="5" x14ac:dyDescent="0.2">
      <c r="B3691" s="83" t="s">
        <v>11545</v>
      </c>
      <c r="C3691" s="83"/>
      <c r="D3691" s="83"/>
      <c r="L3691">
        <v>0</v>
      </c>
    </row>
    <row r="3692" spans="2:22" ht="22.95" customHeight="1" outlineLevel="6" x14ac:dyDescent="0.2">
      <c r="B3692" s="84" t="s">
        <v>11546</v>
      </c>
      <c r="C3692" s="84"/>
      <c r="D3692" s="84"/>
      <c r="L3692">
        <v>0</v>
      </c>
    </row>
    <row r="3693" spans="2:22" ht="21" customHeight="1" outlineLevel="7" x14ac:dyDescent="0.2">
      <c r="B3693" s="69">
        <v>2736</v>
      </c>
      <c r="C3693" s="6" t="s">
        <v>11547</v>
      </c>
      <c r="D3693" s="6" t="s">
        <v>11548</v>
      </c>
      <c r="E3693" s="7" t="s">
        <v>11549</v>
      </c>
      <c r="F3693" s="13"/>
      <c r="G3693" s="14"/>
      <c r="H3693" s="15">
        <v>250</v>
      </c>
      <c r="I3693" s="15">
        <v>25</v>
      </c>
      <c r="J3693" s="17">
        <v>8800</v>
      </c>
      <c r="K3693" s="5">
        <v>250</v>
      </c>
      <c r="L3693" s="16">
        <v>9.2000000000000011</v>
      </c>
      <c r="M3693" s="12"/>
      <c r="N3693" s="14">
        <f t="shared" ref="N3693:N3717" si="165">L3693*M3693</f>
        <v>0</v>
      </c>
      <c r="O3693" s="23">
        <f>0.041*M3693</f>
        <v>0</v>
      </c>
      <c r="P3693" s="24">
        <f>0.00003*M3693</f>
        <v>0</v>
      </c>
      <c r="Q3693" s="25"/>
      <c r="R3693" s="26" t="s">
        <v>11550</v>
      </c>
      <c r="S3693" s="26" t="s">
        <v>29</v>
      </c>
      <c r="T3693" s="6" t="str">
        <f>HYPERLINK("https://kanzpp.ru/api/getInfo/image/a913c71b-0eb1-11eb-a25b-ac1f6b442184")</f>
        <v>https://kanzpp.ru/api/getInfo/image/a913c71b-0eb1-11eb-a25b-ac1f6b442184</v>
      </c>
      <c r="U3693" s="6"/>
      <c r="V3693" s="33" t="s">
        <v>35</v>
      </c>
    </row>
    <row r="3694" spans="2:22" ht="21" customHeight="1" outlineLevel="7" x14ac:dyDescent="0.2">
      <c r="B3694" s="69">
        <v>2737</v>
      </c>
      <c r="C3694" s="6" t="s">
        <v>11551</v>
      </c>
      <c r="D3694" s="6" t="s">
        <v>11552</v>
      </c>
      <c r="E3694" s="7" t="s">
        <v>11553</v>
      </c>
      <c r="F3694" s="13"/>
      <c r="G3694" s="14"/>
      <c r="H3694" s="15">
        <v>250</v>
      </c>
      <c r="I3694" s="15">
        <v>25</v>
      </c>
      <c r="J3694" s="17">
        <v>7018</v>
      </c>
      <c r="K3694" s="5">
        <v>250</v>
      </c>
      <c r="L3694" s="16">
        <v>5.2</v>
      </c>
      <c r="M3694" s="12"/>
      <c r="N3694" s="14">
        <f t="shared" si="165"/>
        <v>0</v>
      </c>
      <c r="O3694" s="23">
        <f>0.041*M3694</f>
        <v>0</v>
      </c>
      <c r="P3694" s="24">
        <f>0.00003*M3694</f>
        <v>0</v>
      </c>
      <c r="Q3694" s="25"/>
      <c r="R3694" s="26" t="s">
        <v>11554</v>
      </c>
      <c r="S3694" s="26" t="s">
        <v>29</v>
      </c>
      <c r="T3694" s="6" t="str">
        <f>HYPERLINK("https://kanzpp.ru/api/getInfo/image/f455b3b7-4135-11ec-a20f-ac1f6b442185")</f>
        <v>https://kanzpp.ru/api/getInfo/image/f455b3b7-4135-11ec-a20f-ac1f6b442185</v>
      </c>
      <c r="U3694" s="6"/>
      <c r="V3694" s="33" t="s">
        <v>35</v>
      </c>
    </row>
    <row r="3695" spans="2:22" ht="21" customHeight="1" outlineLevel="7" x14ac:dyDescent="0.2">
      <c r="B3695" s="69">
        <v>2738</v>
      </c>
      <c r="C3695" s="6" t="s">
        <v>11555</v>
      </c>
      <c r="D3695" s="6" t="s">
        <v>11556</v>
      </c>
      <c r="E3695" s="7" t="s">
        <v>11557</v>
      </c>
      <c r="F3695" s="13"/>
      <c r="G3695" s="14"/>
      <c r="H3695" s="15">
        <v>240</v>
      </c>
      <c r="I3695" s="15">
        <v>20</v>
      </c>
      <c r="J3695" s="17">
        <v>19786</v>
      </c>
      <c r="K3695" s="5">
        <v>240</v>
      </c>
      <c r="L3695" s="16">
        <v>12.533333333333333</v>
      </c>
      <c r="M3695" s="12"/>
      <c r="N3695" s="14">
        <f t="shared" si="165"/>
        <v>0</v>
      </c>
      <c r="O3695" s="23">
        <f>0.049*M3695</f>
        <v>0</v>
      </c>
      <c r="P3695" s="31">
        <f>0.0001*M3695</f>
        <v>0</v>
      </c>
      <c r="Q3695" s="25"/>
      <c r="R3695" s="26" t="s">
        <v>11558</v>
      </c>
      <c r="S3695" s="26" t="s">
        <v>29</v>
      </c>
      <c r="T3695" s="6" t="str">
        <f>HYPERLINK("https://kanzpp.ru/api/getInfo/image/d90e462c-ecc8-11ee-a25b-00155d82e908")</f>
        <v>https://kanzpp.ru/api/getInfo/image/d90e462c-ecc8-11ee-a25b-00155d82e908</v>
      </c>
      <c r="U3695" s="6"/>
      <c r="V3695" s="33" t="s">
        <v>35</v>
      </c>
    </row>
    <row r="3696" spans="2:22" ht="21" customHeight="1" outlineLevel="7" x14ac:dyDescent="0.2">
      <c r="B3696" s="71">
        <v>2739</v>
      </c>
      <c r="C3696" s="37" t="s">
        <v>11559</v>
      </c>
      <c r="D3696" s="37" t="s">
        <v>11560</v>
      </c>
      <c r="E3696" s="38" t="s">
        <v>11561</v>
      </c>
      <c r="F3696" s="39"/>
      <c r="G3696" s="40"/>
      <c r="H3696" s="41">
        <v>240</v>
      </c>
      <c r="I3696" s="41">
        <v>20</v>
      </c>
      <c r="J3696" s="50">
        <v>2400</v>
      </c>
      <c r="K3696" s="36">
        <v>240</v>
      </c>
      <c r="L3696" s="42">
        <f>(12.53*(1-O3/100))/0.75</f>
        <v>16.706666666666667</v>
      </c>
      <c r="M3696" s="12"/>
      <c r="N3696" s="40">
        <f t="shared" si="165"/>
        <v>0</v>
      </c>
      <c r="O3696" s="43">
        <f>0.035*M3696</f>
        <v>0</v>
      </c>
      <c r="P3696" s="41">
        <f>2*M3696</f>
        <v>0</v>
      </c>
      <c r="Q3696" s="44"/>
      <c r="R3696" s="45" t="s">
        <v>11562</v>
      </c>
      <c r="S3696" s="45" t="s">
        <v>29</v>
      </c>
      <c r="T3696" s="37" t="str">
        <f>HYPERLINK("https://kanzpp.ru/api/getInfo/image/61d33689-fc44-11f0-a28e-00155d82e908")</f>
        <v>https://kanzpp.ru/api/getInfo/image/61d33689-fc44-11f0-a28e-00155d82e908</v>
      </c>
      <c r="U3696" s="37"/>
    </row>
    <row r="3697" spans="2:22" ht="21" customHeight="1" outlineLevel="7" x14ac:dyDescent="0.2">
      <c r="B3697" s="70">
        <v>2740</v>
      </c>
      <c r="C3697" s="3" t="s">
        <v>11563</v>
      </c>
      <c r="D3697" s="3" t="s">
        <v>11564</v>
      </c>
      <c r="E3697" s="4" t="s">
        <v>11565</v>
      </c>
      <c r="F3697" s="8"/>
      <c r="G3697" s="9"/>
      <c r="H3697" s="10">
        <v>250</v>
      </c>
      <c r="I3697" s="10">
        <v>25</v>
      </c>
      <c r="J3697" s="10">
        <v>753</v>
      </c>
      <c r="K3697" s="2">
        <v>250</v>
      </c>
      <c r="L3697" s="54">
        <v>5.8488888888888892</v>
      </c>
      <c r="M3697" s="12"/>
      <c r="N3697" s="9">
        <f t="shared" si="165"/>
        <v>0</v>
      </c>
      <c r="O3697" s="29">
        <f>0.041*M3697</f>
        <v>0</v>
      </c>
      <c r="P3697" s="30">
        <f>0.00003*M3697</f>
        <v>0</v>
      </c>
      <c r="Q3697" s="21"/>
      <c r="R3697" s="22" t="s">
        <v>11566</v>
      </c>
      <c r="S3697" s="22" t="s">
        <v>29</v>
      </c>
      <c r="T3697" s="3" t="str">
        <f>HYPERLINK("https://kanzpp.ru/api/getInfo/image/0807b85c-0eb4-11eb-a25b-ac1f6b442184")</f>
        <v>https://kanzpp.ru/api/getInfo/image/0807b85c-0eb4-11eb-a25b-ac1f6b442184</v>
      </c>
      <c r="U3697" s="3"/>
      <c r="V3697" s="32" t="s">
        <v>30</v>
      </c>
    </row>
    <row r="3698" spans="2:22" ht="21" customHeight="1" outlineLevel="7" x14ac:dyDescent="0.2">
      <c r="B3698" s="69">
        <v>2741</v>
      </c>
      <c r="C3698" s="6" t="s">
        <v>11567</v>
      </c>
      <c r="D3698" s="6" t="s">
        <v>11568</v>
      </c>
      <c r="E3698" s="7" t="s">
        <v>11569</v>
      </c>
      <c r="F3698" s="13"/>
      <c r="G3698" s="14"/>
      <c r="H3698" s="15">
        <v>250</v>
      </c>
      <c r="I3698" s="15">
        <v>25</v>
      </c>
      <c r="J3698" s="17">
        <v>1498</v>
      </c>
      <c r="K3698" s="5">
        <v>250</v>
      </c>
      <c r="L3698" s="16">
        <v>9.2000000000000011</v>
      </c>
      <c r="M3698" s="12"/>
      <c r="N3698" s="14">
        <f t="shared" si="165"/>
        <v>0</v>
      </c>
      <c r="O3698" s="23">
        <f>0.041*M3698</f>
        <v>0</v>
      </c>
      <c r="P3698" s="24">
        <f>0.00003*M3698</f>
        <v>0</v>
      </c>
      <c r="Q3698" s="25"/>
      <c r="R3698" s="26" t="s">
        <v>11570</v>
      </c>
      <c r="S3698" s="26" t="s">
        <v>29</v>
      </c>
      <c r="T3698" s="6" t="str">
        <f>HYPERLINK("https://kanzpp.ru/api/getInfo/image/1a34ef5b-0eb6-11eb-a25b-ac1f6b442184")</f>
        <v>https://kanzpp.ru/api/getInfo/image/1a34ef5b-0eb6-11eb-a25b-ac1f6b442184</v>
      </c>
      <c r="U3698" s="6"/>
      <c r="V3698" s="33" t="s">
        <v>35</v>
      </c>
    </row>
    <row r="3699" spans="2:22" ht="21" customHeight="1" outlineLevel="7" x14ac:dyDescent="0.2">
      <c r="B3699" s="71">
        <v>2742</v>
      </c>
      <c r="C3699" s="37" t="s">
        <v>11571</v>
      </c>
      <c r="D3699" s="37" t="s">
        <v>11572</v>
      </c>
      <c r="E3699" s="38" t="s">
        <v>11573</v>
      </c>
      <c r="F3699" s="39"/>
      <c r="G3699" s="40"/>
      <c r="H3699" s="41">
        <v>240</v>
      </c>
      <c r="I3699" s="41">
        <v>20</v>
      </c>
      <c r="J3699" s="41">
        <v>240</v>
      </c>
      <c r="K3699" s="36">
        <v>240</v>
      </c>
      <c r="L3699" s="42">
        <f>(12.53*(1-O3/100))/0.75</f>
        <v>16.706666666666667</v>
      </c>
      <c r="M3699" s="12"/>
      <c r="N3699" s="40">
        <f t="shared" si="165"/>
        <v>0</v>
      </c>
      <c r="O3699" s="43">
        <f>0.036*M3699</f>
        <v>0</v>
      </c>
      <c r="P3699" s="47">
        <f>0.00003*M3699</f>
        <v>0</v>
      </c>
      <c r="Q3699" s="44"/>
      <c r="R3699" s="45" t="s">
        <v>11574</v>
      </c>
      <c r="S3699" s="45" t="s">
        <v>29</v>
      </c>
      <c r="T3699" s="37" t="str">
        <f>HYPERLINK("https://kanzpp.ru/api/getInfo/image/a8b54ccf-7cca-11ef-a265-00155d82e908")</f>
        <v>https://kanzpp.ru/api/getInfo/image/a8b54ccf-7cca-11ef-a265-00155d82e908</v>
      </c>
      <c r="U3699" s="37"/>
    </row>
    <row r="3700" spans="2:22" ht="21" customHeight="1" outlineLevel="7" x14ac:dyDescent="0.2">
      <c r="B3700" s="69">
        <v>2743</v>
      </c>
      <c r="C3700" s="6" t="s">
        <v>11575</v>
      </c>
      <c r="D3700" s="6" t="s">
        <v>11576</v>
      </c>
      <c r="E3700" s="7" t="s">
        <v>11577</v>
      </c>
      <c r="F3700" s="13"/>
      <c r="G3700" s="14"/>
      <c r="H3700" s="15">
        <v>240</v>
      </c>
      <c r="I3700" s="15">
        <v>20</v>
      </c>
      <c r="J3700" s="17">
        <v>4070</v>
      </c>
      <c r="K3700" s="5">
        <v>240</v>
      </c>
      <c r="L3700" s="16">
        <v>9.2000000000000011</v>
      </c>
      <c r="M3700" s="12"/>
      <c r="N3700" s="14">
        <f t="shared" si="165"/>
        <v>0</v>
      </c>
      <c r="O3700" s="23">
        <f>0.049*M3700</f>
        <v>0</v>
      </c>
      <c r="P3700" s="31">
        <f>0.0001*M3700</f>
        <v>0</v>
      </c>
      <c r="Q3700" s="25"/>
      <c r="R3700" s="26" t="s">
        <v>11578</v>
      </c>
      <c r="S3700" s="26" t="s">
        <v>29</v>
      </c>
      <c r="T3700" s="6" t="str">
        <f>HYPERLINK("https://kanzpp.ru/api/getInfo/image/9e6ea862-ecc9-11ee-a25b-00155d82e908")</f>
        <v>https://kanzpp.ru/api/getInfo/image/9e6ea862-ecc9-11ee-a25b-00155d82e908</v>
      </c>
      <c r="U3700" s="6"/>
      <c r="V3700" s="33" t="s">
        <v>35</v>
      </c>
    </row>
    <row r="3701" spans="2:22" ht="21" customHeight="1" outlineLevel="7" x14ac:dyDescent="0.2">
      <c r="B3701" s="70">
        <v>2744</v>
      </c>
      <c r="C3701" s="3" t="s">
        <v>11579</v>
      </c>
      <c r="D3701" s="3" t="s">
        <v>11580</v>
      </c>
      <c r="E3701" s="4" t="s">
        <v>11581</v>
      </c>
      <c r="F3701" s="8"/>
      <c r="G3701" s="9"/>
      <c r="H3701" s="10">
        <v>250</v>
      </c>
      <c r="I3701" s="10">
        <v>25</v>
      </c>
      <c r="J3701" s="10">
        <v>420</v>
      </c>
      <c r="K3701" s="2">
        <v>250</v>
      </c>
      <c r="L3701" s="18">
        <v>4.4133333333333331</v>
      </c>
      <c r="M3701" s="12"/>
      <c r="N3701" s="9">
        <f t="shared" si="165"/>
        <v>0</v>
      </c>
      <c r="O3701" s="29">
        <f>0.041*M3701</f>
        <v>0</v>
      </c>
      <c r="P3701" s="30">
        <f>0.00003*M3701</f>
        <v>0</v>
      </c>
      <c r="Q3701" s="21"/>
      <c r="R3701" s="22" t="s">
        <v>11582</v>
      </c>
      <c r="S3701" s="22" t="s">
        <v>29</v>
      </c>
      <c r="T3701" s="3" t="str">
        <f>HYPERLINK("https://kanzpp.ru/api/getInfo/image/f821d5ff-0eb1-11eb-a25b-ac1f6b442184")</f>
        <v>https://kanzpp.ru/api/getInfo/image/f821d5ff-0eb1-11eb-a25b-ac1f6b442184</v>
      </c>
      <c r="U3701" s="3"/>
      <c r="V3701" s="32" t="s">
        <v>30</v>
      </c>
    </row>
    <row r="3702" spans="2:22" ht="21" customHeight="1" outlineLevel="7" x14ac:dyDescent="0.2">
      <c r="B3702" s="71">
        <v>2745</v>
      </c>
      <c r="C3702" s="37" t="s">
        <v>11583</v>
      </c>
      <c r="D3702" s="37" t="s">
        <v>11584</v>
      </c>
      <c r="E3702" s="38" t="s">
        <v>11585</v>
      </c>
      <c r="F3702" s="39"/>
      <c r="G3702" s="40"/>
      <c r="H3702" s="41">
        <v>240</v>
      </c>
      <c r="I3702" s="41">
        <v>20</v>
      </c>
      <c r="J3702" s="50">
        <v>19420</v>
      </c>
      <c r="K3702" s="36">
        <v>240</v>
      </c>
      <c r="L3702" s="42">
        <f>(12.53*(1-O3/100))/0.75</f>
        <v>16.706666666666667</v>
      </c>
      <c r="M3702" s="12"/>
      <c r="N3702" s="40">
        <f t="shared" si="165"/>
        <v>0</v>
      </c>
      <c r="O3702" s="43">
        <f>0.035*M3702</f>
        <v>0</v>
      </c>
      <c r="P3702" s="47">
        <f>0.00004*M3702</f>
        <v>0</v>
      </c>
      <c r="Q3702" s="44"/>
      <c r="R3702" s="45" t="s">
        <v>11586</v>
      </c>
      <c r="S3702" s="45" t="s">
        <v>29</v>
      </c>
      <c r="T3702" s="37" t="str">
        <f>HYPERLINK("https://kanzpp.ru/api/getInfo/image/b9a2676c-fc45-11f0-a28e-00155d82e908")</f>
        <v>https://kanzpp.ru/api/getInfo/image/b9a2676c-fc45-11f0-a28e-00155d82e908</v>
      </c>
      <c r="U3702" s="37"/>
    </row>
    <row r="3703" spans="2:22" ht="21" customHeight="1" outlineLevel="7" x14ac:dyDescent="0.2">
      <c r="B3703" s="69">
        <v>2746</v>
      </c>
      <c r="C3703" s="6" t="s">
        <v>11587</v>
      </c>
      <c r="D3703" s="6" t="s">
        <v>11588</v>
      </c>
      <c r="E3703" s="7" t="s">
        <v>11589</v>
      </c>
      <c r="F3703" s="13"/>
      <c r="G3703" s="14"/>
      <c r="H3703" s="15">
        <v>250</v>
      </c>
      <c r="I3703" s="15">
        <v>25</v>
      </c>
      <c r="J3703" s="17">
        <v>3106</v>
      </c>
      <c r="K3703" s="5">
        <v>250</v>
      </c>
      <c r="L3703" s="16">
        <v>5.2</v>
      </c>
      <c r="M3703" s="12"/>
      <c r="N3703" s="14">
        <f t="shared" si="165"/>
        <v>0</v>
      </c>
      <c r="O3703" s="23">
        <f>0.041*M3703</f>
        <v>0</v>
      </c>
      <c r="P3703" s="24">
        <f>0.00003*M3703</f>
        <v>0</v>
      </c>
      <c r="Q3703" s="25"/>
      <c r="R3703" s="26" t="s">
        <v>11590</v>
      </c>
      <c r="S3703" s="26" t="s">
        <v>29</v>
      </c>
      <c r="T3703" s="6" t="str">
        <f>HYPERLINK("https://kanzpp.ru/api/getInfo/image/9a31ff2d-4134-11ec-a20f-ac1f6b442185")</f>
        <v>https://kanzpp.ru/api/getInfo/image/9a31ff2d-4134-11ec-a20f-ac1f6b442185</v>
      </c>
      <c r="U3703" s="6"/>
      <c r="V3703" s="33" t="s">
        <v>35</v>
      </c>
    </row>
    <row r="3704" spans="2:22" ht="21" customHeight="1" outlineLevel="7" x14ac:dyDescent="0.2">
      <c r="B3704" s="69">
        <v>2747</v>
      </c>
      <c r="C3704" s="6" t="s">
        <v>11591</v>
      </c>
      <c r="D3704" s="6" t="s">
        <v>11592</v>
      </c>
      <c r="E3704" s="7" t="s">
        <v>11593</v>
      </c>
      <c r="F3704" s="13"/>
      <c r="G3704" s="14"/>
      <c r="H3704" s="15">
        <v>240</v>
      </c>
      <c r="I3704" s="15">
        <v>20</v>
      </c>
      <c r="J3704" s="14" t="s">
        <v>144</v>
      </c>
      <c r="K3704" s="5">
        <v>240</v>
      </c>
      <c r="L3704" s="16">
        <v>6.5333333333333341</v>
      </c>
      <c r="M3704" s="12"/>
      <c r="N3704" s="14">
        <f t="shared" si="165"/>
        <v>0</v>
      </c>
      <c r="O3704" s="23">
        <f>0.041*M3704</f>
        <v>0</v>
      </c>
      <c r="P3704" s="24">
        <f>0.00007*M3704</f>
        <v>0</v>
      </c>
      <c r="Q3704" s="25"/>
      <c r="R3704" s="26" t="s">
        <v>11594</v>
      </c>
      <c r="S3704" s="26" t="s">
        <v>29</v>
      </c>
      <c r="T3704" s="6" t="str">
        <f>HYPERLINK("https://kanzpp.ru/api/getInfo/image/cbc15f2d-7cca-11ef-a265-00155d82e908")</f>
        <v>https://kanzpp.ru/api/getInfo/image/cbc15f2d-7cca-11ef-a265-00155d82e908</v>
      </c>
      <c r="U3704" s="6"/>
      <c r="V3704" s="33" t="s">
        <v>35</v>
      </c>
    </row>
    <row r="3705" spans="2:22" ht="21" customHeight="1" outlineLevel="7" x14ac:dyDescent="0.2">
      <c r="B3705" s="69">
        <v>2748</v>
      </c>
      <c r="C3705" s="6" t="s">
        <v>11595</v>
      </c>
      <c r="D3705" s="6" t="s">
        <v>11596</v>
      </c>
      <c r="E3705" s="7" t="s">
        <v>11597</v>
      </c>
      <c r="F3705" s="13"/>
      <c r="G3705" s="14"/>
      <c r="H3705" s="15">
        <v>250</v>
      </c>
      <c r="I3705" s="15">
        <v>25</v>
      </c>
      <c r="J3705" s="14" t="s">
        <v>144</v>
      </c>
      <c r="K3705" s="5">
        <v>250</v>
      </c>
      <c r="L3705" s="16">
        <v>6.5333333333333341</v>
      </c>
      <c r="M3705" s="12"/>
      <c r="N3705" s="14">
        <f t="shared" si="165"/>
        <v>0</v>
      </c>
      <c r="O3705" s="23">
        <f>0.049*M3705</f>
        <v>0</v>
      </c>
      <c r="P3705" s="31">
        <f>0.0001*M3705</f>
        <v>0</v>
      </c>
      <c r="Q3705" s="25"/>
      <c r="R3705" s="26" t="s">
        <v>11598</v>
      </c>
      <c r="S3705" s="26" t="s">
        <v>29</v>
      </c>
      <c r="T3705" s="6" t="str">
        <f>HYPERLINK("https://kanzpp.ru/api/getInfo/image/4ead70e2-ecca-11ee-a25b-00155d82e908")</f>
        <v>https://kanzpp.ru/api/getInfo/image/4ead70e2-ecca-11ee-a25b-00155d82e908</v>
      </c>
      <c r="U3705" s="6"/>
      <c r="V3705" s="33" t="s">
        <v>35</v>
      </c>
    </row>
    <row r="3706" spans="2:22" ht="21" customHeight="1" outlineLevel="7" x14ac:dyDescent="0.2">
      <c r="B3706" s="69">
        <v>2749</v>
      </c>
      <c r="C3706" s="6" t="s">
        <v>11599</v>
      </c>
      <c r="D3706" s="6" t="s">
        <v>11600</v>
      </c>
      <c r="E3706" s="7" t="s">
        <v>11601</v>
      </c>
      <c r="F3706" s="13"/>
      <c r="G3706" s="14"/>
      <c r="H3706" s="15">
        <v>240</v>
      </c>
      <c r="I3706" s="15">
        <v>20</v>
      </c>
      <c r="J3706" s="17">
        <v>13825</v>
      </c>
      <c r="K3706" s="5">
        <v>240</v>
      </c>
      <c r="L3706" s="16">
        <v>12.533333333333333</v>
      </c>
      <c r="M3706" s="12"/>
      <c r="N3706" s="14">
        <f t="shared" si="165"/>
        <v>0</v>
      </c>
      <c r="O3706" s="23">
        <f>0.036*M3706</f>
        <v>0</v>
      </c>
      <c r="P3706" s="24">
        <f>0.00025*M3706</f>
        <v>0</v>
      </c>
      <c r="Q3706" s="25"/>
      <c r="R3706" s="26" t="s">
        <v>11602</v>
      </c>
      <c r="S3706" s="26" t="s">
        <v>29</v>
      </c>
      <c r="T3706" s="6" t="str">
        <f>HYPERLINK("https://kanzpp.ru/api/getInfo/image/ef6222d1-ecc9-11ee-a25b-00155d82e908")</f>
        <v>https://kanzpp.ru/api/getInfo/image/ef6222d1-ecc9-11ee-a25b-00155d82e908</v>
      </c>
      <c r="U3706" s="6"/>
      <c r="V3706" s="33" t="s">
        <v>35</v>
      </c>
    </row>
    <row r="3707" spans="2:22" ht="21" customHeight="1" outlineLevel="7" x14ac:dyDescent="0.2">
      <c r="B3707" s="71">
        <v>2750</v>
      </c>
      <c r="C3707" s="37" t="s">
        <v>11603</v>
      </c>
      <c r="D3707" s="37" t="s">
        <v>11604</v>
      </c>
      <c r="E3707" s="38" t="s">
        <v>11605</v>
      </c>
      <c r="F3707" s="39"/>
      <c r="G3707" s="40"/>
      <c r="H3707" s="41">
        <v>240</v>
      </c>
      <c r="I3707" s="41">
        <v>20</v>
      </c>
      <c r="J3707" s="50">
        <v>5980</v>
      </c>
      <c r="K3707" s="36">
        <v>240</v>
      </c>
      <c r="L3707" s="42">
        <f>(12.53*(1-O3/100))/0.75</f>
        <v>16.706666666666667</v>
      </c>
      <c r="M3707" s="12"/>
      <c r="N3707" s="40">
        <f t="shared" si="165"/>
        <v>0</v>
      </c>
      <c r="O3707" s="43">
        <f>0.108*M3707</f>
        <v>0</v>
      </c>
      <c r="P3707" s="47">
        <f>0.00021*M3707</f>
        <v>0</v>
      </c>
      <c r="Q3707" s="44"/>
      <c r="R3707" s="45" t="s">
        <v>11606</v>
      </c>
      <c r="S3707" s="45" t="s">
        <v>29</v>
      </c>
      <c r="T3707" s="37" t="str">
        <f>HYPERLINK("https://kanzpp.ru/api/getInfo/image/6b4ed162-fc47-11f0-a28e-00155d82e908")</f>
        <v>https://kanzpp.ru/api/getInfo/image/6b4ed162-fc47-11f0-a28e-00155d82e908</v>
      </c>
      <c r="U3707" s="37"/>
    </row>
    <row r="3708" spans="2:22" ht="21" customHeight="1" outlineLevel="7" x14ac:dyDescent="0.2">
      <c r="B3708" s="69">
        <v>2751</v>
      </c>
      <c r="C3708" s="6" t="s">
        <v>11607</v>
      </c>
      <c r="D3708" s="6" t="s">
        <v>11608</v>
      </c>
      <c r="E3708" s="7" t="s">
        <v>11609</v>
      </c>
      <c r="F3708" s="13"/>
      <c r="G3708" s="14"/>
      <c r="H3708" s="15">
        <v>240</v>
      </c>
      <c r="I3708" s="15">
        <v>20</v>
      </c>
      <c r="J3708" s="17">
        <v>9600</v>
      </c>
      <c r="K3708" s="5">
        <v>240</v>
      </c>
      <c r="L3708" s="16">
        <v>12.533333333333333</v>
      </c>
      <c r="M3708" s="12"/>
      <c r="N3708" s="14">
        <f t="shared" si="165"/>
        <v>0</v>
      </c>
      <c r="O3708" s="23">
        <f>0.108*M3708</f>
        <v>0</v>
      </c>
      <c r="P3708" s="24">
        <f>0.00021*M3708</f>
        <v>0</v>
      </c>
      <c r="Q3708" s="25"/>
      <c r="R3708" s="26" t="s">
        <v>11610</v>
      </c>
      <c r="S3708" s="26" t="s">
        <v>29</v>
      </c>
      <c r="T3708" s="6" t="str">
        <f>HYPERLINK("https://kanzpp.ru/api/getInfo/image/8e7a0a3a-7cca-11ef-a265-00155d82e908")</f>
        <v>https://kanzpp.ru/api/getInfo/image/8e7a0a3a-7cca-11ef-a265-00155d82e908</v>
      </c>
      <c r="U3708" s="6"/>
      <c r="V3708" s="33" t="s">
        <v>35</v>
      </c>
    </row>
    <row r="3709" spans="2:22" ht="21" customHeight="1" outlineLevel="7" x14ac:dyDescent="0.2">
      <c r="B3709" s="69">
        <v>2752</v>
      </c>
      <c r="C3709" s="6" t="s">
        <v>11611</v>
      </c>
      <c r="D3709" s="6" t="s">
        <v>11612</v>
      </c>
      <c r="E3709" s="7" t="s">
        <v>11613</v>
      </c>
      <c r="F3709" s="13"/>
      <c r="G3709" s="14"/>
      <c r="H3709" s="15">
        <v>240</v>
      </c>
      <c r="I3709" s="15">
        <v>20</v>
      </c>
      <c r="J3709" s="17">
        <v>4074</v>
      </c>
      <c r="K3709" s="5">
        <v>240</v>
      </c>
      <c r="L3709" s="16">
        <v>12.533333333333333</v>
      </c>
      <c r="M3709" s="12"/>
      <c r="N3709" s="14">
        <f t="shared" si="165"/>
        <v>0</v>
      </c>
      <c r="O3709" s="23">
        <f>0.041*M3709</f>
        <v>0</v>
      </c>
      <c r="P3709" s="24">
        <f>0.00003*M3709</f>
        <v>0</v>
      </c>
      <c r="Q3709" s="25"/>
      <c r="R3709" s="26" t="s">
        <v>11614</v>
      </c>
      <c r="S3709" s="26" t="s">
        <v>29</v>
      </c>
      <c r="T3709" s="6" t="str">
        <f>HYPERLINK("https://kanzpp.ru/api/getInfo/image/256213e8-4135-11ec-a20f-ac1f6b442185")</f>
        <v>https://kanzpp.ru/api/getInfo/image/256213e8-4135-11ec-a20f-ac1f6b442185</v>
      </c>
      <c r="U3709" s="6"/>
      <c r="V3709" s="33" t="s">
        <v>35</v>
      </c>
    </row>
    <row r="3710" spans="2:22" ht="21" customHeight="1" outlineLevel="7" x14ac:dyDescent="0.2">
      <c r="B3710" s="71">
        <v>2753</v>
      </c>
      <c r="C3710" s="37" t="s">
        <v>11615</v>
      </c>
      <c r="D3710" s="37" t="s">
        <v>11616</v>
      </c>
      <c r="E3710" s="38" t="s">
        <v>11617</v>
      </c>
      <c r="F3710" s="39"/>
      <c r="G3710" s="40"/>
      <c r="H3710" s="41">
        <v>240</v>
      </c>
      <c r="I3710" s="41">
        <v>20</v>
      </c>
      <c r="J3710" s="50">
        <v>5060</v>
      </c>
      <c r="K3710" s="36">
        <v>240</v>
      </c>
      <c r="L3710" s="42">
        <f>(12.53*(1-O3/100))/0.75</f>
        <v>16.706666666666667</v>
      </c>
      <c r="M3710" s="12"/>
      <c r="N3710" s="40">
        <f t="shared" si="165"/>
        <v>0</v>
      </c>
      <c r="O3710" s="43">
        <f>0.035*M3710</f>
        <v>0</v>
      </c>
      <c r="P3710" s="46">
        <f>0.0001*M3710</f>
        <v>0</v>
      </c>
      <c r="Q3710" s="44"/>
      <c r="R3710" s="45" t="s">
        <v>11618</v>
      </c>
      <c r="S3710" s="45" t="s">
        <v>29</v>
      </c>
      <c r="T3710" s="37" t="str">
        <f>HYPERLINK("https://kanzpp.ru/api/getInfo/image/8bc8c8fe-fc43-11f0-a28e-00155d82e908")</f>
        <v>https://kanzpp.ru/api/getInfo/image/8bc8c8fe-fc43-11f0-a28e-00155d82e908</v>
      </c>
      <c r="U3710" s="37"/>
    </row>
    <row r="3711" spans="2:22" ht="21" customHeight="1" outlineLevel="7" x14ac:dyDescent="0.2">
      <c r="B3711" s="71">
        <v>2754</v>
      </c>
      <c r="C3711" s="37" t="s">
        <v>11619</v>
      </c>
      <c r="D3711" s="37" t="s">
        <v>11620</v>
      </c>
      <c r="E3711" s="38" t="s">
        <v>11621</v>
      </c>
      <c r="F3711" s="39"/>
      <c r="G3711" s="40"/>
      <c r="H3711" s="41">
        <v>240</v>
      </c>
      <c r="I3711" s="41">
        <v>20</v>
      </c>
      <c r="J3711" s="50">
        <v>5280</v>
      </c>
      <c r="K3711" s="36">
        <v>240</v>
      </c>
      <c r="L3711" s="42">
        <f>(12.53*(1-O3/100))/0.75</f>
        <v>16.706666666666667</v>
      </c>
      <c r="M3711" s="12"/>
      <c r="N3711" s="40">
        <f t="shared" si="165"/>
        <v>0</v>
      </c>
      <c r="O3711" s="43">
        <f>0.038*M3711</f>
        <v>0</v>
      </c>
      <c r="P3711" s="47">
        <f>0.00014*M3711</f>
        <v>0</v>
      </c>
      <c r="Q3711" s="44"/>
      <c r="R3711" s="45" t="s">
        <v>11622</v>
      </c>
      <c r="S3711" s="45" t="s">
        <v>29</v>
      </c>
      <c r="T3711" s="37" t="str">
        <f>HYPERLINK("https://kanzpp.ru/api/getInfo/image/6fc623e4-7cca-11ef-a265-00155d82e908")</f>
        <v>https://kanzpp.ru/api/getInfo/image/6fc623e4-7cca-11ef-a265-00155d82e908</v>
      </c>
      <c r="U3711" s="37"/>
    </row>
    <row r="3712" spans="2:22" ht="21" customHeight="1" outlineLevel="7" x14ac:dyDescent="0.2">
      <c r="B3712" s="71">
        <v>2755</v>
      </c>
      <c r="C3712" s="37" t="s">
        <v>11623</v>
      </c>
      <c r="D3712" s="37" t="s">
        <v>11624</v>
      </c>
      <c r="E3712" s="38" t="s">
        <v>11625</v>
      </c>
      <c r="F3712" s="39"/>
      <c r="G3712" s="40"/>
      <c r="H3712" s="41">
        <v>240</v>
      </c>
      <c r="I3712" s="41">
        <v>20</v>
      </c>
      <c r="J3712" s="50">
        <v>5900</v>
      </c>
      <c r="K3712" s="36">
        <v>240</v>
      </c>
      <c r="L3712" s="42">
        <f>(12.53*(1-O3/100))/0.75</f>
        <v>16.706666666666667</v>
      </c>
      <c r="M3712" s="12"/>
      <c r="N3712" s="40">
        <f t="shared" si="165"/>
        <v>0</v>
      </c>
      <c r="O3712" s="48">
        <f>0.03*M3712</f>
        <v>0</v>
      </c>
      <c r="P3712" s="46">
        <f>0.0001*M3712</f>
        <v>0</v>
      </c>
      <c r="Q3712" s="44"/>
      <c r="R3712" s="45" t="s">
        <v>11626</v>
      </c>
      <c r="S3712" s="45" t="s">
        <v>29</v>
      </c>
      <c r="T3712" s="37" t="str">
        <f>HYPERLINK("https://kanzpp.ru/api/getInfo/image/c072ed99-fc43-11f0-a28e-00155d82e908")</f>
        <v>https://kanzpp.ru/api/getInfo/image/c072ed99-fc43-11f0-a28e-00155d82e908</v>
      </c>
      <c r="U3712" s="37"/>
    </row>
    <row r="3713" spans="2:22" ht="21" customHeight="1" outlineLevel="7" x14ac:dyDescent="0.2">
      <c r="B3713" s="69">
        <v>2756</v>
      </c>
      <c r="C3713" s="6" t="s">
        <v>11627</v>
      </c>
      <c r="D3713" s="6" t="s">
        <v>11628</v>
      </c>
      <c r="E3713" s="7" t="s">
        <v>11629</v>
      </c>
      <c r="F3713" s="13"/>
      <c r="G3713" s="14"/>
      <c r="H3713" s="15">
        <v>250</v>
      </c>
      <c r="I3713" s="15">
        <v>25</v>
      </c>
      <c r="J3713" s="17">
        <v>9348</v>
      </c>
      <c r="K3713" s="5">
        <v>250</v>
      </c>
      <c r="L3713" s="16">
        <v>6.5333333333333341</v>
      </c>
      <c r="M3713" s="12"/>
      <c r="N3713" s="14">
        <f t="shared" si="165"/>
        <v>0</v>
      </c>
      <c r="O3713" s="23">
        <f>0.038*M3713</f>
        <v>0</v>
      </c>
      <c r="P3713" s="24">
        <f>0.00013*M3713</f>
        <v>0</v>
      </c>
      <c r="Q3713" s="25"/>
      <c r="R3713" s="26" t="s">
        <v>11630</v>
      </c>
      <c r="S3713" s="26" t="s">
        <v>29</v>
      </c>
      <c r="T3713" s="6" t="str">
        <f>HYPERLINK("https://kanzpp.ru/api/getInfo/image/c9165a4d-ecc9-11ee-a25b-00155d82e908")</f>
        <v>https://kanzpp.ru/api/getInfo/image/c9165a4d-ecc9-11ee-a25b-00155d82e908</v>
      </c>
      <c r="U3713" s="6"/>
      <c r="V3713" s="33" t="s">
        <v>35</v>
      </c>
    </row>
    <row r="3714" spans="2:22" ht="21" customHeight="1" outlineLevel="7" x14ac:dyDescent="0.2">
      <c r="B3714" s="69">
        <v>2757</v>
      </c>
      <c r="C3714" s="6" t="s">
        <v>11631</v>
      </c>
      <c r="D3714" s="6" t="s">
        <v>11632</v>
      </c>
      <c r="E3714" s="7" t="s">
        <v>11633</v>
      </c>
      <c r="F3714" s="13"/>
      <c r="G3714" s="14"/>
      <c r="H3714" s="15">
        <v>250</v>
      </c>
      <c r="I3714" s="15">
        <v>25</v>
      </c>
      <c r="J3714" s="17">
        <v>19248</v>
      </c>
      <c r="K3714" s="5">
        <v>250</v>
      </c>
      <c r="L3714" s="16">
        <v>5.2</v>
      </c>
      <c r="M3714" s="12"/>
      <c r="N3714" s="14">
        <f t="shared" si="165"/>
        <v>0</v>
      </c>
      <c r="O3714" s="23">
        <f>0.041*M3714</f>
        <v>0</v>
      </c>
      <c r="P3714" s="24">
        <f>0.00003*M3714</f>
        <v>0</v>
      </c>
      <c r="Q3714" s="25"/>
      <c r="R3714" s="26" t="s">
        <v>11634</v>
      </c>
      <c r="S3714" s="26" t="s">
        <v>29</v>
      </c>
      <c r="T3714" s="6" t="str">
        <f>HYPERLINK("https://kanzpp.ru/api/getInfo/image/4ff78c51-0eb2-11eb-a25b-ac1f6b442184")</f>
        <v>https://kanzpp.ru/api/getInfo/image/4ff78c51-0eb2-11eb-a25b-ac1f6b442184</v>
      </c>
      <c r="U3714" s="6"/>
      <c r="V3714" s="33" t="s">
        <v>35</v>
      </c>
    </row>
    <row r="3715" spans="2:22" ht="21" customHeight="1" outlineLevel="7" x14ac:dyDescent="0.2">
      <c r="B3715" s="71">
        <v>2758</v>
      </c>
      <c r="C3715" s="37" t="s">
        <v>11635</v>
      </c>
      <c r="D3715" s="37" t="s">
        <v>11636</v>
      </c>
      <c r="E3715" s="38" t="s">
        <v>11637</v>
      </c>
      <c r="F3715" s="39"/>
      <c r="G3715" s="40"/>
      <c r="H3715" s="41">
        <v>240</v>
      </c>
      <c r="I3715" s="41">
        <v>20</v>
      </c>
      <c r="J3715" s="50">
        <v>8120</v>
      </c>
      <c r="K3715" s="36">
        <v>240</v>
      </c>
      <c r="L3715" s="42">
        <f>(12.53*(1-O3/100))/0.75</f>
        <v>16.706666666666667</v>
      </c>
      <c r="M3715" s="12"/>
      <c r="N3715" s="40">
        <f t="shared" si="165"/>
        <v>0</v>
      </c>
      <c r="O3715" s="48">
        <f>0.03*M3715</f>
        <v>0</v>
      </c>
      <c r="P3715" s="46">
        <f>0.0001*M3715</f>
        <v>0</v>
      </c>
      <c r="Q3715" s="44"/>
      <c r="R3715" s="45" t="s">
        <v>11638</v>
      </c>
      <c r="S3715" s="45" t="s">
        <v>29</v>
      </c>
      <c r="T3715" s="37" t="str">
        <f>HYPERLINK("https://kanzpp.ru/api/getInfo/image/92d7f314-fc47-11f0-a28e-00155d82e908")</f>
        <v>https://kanzpp.ru/api/getInfo/image/92d7f314-fc47-11f0-a28e-00155d82e908</v>
      </c>
      <c r="U3715" s="37"/>
    </row>
    <row r="3716" spans="2:22" ht="21" customHeight="1" outlineLevel="7" x14ac:dyDescent="0.2">
      <c r="B3716" s="69">
        <v>2759</v>
      </c>
      <c r="C3716" s="6" t="s">
        <v>11639</v>
      </c>
      <c r="D3716" s="6" t="s">
        <v>11640</v>
      </c>
      <c r="E3716" s="7" t="s">
        <v>11641</v>
      </c>
      <c r="F3716" s="13"/>
      <c r="G3716" s="14"/>
      <c r="H3716" s="15">
        <v>240</v>
      </c>
      <c r="I3716" s="15">
        <v>20</v>
      </c>
      <c r="J3716" s="15">
        <v>751</v>
      </c>
      <c r="K3716" s="5">
        <v>240</v>
      </c>
      <c r="L3716" s="16">
        <v>9.2000000000000011</v>
      </c>
      <c r="M3716" s="12"/>
      <c r="N3716" s="14">
        <f t="shared" si="165"/>
        <v>0</v>
      </c>
      <c r="O3716" s="28">
        <f>0.04*M3716</f>
        <v>0</v>
      </c>
      <c r="P3716" s="24">
        <f>0.00003*M3716</f>
        <v>0</v>
      </c>
      <c r="Q3716" s="25"/>
      <c r="R3716" s="26" t="s">
        <v>11642</v>
      </c>
      <c r="S3716" s="26" t="s">
        <v>29</v>
      </c>
      <c r="T3716" s="6" t="str">
        <f>HYPERLINK("https://kanzpp.ru/api/getInfo/image/68ee2314-9299-11e5-b0ae-5cf3fc4a2490")</f>
        <v>https://kanzpp.ru/api/getInfo/image/68ee2314-9299-11e5-b0ae-5cf3fc4a2490</v>
      </c>
      <c r="U3716" s="6"/>
      <c r="V3716" s="33" t="s">
        <v>35</v>
      </c>
    </row>
    <row r="3717" spans="2:22" ht="21" customHeight="1" outlineLevel="7" x14ac:dyDescent="0.2">
      <c r="B3717" s="71">
        <v>2760</v>
      </c>
      <c r="C3717" s="37" t="s">
        <v>11643</v>
      </c>
      <c r="D3717" s="37" t="s">
        <v>11644</v>
      </c>
      <c r="E3717" s="38" t="s">
        <v>11645</v>
      </c>
      <c r="F3717" s="39"/>
      <c r="G3717" s="40"/>
      <c r="H3717" s="41">
        <v>240</v>
      </c>
      <c r="I3717" s="41">
        <v>20</v>
      </c>
      <c r="J3717" s="50">
        <v>4520</v>
      </c>
      <c r="K3717" s="36">
        <v>240</v>
      </c>
      <c r="L3717" s="42">
        <f>(12.53*(1-O3/100))/0.75</f>
        <v>16.706666666666667</v>
      </c>
      <c r="M3717" s="12"/>
      <c r="N3717" s="40">
        <f t="shared" si="165"/>
        <v>0</v>
      </c>
      <c r="O3717" s="43">
        <f>0.048*M3717</f>
        <v>0</v>
      </c>
      <c r="P3717" s="46">
        <f>0.0002*M3717</f>
        <v>0</v>
      </c>
      <c r="Q3717" s="44"/>
      <c r="R3717" s="45" t="s">
        <v>11646</v>
      </c>
      <c r="S3717" s="45" t="s">
        <v>29</v>
      </c>
      <c r="T3717" s="37" t="str">
        <f>HYPERLINK("https://kanzpp.ru/api/getInfo/image/35c43277-fc45-11f0-a28e-00155d82e908")</f>
        <v>https://kanzpp.ru/api/getInfo/image/35c43277-fc45-11f0-a28e-00155d82e908</v>
      </c>
      <c r="U3717" s="37"/>
    </row>
    <row r="3718" spans="2:22" ht="22.95" customHeight="1" outlineLevel="6" x14ac:dyDescent="0.2">
      <c r="B3718" s="84" t="s">
        <v>11647</v>
      </c>
      <c r="C3718" s="84"/>
      <c r="D3718" s="84"/>
      <c r="L3718">
        <v>0</v>
      </c>
    </row>
    <row r="3719" spans="2:22" ht="21" customHeight="1" outlineLevel="7" x14ac:dyDescent="0.2">
      <c r="B3719" s="69">
        <v>2761</v>
      </c>
      <c r="C3719" s="6" t="s">
        <v>11648</v>
      </c>
      <c r="D3719" s="6" t="s">
        <v>11649</v>
      </c>
      <c r="E3719" s="7" t="s">
        <v>11650</v>
      </c>
      <c r="F3719" s="13"/>
      <c r="G3719" s="14"/>
      <c r="H3719" s="15">
        <v>250</v>
      </c>
      <c r="I3719" s="15">
        <v>25</v>
      </c>
      <c r="J3719" s="17">
        <v>11620</v>
      </c>
      <c r="K3719" s="5">
        <v>250</v>
      </c>
      <c r="L3719" s="16">
        <v>5.2</v>
      </c>
      <c r="M3719" s="12"/>
      <c r="N3719" s="14">
        <f t="shared" ref="N3719:N3731" si="166">L3719*M3719</f>
        <v>0</v>
      </c>
      <c r="O3719" s="23">
        <f>0.041*M3719</f>
        <v>0</v>
      </c>
      <c r="P3719" s="24">
        <f>0.00003*M3719</f>
        <v>0</v>
      </c>
      <c r="Q3719" s="25"/>
      <c r="R3719" s="26" t="s">
        <v>11651</v>
      </c>
      <c r="S3719" s="26" t="s">
        <v>29</v>
      </c>
      <c r="T3719" s="6" t="str">
        <f>HYPERLINK("https://kanzpp.ru/api/getInfo/image/f0da620f-0eba-11eb-a25b-ac1f6b442184")</f>
        <v>https://kanzpp.ru/api/getInfo/image/f0da620f-0eba-11eb-a25b-ac1f6b442184</v>
      </c>
      <c r="U3719" s="6"/>
      <c r="V3719" s="33" t="s">
        <v>35</v>
      </c>
    </row>
    <row r="3720" spans="2:22" ht="21" customHeight="1" outlineLevel="7" x14ac:dyDescent="0.2">
      <c r="B3720" s="69">
        <v>2762</v>
      </c>
      <c r="C3720" s="6" t="s">
        <v>11652</v>
      </c>
      <c r="D3720" s="6" t="s">
        <v>11653</v>
      </c>
      <c r="E3720" s="7" t="s">
        <v>11654</v>
      </c>
      <c r="F3720" s="13"/>
      <c r="G3720" s="14"/>
      <c r="H3720" s="15">
        <v>250</v>
      </c>
      <c r="I3720" s="15">
        <v>25</v>
      </c>
      <c r="J3720" s="17">
        <v>9915</v>
      </c>
      <c r="K3720" s="5">
        <v>250</v>
      </c>
      <c r="L3720" s="16">
        <v>9.2000000000000011</v>
      </c>
      <c r="M3720" s="12"/>
      <c r="N3720" s="14">
        <f t="shared" si="166"/>
        <v>0</v>
      </c>
      <c r="O3720" s="23">
        <f>0.038*M3720</f>
        <v>0</v>
      </c>
      <c r="P3720" s="24">
        <f>0.00011*M3720</f>
        <v>0</v>
      </c>
      <c r="Q3720" s="25"/>
      <c r="R3720" s="26" t="s">
        <v>11655</v>
      </c>
      <c r="S3720" s="26" t="s">
        <v>29</v>
      </c>
      <c r="T3720" s="6" t="str">
        <f>HYPERLINK("https://kanzpp.ru/api/getInfo/image/34078842-9b3c-11ee-a256-00155d82e908")</f>
        <v>https://kanzpp.ru/api/getInfo/image/34078842-9b3c-11ee-a256-00155d82e908</v>
      </c>
      <c r="U3720" s="6"/>
      <c r="V3720" s="33" t="s">
        <v>35</v>
      </c>
    </row>
    <row r="3721" spans="2:22" ht="21" customHeight="1" outlineLevel="7" x14ac:dyDescent="0.2">
      <c r="B3721" s="69">
        <v>2763</v>
      </c>
      <c r="C3721" s="6" t="s">
        <v>11656</v>
      </c>
      <c r="D3721" s="6" t="s">
        <v>11657</v>
      </c>
      <c r="E3721" s="7" t="s">
        <v>11658</v>
      </c>
      <c r="F3721" s="13"/>
      <c r="G3721" s="14"/>
      <c r="H3721" s="15">
        <v>250</v>
      </c>
      <c r="I3721" s="15">
        <v>25</v>
      </c>
      <c r="J3721" s="17">
        <v>8135</v>
      </c>
      <c r="K3721" s="5">
        <v>250</v>
      </c>
      <c r="L3721" s="16">
        <v>5.2</v>
      </c>
      <c r="M3721" s="12"/>
      <c r="N3721" s="14">
        <f t="shared" si="166"/>
        <v>0</v>
      </c>
      <c r="O3721" s="23">
        <f>0.041*M3721</f>
        <v>0</v>
      </c>
      <c r="P3721" s="24">
        <f>0.00003*M3721</f>
        <v>0</v>
      </c>
      <c r="Q3721" s="25"/>
      <c r="R3721" s="26" t="s">
        <v>11659</v>
      </c>
      <c r="S3721" s="26" t="s">
        <v>29</v>
      </c>
      <c r="T3721" s="6" t="str">
        <f>HYPERLINK("https://kanzpp.ru/api/getInfo/image/517daee1-0ebe-11eb-a25b-ac1f6b442184")</f>
        <v>https://kanzpp.ru/api/getInfo/image/517daee1-0ebe-11eb-a25b-ac1f6b442184</v>
      </c>
      <c r="U3721" s="6"/>
      <c r="V3721" s="33" t="s">
        <v>35</v>
      </c>
    </row>
    <row r="3722" spans="2:22" ht="21" customHeight="1" outlineLevel="7" x14ac:dyDescent="0.2">
      <c r="B3722" s="69">
        <v>2764</v>
      </c>
      <c r="C3722" s="6" t="s">
        <v>11660</v>
      </c>
      <c r="D3722" s="6" t="s">
        <v>11661</v>
      </c>
      <c r="E3722" s="7" t="s">
        <v>11662</v>
      </c>
      <c r="F3722" s="13"/>
      <c r="G3722" s="14"/>
      <c r="H3722" s="15">
        <v>250</v>
      </c>
      <c r="I3722" s="15">
        <v>25</v>
      </c>
      <c r="J3722" s="14" t="s">
        <v>144</v>
      </c>
      <c r="K3722" s="5">
        <v>250</v>
      </c>
      <c r="L3722" s="16">
        <v>3.3333333333333335</v>
      </c>
      <c r="M3722" s="12"/>
      <c r="N3722" s="14">
        <f t="shared" si="166"/>
        <v>0</v>
      </c>
      <c r="O3722" s="23">
        <f>0.041*M3722</f>
        <v>0</v>
      </c>
      <c r="P3722" s="24">
        <f>0.00003*M3722</f>
        <v>0</v>
      </c>
      <c r="Q3722" s="25"/>
      <c r="R3722" s="26" t="s">
        <v>11663</v>
      </c>
      <c r="S3722" s="26" t="s">
        <v>29</v>
      </c>
      <c r="T3722" s="6" t="str">
        <f>HYPERLINK("https://kanzpp.ru/api/getInfo/image/aed5fa2e-0ebe-11eb-a25b-ac1f6b442184")</f>
        <v>https://kanzpp.ru/api/getInfo/image/aed5fa2e-0ebe-11eb-a25b-ac1f6b442184</v>
      </c>
      <c r="U3722" s="6"/>
      <c r="V3722" s="33" t="s">
        <v>35</v>
      </c>
    </row>
    <row r="3723" spans="2:22" ht="21" customHeight="1" outlineLevel="7" x14ac:dyDescent="0.2">
      <c r="B3723" s="71">
        <v>2765</v>
      </c>
      <c r="C3723" s="37" t="s">
        <v>11664</v>
      </c>
      <c r="D3723" s="37" t="s">
        <v>11665</v>
      </c>
      <c r="E3723" s="38" t="s">
        <v>11666</v>
      </c>
      <c r="F3723" s="39"/>
      <c r="G3723" s="40"/>
      <c r="H3723" s="41">
        <v>240</v>
      </c>
      <c r="I3723" s="41">
        <v>20</v>
      </c>
      <c r="J3723" s="50">
        <v>17295</v>
      </c>
      <c r="K3723" s="36">
        <v>240</v>
      </c>
      <c r="L3723" s="42">
        <f>(12.53*(1-O3/100))/0.75</f>
        <v>16.706666666666667</v>
      </c>
      <c r="M3723" s="12"/>
      <c r="N3723" s="40">
        <f t="shared" si="166"/>
        <v>0</v>
      </c>
      <c r="O3723" s="43">
        <f>0.108*M3723</f>
        <v>0</v>
      </c>
      <c r="P3723" s="47">
        <f>0.00021*M3723</f>
        <v>0</v>
      </c>
      <c r="Q3723" s="44"/>
      <c r="R3723" s="45" t="s">
        <v>11667</v>
      </c>
      <c r="S3723" s="45" t="s">
        <v>29</v>
      </c>
      <c r="T3723" s="37" t="str">
        <f>HYPERLINK("https://kanzpp.ru/api/getInfo/image/210663f1-fc49-11f0-a28e-00155d82e908")</f>
        <v>https://kanzpp.ru/api/getInfo/image/210663f1-fc49-11f0-a28e-00155d82e908</v>
      </c>
      <c r="U3723" s="37"/>
    </row>
    <row r="3724" spans="2:22" ht="21" customHeight="1" outlineLevel="7" x14ac:dyDescent="0.2">
      <c r="B3724" s="71">
        <v>2766</v>
      </c>
      <c r="C3724" s="37" t="s">
        <v>11668</v>
      </c>
      <c r="D3724" s="37" t="s">
        <v>11669</v>
      </c>
      <c r="E3724" s="38" t="s">
        <v>11670</v>
      </c>
      <c r="F3724" s="39"/>
      <c r="G3724" s="40"/>
      <c r="H3724" s="41">
        <v>240</v>
      </c>
      <c r="I3724" s="41">
        <v>20</v>
      </c>
      <c r="J3724" s="41">
        <v>930</v>
      </c>
      <c r="K3724" s="36">
        <v>240</v>
      </c>
      <c r="L3724" s="42">
        <f>(12.53*(1-O3/100))/0.75</f>
        <v>16.706666666666667</v>
      </c>
      <c r="M3724" s="12"/>
      <c r="N3724" s="40">
        <f t="shared" si="166"/>
        <v>0</v>
      </c>
      <c r="O3724" s="48">
        <f>0.05*M3724</f>
        <v>0</v>
      </c>
      <c r="P3724" s="47">
        <f>0.00014*M3724</f>
        <v>0</v>
      </c>
      <c r="Q3724" s="44"/>
      <c r="R3724" s="45" t="s">
        <v>11671</v>
      </c>
      <c r="S3724" s="45" t="s">
        <v>29</v>
      </c>
      <c r="T3724" s="37" t="str">
        <f>HYPERLINK("https://kanzpp.ru/api/getInfo/image/5cd21c82-7ccc-11ef-a265-00155d82e908")</f>
        <v>https://kanzpp.ru/api/getInfo/image/5cd21c82-7ccc-11ef-a265-00155d82e908</v>
      </c>
      <c r="U3724" s="37"/>
    </row>
    <row r="3725" spans="2:22" ht="21" customHeight="1" outlineLevel="7" x14ac:dyDescent="0.2">
      <c r="B3725" s="71">
        <v>2767</v>
      </c>
      <c r="C3725" s="37" t="s">
        <v>11672</v>
      </c>
      <c r="D3725" s="37" t="s">
        <v>11673</v>
      </c>
      <c r="E3725" s="38" t="s">
        <v>11674</v>
      </c>
      <c r="F3725" s="39"/>
      <c r="G3725" s="40"/>
      <c r="H3725" s="41">
        <v>240</v>
      </c>
      <c r="I3725" s="41">
        <v>20</v>
      </c>
      <c r="J3725" s="50">
        <v>15979</v>
      </c>
      <c r="K3725" s="36">
        <v>240</v>
      </c>
      <c r="L3725" s="42">
        <f>(12.53*(1-O3/100))/0.75</f>
        <v>16.706666666666667</v>
      </c>
      <c r="M3725" s="12"/>
      <c r="N3725" s="40">
        <f t="shared" si="166"/>
        <v>0</v>
      </c>
      <c r="O3725" s="48">
        <f>0.04*M3725</f>
        <v>0</v>
      </c>
      <c r="P3725" s="46">
        <f>0.0001*M3725</f>
        <v>0</v>
      </c>
      <c r="Q3725" s="44"/>
      <c r="R3725" s="45" t="s">
        <v>11675</v>
      </c>
      <c r="S3725" s="45" t="s">
        <v>29</v>
      </c>
      <c r="T3725" s="37" t="str">
        <f>HYPERLINK("https://kanzpp.ru/api/getInfo/image/5a725cbc-9b3c-11ee-a256-00155d82e908")</f>
        <v>https://kanzpp.ru/api/getInfo/image/5a725cbc-9b3c-11ee-a256-00155d82e908</v>
      </c>
      <c r="U3725" s="37"/>
    </row>
    <row r="3726" spans="2:22" ht="21" customHeight="1" outlineLevel="7" x14ac:dyDescent="0.2">
      <c r="B3726" s="69">
        <v>2768</v>
      </c>
      <c r="C3726" s="6" t="s">
        <v>11676</v>
      </c>
      <c r="D3726" s="6" t="s">
        <v>11677</v>
      </c>
      <c r="E3726" s="7" t="s">
        <v>11678</v>
      </c>
      <c r="F3726" s="13"/>
      <c r="G3726" s="14"/>
      <c r="H3726" s="15">
        <v>240</v>
      </c>
      <c r="I3726" s="15">
        <v>20</v>
      </c>
      <c r="J3726" s="15">
        <v>643</v>
      </c>
      <c r="K3726" s="5">
        <v>240</v>
      </c>
      <c r="L3726" s="16">
        <v>5.2</v>
      </c>
      <c r="M3726" s="12"/>
      <c r="N3726" s="14">
        <f t="shared" si="166"/>
        <v>0</v>
      </c>
      <c r="O3726" s="23">
        <f>0.036*M3726</f>
        <v>0</v>
      </c>
      <c r="P3726" s="24">
        <f>0.00024*M3726</f>
        <v>0</v>
      </c>
      <c r="Q3726" s="25"/>
      <c r="R3726" s="26" t="s">
        <v>11679</v>
      </c>
      <c r="S3726" s="26" t="s">
        <v>29</v>
      </c>
      <c r="T3726" s="6" t="str">
        <f>HYPERLINK("https://kanzpp.ru/api/getInfo/image/bfde5765-9b3c-11ee-a256-00155d82e908")</f>
        <v>https://kanzpp.ru/api/getInfo/image/bfde5765-9b3c-11ee-a256-00155d82e908</v>
      </c>
      <c r="U3726" s="6"/>
      <c r="V3726" s="33" t="s">
        <v>35</v>
      </c>
    </row>
    <row r="3727" spans="2:22" ht="21" customHeight="1" outlineLevel="7" x14ac:dyDescent="0.2">
      <c r="B3727" s="69">
        <v>2769</v>
      </c>
      <c r="C3727" s="6" t="s">
        <v>11680</v>
      </c>
      <c r="D3727" s="6" t="s">
        <v>11681</v>
      </c>
      <c r="E3727" s="7" t="s">
        <v>11682</v>
      </c>
      <c r="F3727" s="13"/>
      <c r="G3727" s="14"/>
      <c r="H3727" s="15">
        <v>250</v>
      </c>
      <c r="I3727" s="15">
        <v>25</v>
      </c>
      <c r="J3727" s="17">
        <v>14829</v>
      </c>
      <c r="K3727" s="5">
        <v>250</v>
      </c>
      <c r="L3727" s="16">
        <v>9.2000000000000011</v>
      </c>
      <c r="M3727" s="12"/>
      <c r="N3727" s="14">
        <f t="shared" si="166"/>
        <v>0</v>
      </c>
      <c r="O3727" s="23">
        <f>0.037*M3727</f>
        <v>0</v>
      </c>
      <c r="P3727" s="24">
        <f>0.00003*M3727</f>
        <v>0</v>
      </c>
      <c r="Q3727" s="25"/>
      <c r="R3727" s="26" t="s">
        <v>11683</v>
      </c>
      <c r="S3727" s="26" t="s">
        <v>29</v>
      </c>
      <c r="T3727" s="6" t="str">
        <f>HYPERLINK("https://kanzpp.ru/api/getInfo/image/77ea0996-2677-11ec-a20f-ac1f6b442185")</f>
        <v>https://kanzpp.ru/api/getInfo/image/77ea0996-2677-11ec-a20f-ac1f6b442185</v>
      </c>
      <c r="U3727" s="6"/>
      <c r="V3727" s="33" t="s">
        <v>35</v>
      </c>
    </row>
    <row r="3728" spans="2:22" ht="21" customHeight="1" outlineLevel="7" x14ac:dyDescent="0.2">
      <c r="B3728" s="69">
        <v>2770</v>
      </c>
      <c r="C3728" s="6" t="s">
        <v>11684</v>
      </c>
      <c r="D3728" s="6" t="s">
        <v>11685</v>
      </c>
      <c r="E3728" s="7" t="s">
        <v>11686</v>
      </c>
      <c r="F3728" s="13"/>
      <c r="G3728" s="14"/>
      <c r="H3728" s="15">
        <v>250</v>
      </c>
      <c r="I3728" s="15">
        <v>25</v>
      </c>
      <c r="J3728" s="17">
        <v>16202</v>
      </c>
      <c r="K3728" s="5">
        <v>250</v>
      </c>
      <c r="L3728" s="16">
        <v>5.2</v>
      </c>
      <c r="M3728" s="12"/>
      <c r="N3728" s="14">
        <f t="shared" si="166"/>
        <v>0</v>
      </c>
      <c r="O3728" s="23">
        <f>0.037*M3728</f>
        <v>0</v>
      </c>
      <c r="P3728" s="24">
        <f>0.00003*M3728</f>
        <v>0</v>
      </c>
      <c r="Q3728" s="25"/>
      <c r="R3728" s="26" t="s">
        <v>11687</v>
      </c>
      <c r="S3728" s="26" t="s">
        <v>29</v>
      </c>
      <c r="T3728" s="6" t="str">
        <f>HYPERLINK("https://kanzpp.ru/api/getInfo/image/e29a5ee5-2676-11ec-a20f-ac1f6b442185")</f>
        <v>https://kanzpp.ru/api/getInfo/image/e29a5ee5-2676-11ec-a20f-ac1f6b442185</v>
      </c>
      <c r="U3728" s="6"/>
      <c r="V3728" s="33" t="s">
        <v>35</v>
      </c>
    </row>
    <row r="3729" spans="2:22" ht="21" customHeight="1" outlineLevel="7" x14ac:dyDescent="0.2">
      <c r="B3729" s="69">
        <v>2771</v>
      </c>
      <c r="C3729" s="6" t="s">
        <v>11688</v>
      </c>
      <c r="D3729" s="6" t="s">
        <v>11689</v>
      </c>
      <c r="E3729" s="7" t="s">
        <v>11690</v>
      </c>
      <c r="F3729" s="13"/>
      <c r="G3729" s="14"/>
      <c r="H3729" s="15">
        <v>250</v>
      </c>
      <c r="I3729" s="15">
        <v>25</v>
      </c>
      <c r="J3729" s="14" t="s">
        <v>144</v>
      </c>
      <c r="K3729" s="5">
        <v>250</v>
      </c>
      <c r="L3729" s="16">
        <v>5.2</v>
      </c>
      <c r="M3729" s="12"/>
      <c r="N3729" s="14">
        <f t="shared" si="166"/>
        <v>0</v>
      </c>
      <c r="O3729" s="23">
        <f>0.037*M3729</f>
        <v>0</v>
      </c>
      <c r="P3729" s="24">
        <f>0.00003*M3729</f>
        <v>0</v>
      </c>
      <c r="Q3729" s="25"/>
      <c r="R3729" s="26" t="s">
        <v>11691</v>
      </c>
      <c r="S3729" s="26" t="s">
        <v>29</v>
      </c>
      <c r="T3729" s="6" t="str">
        <f>HYPERLINK("https://kanzpp.ru/api/getInfo/image/4019770e-2677-11ec-a20f-ac1f6b442185")</f>
        <v>https://kanzpp.ru/api/getInfo/image/4019770e-2677-11ec-a20f-ac1f6b442185</v>
      </c>
      <c r="U3729" s="6"/>
      <c r="V3729" s="33" t="s">
        <v>35</v>
      </c>
    </row>
    <row r="3730" spans="2:22" ht="21" customHeight="1" outlineLevel="7" x14ac:dyDescent="0.2">
      <c r="B3730" s="69">
        <v>2772</v>
      </c>
      <c r="C3730" s="6" t="s">
        <v>11692</v>
      </c>
      <c r="D3730" s="6" t="s">
        <v>11693</v>
      </c>
      <c r="E3730" s="7" t="s">
        <v>11694</v>
      </c>
      <c r="F3730" s="13"/>
      <c r="G3730" s="14"/>
      <c r="H3730" s="15">
        <v>250</v>
      </c>
      <c r="I3730" s="15">
        <v>25</v>
      </c>
      <c r="J3730" s="17">
        <v>2175</v>
      </c>
      <c r="K3730" s="5">
        <v>250</v>
      </c>
      <c r="L3730" s="16">
        <v>9.2000000000000011</v>
      </c>
      <c r="M3730" s="12"/>
      <c r="N3730" s="14">
        <f t="shared" si="166"/>
        <v>0</v>
      </c>
      <c r="O3730" s="23">
        <f>0.041*M3730</f>
        <v>0</v>
      </c>
      <c r="P3730" s="24">
        <f>0.00003*M3730</f>
        <v>0</v>
      </c>
      <c r="Q3730" s="25"/>
      <c r="R3730" s="26" t="s">
        <v>11695</v>
      </c>
      <c r="S3730" s="26" t="s">
        <v>29</v>
      </c>
      <c r="T3730" s="6" t="str">
        <f>HYPERLINK("https://kanzpp.ru/api/getInfo/image/e7dfee75-2586-11ea-a239-ac1f6b442184")</f>
        <v>https://kanzpp.ru/api/getInfo/image/e7dfee75-2586-11ea-a239-ac1f6b442184</v>
      </c>
      <c r="U3730" s="6"/>
      <c r="V3730" s="33" t="s">
        <v>35</v>
      </c>
    </row>
    <row r="3731" spans="2:22" ht="21" customHeight="1" outlineLevel="7" x14ac:dyDescent="0.2">
      <c r="B3731" s="69">
        <v>2773</v>
      </c>
      <c r="C3731" s="6" t="s">
        <v>11696</v>
      </c>
      <c r="D3731" s="6" t="s">
        <v>11697</v>
      </c>
      <c r="E3731" s="7" t="s">
        <v>11698</v>
      </c>
      <c r="F3731" s="13"/>
      <c r="G3731" s="14"/>
      <c r="H3731" s="15">
        <v>250</v>
      </c>
      <c r="I3731" s="15">
        <v>25</v>
      </c>
      <c r="J3731" s="17">
        <v>3910</v>
      </c>
      <c r="K3731" s="5">
        <v>250</v>
      </c>
      <c r="L3731" s="16">
        <v>9.2000000000000011</v>
      </c>
      <c r="M3731" s="12"/>
      <c r="N3731" s="14">
        <f t="shared" si="166"/>
        <v>0</v>
      </c>
      <c r="O3731" s="23">
        <f>0.041*M3731</f>
        <v>0</v>
      </c>
      <c r="P3731" s="24">
        <f>0.00003*M3731</f>
        <v>0</v>
      </c>
      <c r="Q3731" s="25"/>
      <c r="R3731" s="26" t="s">
        <v>11699</v>
      </c>
      <c r="S3731" s="26" t="s">
        <v>29</v>
      </c>
      <c r="T3731" s="6" t="str">
        <f>HYPERLINK("https://kanzpp.ru/api/getInfo/image/8de40d2c-9299-11e5-b0ae-5cf3fc4a2490")</f>
        <v>https://kanzpp.ru/api/getInfo/image/8de40d2c-9299-11e5-b0ae-5cf3fc4a2490</v>
      </c>
      <c r="U3731" s="6"/>
      <c r="V3731" s="33" t="s">
        <v>35</v>
      </c>
    </row>
    <row r="3732" spans="2:22" ht="22.95" customHeight="1" outlineLevel="6" x14ac:dyDescent="0.2">
      <c r="B3732" s="84" t="s">
        <v>11700</v>
      </c>
      <c r="C3732" s="84"/>
      <c r="D3732" s="84"/>
      <c r="L3732">
        <v>0</v>
      </c>
    </row>
    <row r="3733" spans="2:22" ht="21" customHeight="1" outlineLevel="7" x14ac:dyDescent="0.2">
      <c r="B3733" s="69">
        <v>2774</v>
      </c>
      <c r="C3733" s="6" t="s">
        <v>11701</v>
      </c>
      <c r="D3733" s="6" t="s">
        <v>11702</v>
      </c>
      <c r="E3733" s="7" t="s">
        <v>970</v>
      </c>
      <c r="F3733" s="13"/>
      <c r="G3733" s="14"/>
      <c r="H3733" s="15">
        <v>250</v>
      </c>
      <c r="I3733" s="15">
        <v>25</v>
      </c>
      <c r="J3733" s="17">
        <v>3271</v>
      </c>
      <c r="K3733" s="5">
        <v>250</v>
      </c>
      <c r="L3733" s="16">
        <v>9.2000000000000011</v>
      </c>
      <c r="M3733" s="12"/>
      <c r="N3733" s="14">
        <f t="shared" ref="N3733:N3752" si="167">L3733*M3733</f>
        <v>0</v>
      </c>
      <c r="O3733" s="23">
        <f>0.041*M3733</f>
        <v>0</v>
      </c>
      <c r="P3733" s="24">
        <f>0.00003*M3733</f>
        <v>0</v>
      </c>
      <c r="Q3733" s="25"/>
      <c r="R3733" s="26" t="s">
        <v>971</v>
      </c>
      <c r="S3733" s="26" t="s">
        <v>29</v>
      </c>
      <c r="T3733" s="6" t="str">
        <f>HYPERLINK("https://kanzpp.ru/api/getInfo/image/0831a9b8-b105-11e8-a209-ac1f6b442184")</f>
        <v>https://kanzpp.ru/api/getInfo/image/0831a9b8-b105-11e8-a209-ac1f6b442184</v>
      </c>
      <c r="U3733" s="6" t="s">
        <v>971</v>
      </c>
      <c r="V3733" s="33" t="s">
        <v>35</v>
      </c>
    </row>
    <row r="3734" spans="2:22" ht="21" customHeight="1" outlineLevel="7" x14ac:dyDescent="0.2">
      <c r="B3734" s="69">
        <v>2775</v>
      </c>
      <c r="C3734" s="6" t="s">
        <v>11703</v>
      </c>
      <c r="D3734" s="6" t="s">
        <v>11704</v>
      </c>
      <c r="E3734" s="7" t="s">
        <v>11705</v>
      </c>
      <c r="F3734" s="13"/>
      <c r="G3734" s="14"/>
      <c r="H3734" s="15">
        <v>250</v>
      </c>
      <c r="I3734" s="15">
        <v>25</v>
      </c>
      <c r="J3734" s="17">
        <v>15050</v>
      </c>
      <c r="K3734" s="5">
        <v>250</v>
      </c>
      <c r="L3734" s="16">
        <v>3.3333333333333335</v>
      </c>
      <c r="M3734" s="12"/>
      <c r="N3734" s="14">
        <f t="shared" si="167"/>
        <v>0</v>
      </c>
      <c r="O3734" s="23">
        <f>0.041*M3734</f>
        <v>0</v>
      </c>
      <c r="P3734" s="24">
        <f>0.00003*M3734</f>
        <v>0</v>
      </c>
      <c r="Q3734" s="25"/>
      <c r="R3734" s="26" t="s">
        <v>11706</v>
      </c>
      <c r="S3734" s="26" t="s">
        <v>29</v>
      </c>
      <c r="T3734" s="6" t="str">
        <f>HYPERLINK("https://kanzpp.ru/api/getInfo/image/9d11b4b9-5be2-11ec-a20f-ac1f6b442185")</f>
        <v>https://kanzpp.ru/api/getInfo/image/9d11b4b9-5be2-11ec-a20f-ac1f6b442185</v>
      </c>
      <c r="U3734" s="6"/>
      <c r="V3734" s="33" t="s">
        <v>35</v>
      </c>
    </row>
    <row r="3735" spans="2:22" ht="21" customHeight="1" outlineLevel="7" x14ac:dyDescent="0.2">
      <c r="B3735" s="69">
        <v>2776</v>
      </c>
      <c r="C3735" s="6" t="s">
        <v>11707</v>
      </c>
      <c r="D3735" s="6" t="s">
        <v>11708</v>
      </c>
      <c r="E3735" s="7" t="s">
        <v>11709</v>
      </c>
      <c r="F3735" s="13"/>
      <c r="G3735" s="14"/>
      <c r="H3735" s="15">
        <v>250</v>
      </c>
      <c r="I3735" s="15">
        <v>25</v>
      </c>
      <c r="J3735" s="17">
        <v>14200</v>
      </c>
      <c r="K3735" s="5">
        <v>250</v>
      </c>
      <c r="L3735" s="16">
        <v>3.3333333333333335</v>
      </c>
      <c r="M3735" s="12"/>
      <c r="N3735" s="14">
        <f t="shared" si="167"/>
        <v>0</v>
      </c>
      <c r="O3735" s="23">
        <f>0.041*M3735</f>
        <v>0</v>
      </c>
      <c r="P3735" s="24">
        <f>0.00003*M3735</f>
        <v>0</v>
      </c>
      <c r="Q3735" s="25"/>
      <c r="R3735" s="26" t="s">
        <v>11710</v>
      </c>
      <c r="S3735" s="26" t="s">
        <v>29</v>
      </c>
      <c r="T3735" s="6" t="str">
        <f>HYPERLINK("https://kanzpp.ru/api/getInfo/image/0870cec6-5be1-11ec-a20f-ac1f6b442185")</f>
        <v>https://kanzpp.ru/api/getInfo/image/0870cec6-5be1-11ec-a20f-ac1f6b442185</v>
      </c>
      <c r="U3735" s="6"/>
      <c r="V3735" s="33" t="s">
        <v>35</v>
      </c>
    </row>
    <row r="3736" spans="2:22" ht="21" customHeight="1" outlineLevel="7" x14ac:dyDescent="0.2">
      <c r="B3736" s="69">
        <v>2777</v>
      </c>
      <c r="C3736" s="6" t="s">
        <v>11711</v>
      </c>
      <c r="D3736" s="6" t="s">
        <v>11712</v>
      </c>
      <c r="E3736" s="7" t="s">
        <v>11713</v>
      </c>
      <c r="F3736" s="13"/>
      <c r="G3736" s="14"/>
      <c r="H3736" s="15">
        <v>250</v>
      </c>
      <c r="I3736" s="15">
        <v>25</v>
      </c>
      <c r="J3736" s="17">
        <v>10675</v>
      </c>
      <c r="K3736" s="5">
        <v>250</v>
      </c>
      <c r="L3736" s="16">
        <v>3.3333333333333335</v>
      </c>
      <c r="M3736" s="12"/>
      <c r="N3736" s="14">
        <f t="shared" si="167"/>
        <v>0</v>
      </c>
      <c r="O3736" s="23">
        <f>0.041*M3736</f>
        <v>0</v>
      </c>
      <c r="P3736" s="24">
        <f>0.00003*M3736</f>
        <v>0</v>
      </c>
      <c r="Q3736" s="25"/>
      <c r="R3736" s="26" t="s">
        <v>11714</v>
      </c>
      <c r="S3736" s="26" t="s">
        <v>29</v>
      </c>
      <c r="T3736" s="6" t="str">
        <f>HYPERLINK("https://kanzpp.ru/api/getInfo/image/1486bbc6-5be2-11ec-a20f-ac1f6b442185")</f>
        <v>https://kanzpp.ru/api/getInfo/image/1486bbc6-5be2-11ec-a20f-ac1f6b442185</v>
      </c>
      <c r="U3736" s="6"/>
      <c r="V3736" s="33" t="s">
        <v>35</v>
      </c>
    </row>
    <row r="3737" spans="2:22" ht="21" customHeight="1" outlineLevel="7" x14ac:dyDescent="0.2">
      <c r="B3737" s="69">
        <v>2778</v>
      </c>
      <c r="C3737" s="6" t="s">
        <v>11715</v>
      </c>
      <c r="D3737" s="6" t="s">
        <v>11716</v>
      </c>
      <c r="E3737" s="7" t="s">
        <v>11717</v>
      </c>
      <c r="F3737" s="13"/>
      <c r="G3737" s="14"/>
      <c r="H3737" s="15">
        <v>250</v>
      </c>
      <c r="I3737" s="15">
        <v>25</v>
      </c>
      <c r="J3737" s="17">
        <v>4425</v>
      </c>
      <c r="K3737" s="5">
        <v>250</v>
      </c>
      <c r="L3737" s="16">
        <v>3.3333333333333335</v>
      </c>
      <c r="M3737" s="12"/>
      <c r="N3737" s="14">
        <f t="shared" si="167"/>
        <v>0</v>
      </c>
      <c r="O3737" s="23">
        <f>0.041*M3737</f>
        <v>0</v>
      </c>
      <c r="P3737" s="24">
        <f>0.00003*M3737</f>
        <v>0</v>
      </c>
      <c r="Q3737" s="25"/>
      <c r="R3737" s="26" t="s">
        <v>11718</v>
      </c>
      <c r="S3737" s="26" t="s">
        <v>29</v>
      </c>
      <c r="T3737" s="6" t="str">
        <f>HYPERLINK("https://kanzpp.ru/api/getInfo/image/d4ef5191-5be1-11ec-a20f-ac1f6b442185")</f>
        <v>https://kanzpp.ru/api/getInfo/image/d4ef5191-5be1-11ec-a20f-ac1f6b442185</v>
      </c>
      <c r="U3737" s="6"/>
      <c r="V3737" s="33" t="s">
        <v>35</v>
      </c>
    </row>
    <row r="3738" spans="2:22" ht="21" customHeight="1" outlineLevel="7" x14ac:dyDescent="0.2">
      <c r="B3738" s="69">
        <v>2779</v>
      </c>
      <c r="C3738" s="6" t="s">
        <v>11719</v>
      </c>
      <c r="D3738" s="6" t="s">
        <v>11720</v>
      </c>
      <c r="E3738" s="7" t="s">
        <v>11721</v>
      </c>
      <c r="F3738" s="13"/>
      <c r="G3738" s="14"/>
      <c r="H3738" s="15">
        <v>250</v>
      </c>
      <c r="I3738" s="15">
        <v>25</v>
      </c>
      <c r="J3738" s="17">
        <v>3900</v>
      </c>
      <c r="K3738" s="5">
        <v>250</v>
      </c>
      <c r="L3738" s="16">
        <v>9.2000000000000011</v>
      </c>
      <c r="M3738" s="12"/>
      <c r="N3738" s="14">
        <f t="shared" si="167"/>
        <v>0</v>
      </c>
      <c r="O3738" s="28">
        <f>0.05*M3738</f>
        <v>0</v>
      </c>
      <c r="P3738" s="31">
        <f>0.0001*M3738</f>
        <v>0</v>
      </c>
      <c r="Q3738" s="25"/>
      <c r="R3738" s="26" t="s">
        <v>11722</v>
      </c>
      <c r="S3738" s="26" t="s">
        <v>29</v>
      </c>
      <c r="T3738" s="6" t="str">
        <f>HYPERLINK("https://kanzpp.ru/api/getInfo/image/442c891c-9b3e-11ee-a256-00155d82e908")</f>
        <v>https://kanzpp.ru/api/getInfo/image/442c891c-9b3e-11ee-a256-00155d82e908</v>
      </c>
      <c r="U3738" s="6"/>
      <c r="V3738" s="33" t="s">
        <v>35</v>
      </c>
    </row>
    <row r="3739" spans="2:22" ht="21" customHeight="1" outlineLevel="7" x14ac:dyDescent="0.2">
      <c r="B3739" s="69">
        <v>2780</v>
      </c>
      <c r="C3739" s="6" t="s">
        <v>11723</v>
      </c>
      <c r="D3739" s="6" t="s">
        <v>11724</v>
      </c>
      <c r="E3739" s="7" t="s">
        <v>11725</v>
      </c>
      <c r="F3739" s="13"/>
      <c r="G3739" s="14"/>
      <c r="H3739" s="15">
        <v>250</v>
      </c>
      <c r="I3739" s="15">
        <v>25</v>
      </c>
      <c r="J3739" s="17">
        <v>9675</v>
      </c>
      <c r="K3739" s="5">
        <v>250</v>
      </c>
      <c r="L3739" s="16">
        <v>3.3333333333333335</v>
      </c>
      <c r="M3739" s="12"/>
      <c r="N3739" s="14">
        <f t="shared" si="167"/>
        <v>0</v>
      </c>
      <c r="O3739" s="23">
        <f>0.041*M3739</f>
        <v>0</v>
      </c>
      <c r="P3739" s="24">
        <f>0.00003*M3739</f>
        <v>0</v>
      </c>
      <c r="Q3739" s="25"/>
      <c r="R3739" s="26" t="s">
        <v>11726</v>
      </c>
      <c r="S3739" s="26" t="s">
        <v>29</v>
      </c>
      <c r="T3739" s="6" t="str">
        <f>HYPERLINK("https://kanzpp.ru/api/getInfo/image/5b394ed9-5be2-11ec-a20f-ac1f6b442185")</f>
        <v>https://kanzpp.ru/api/getInfo/image/5b394ed9-5be2-11ec-a20f-ac1f6b442185</v>
      </c>
      <c r="U3739" s="6"/>
      <c r="V3739" s="33" t="s">
        <v>35</v>
      </c>
    </row>
    <row r="3740" spans="2:22" ht="21" customHeight="1" outlineLevel="7" x14ac:dyDescent="0.2">
      <c r="B3740" s="69">
        <v>2781</v>
      </c>
      <c r="C3740" s="6" t="s">
        <v>11727</v>
      </c>
      <c r="D3740" s="6" t="s">
        <v>11728</v>
      </c>
      <c r="E3740" s="7" t="s">
        <v>11729</v>
      </c>
      <c r="F3740" s="13"/>
      <c r="G3740" s="14"/>
      <c r="H3740" s="15">
        <v>250</v>
      </c>
      <c r="I3740" s="15">
        <v>25</v>
      </c>
      <c r="J3740" s="17">
        <v>5525</v>
      </c>
      <c r="K3740" s="5">
        <v>250</v>
      </c>
      <c r="L3740" s="16">
        <v>9.2000000000000011</v>
      </c>
      <c r="M3740" s="12"/>
      <c r="N3740" s="14">
        <f t="shared" si="167"/>
        <v>0</v>
      </c>
      <c r="O3740" s="23">
        <f>0.037*M3740</f>
        <v>0</v>
      </c>
      <c r="P3740" s="24">
        <f>0.00003*M3740</f>
        <v>0</v>
      </c>
      <c r="Q3740" s="25"/>
      <c r="R3740" s="26" t="s">
        <v>11730</v>
      </c>
      <c r="S3740" s="26" t="s">
        <v>29</v>
      </c>
      <c r="T3740" s="6" t="str">
        <f>HYPERLINK("https://kanzpp.ru/api/getInfo/image/974faccf-1c33-11e6-b4ab-5cf3fc4a2490")</f>
        <v>https://kanzpp.ru/api/getInfo/image/974faccf-1c33-11e6-b4ab-5cf3fc4a2490</v>
      </c>
      <c r="U3740" s="6"/>
      <c r="V3740" s="33" t="s">
        <v>35</v>
      </c>
    </row>
    <row r="3741" spans="2:22" ht="21" customHeight="1" outlineLevel="7" x14ac:dyDescent="0.2">
      <c r="B3741" s="69">
        <v>2782</v>
      </c>
      <c r="C3741" s="6" t="s">
        <v>11731</v>
      </c>
      <c r="D3741" s="6" t="s">
        <v>11732</v>
      </c>
      <c r="E3741" s="7" t="s">
        <v>11733</v>
      </c>
      <c r="F3741" s="13"/>
      <c r="G3741" s="14"/>
      <c r="H3741" s="15">
        <v>250</v>
      </c>
      <c r="I3741" s="15">
        <v>25</v>
      </c>
      <c r="J3741" s="17">
        <v>4374</v>
      </c>
      <c r="K3741" s="5">
        <v>250</v>
      </c>
      <c r="L3741" s="16">
        <v>3.3333333333333335</v>
      </c>
      <c r="M3741" s="12"/>
      <c r="N3741" s="14">
        <f t="shared" si="167"/>
        <v>0</v>
      </c>
      <c r="O3741" s="23">
        <f>0.041*M3741</f>
        <v>0</v>
      </c>
      <c r="P3741" s="24">
        <f>0.00003*M3741</f>
        <v>0</v>
      </c>
      <c r="Q3741" s="25"/>
      <c r="R3741" s="26" t="s">
        <v>11734</v>
      </c>
      <c r="S3741" s="26" t="s">
        <v>29</v>
      </c>
      <c r="T3741" s="6" t="str">
        <f>HYPERLINK("https://kanzpp.ru/api/getInfo/image/8d53169b-5be1-11ec-a20f-ac1f6b442185")</f>
        <v>https://kanzpp.ru/api/getInfo/image/8d53169b-5be1-11ec-a20f-ac1f6b442185</v>
      </c>
      <c r="U3741" s="6"/>
      <c r="V3741" s="33" t="s">
        <v>35</v>
      </c>
    </row>
    <row r="3742" spans="2:22" ht="21" customHeight="1" outlineLevel="7" x14ac:dyDescent="0.2">
      <c r="B3742" s="69">
        <v>2783</v>
      </c>
      <c r="C3742" s="6" t="s">
        <v>11735</v>
      </c>
      <c r="D3742" s="6" t="s">
        <v>11736</v>
      </c>
      <c r="E3742" s="7" t="s">
        <v>11737</v>
      </c>
      <c r="F3742" s="13"/>
      <c r="G3742" s="14"/>
      <c r="H3742" s="15">
        <v>250</v>
      </c>
      <c r="I3742" s="15">
        <v>25</v>
      </c>
      <c r="J3742" s="15">
        <v>397</v>
      </c>
      <c r="K3742" s="5">
        <v>250</v>
      </c>
      <c r="L3742" s="16">
        <v>9.2000000000000011</v>
      </c>
      <c r="M3742" s="12"/>
      <c r="N3742" s="14">
        <f t="shared" si="167"/>
        <v>0</v>
      </c>
      <c r="O3742" s="23">
        <f>0.038*M3742</f>
        <v>0</v>
      </c>
      <c r="P3742" s="24">
        <f>0.00027*M3742</f>
        <v>0</v>
      </c>
      <c r="Q3742" s="25"/>
      <c r="R3742" s="26" t="s">
        <v>11738</v>
      </c>
      <c r="S3742" s="26" t="s">
        <v>29</v>
      </c>
      <c r="T3742" s="6" t="str">
        <f>HYPERLINK("https://kanzpp.ru/api/getInfo/image/64b594ea-9b3f-11ee-a256-00155d82e908")</f>
        <v>https://kanzpp.ru/api/getInfo/image/64b594ea-9b3f-11ee-a256-00155d82e908</v>
      </c>
      <c r="U3742" s="6"/>
      <c r="V3742" s="33" t="s">
        <v>35</v>
      </c>
    </row>
    <row r="3743" spans="2:22" ht="21" customHeight="1" outlineLevel="7" x14ac:dyDescent="0.2">
      <c r="B3743" s="69">
        <v>2784</v>
      </c>
      <c r="C3743" s="6" t="s">
        <v>11739</v>
      </c>
      <c r="D3743" s="6" t="s">
        <v>11740</v>
      </c>
      <c r="E3743" s="7" t="s">
        <v>989</v>
      </c>
      <c r="F3743" s="13"/>
      <c r="G3743" s="14"/>
      <c r="H3743" s="15">
        <v>250</v>
      </c>
      <c r="I3743" s="15">
        <v>25</v>
      </c>
      <c r="J3743" s="17">
        <v>18450</v>
      </c>
      <c r="K3743" s="5">
        <v>250</v>
      </c>
      <c r="L3743" s="16">
        <v>3.3333333333333335</v>
      </c>
      <c r="M3743" s="12"/>
      <c r="N3743" s="14">
        <f t="shared" si="167"/>
        <v>0</v>
      </c>
      <c r="O3743" s="28">
        <f>0.04*M3743</f>
        <v>0</v>
      </c>
      <c r="P3743" s="24">
        <f>0.00003*M3743</f>
        <v>0</v>
      </c>
      <c r="Q3743" s="25"/>
      <c r="R3743" s="26" t="s">
        <v>11741</v>
      </c>
      <c r="S3743" s="26" t="s">
        <v>29</v>
      </c>
      <c r="T3743" s="6" t="str">
        <f>HYPERLINK("https://kanzpp.ru/api/getInfo/image/3f2d2441-0eb9-11eb-a25b-ac1f6b442184")</f>
        <v>https://kanzpp.ru/api/getInfo/image/3f2d2441-0eb9-11eb-a25b-ac1f6b442184</v>
      </c>
      <c r="U3743" s="6"/>
      <c r="V3743" s="33" t="s">
        <v>35</v>
      </c>
    </row>
    <row r="3744" spans="2:22" ht="21" customHeight="1" outlineLevel="7" x14ac:dyDescent="0.2">
      <c r="B3744" s="69">
        <v>2785</v>
      </c>
      <c r="C3744" s="6" t="s">
        <v>11742</v>
      </c>
      <c r="D3744" s="6" t="s">
        <v>11743</v>
      </c>
      <c r="E3744" s="7" t="s">
        <v>11744</v>
      </c>
      <c r="F3744" s="13"/>
      <c r="G3744" s="14"/>
      <c r="H3744" s="15">
        <v>250</v>
      </c>
      <c r="I3744" s="15">
        <v>25</v>
      </c>
      <c r="J3744" s="14" t="s">
        <v>144</v>
      </c>
      <c r="K3744" s="5">
        <v>250</v>
      </c>
      <c r="L3744" s="16">
        <v>3.3333333333333335</v>
      </c>
      <c r="M3744" s="12"/>
      <c r="N3744" s="14">
        <f t="shared" si="167"/>
        <v>0</v>
      </c>
      <c r="O3744" s="23">
        <f>0.041*M3744</f>
        <v>0</v>
      </c>
      <c r="P3744" s="24">
        <f>0.00003*M3744</f>
        <v>0</v>
      </c>
      <c r="Q3744" s="25"/>
      <c r="R3744" s="26" t="s">
        <v>11745</v>
      </c>
      <c r="S3744" s="26" t="s">
        <v>29</v>
      </c>
      <c r="T3744" s="6" t="str">
        <f>HYPERLINK("https://kanzpp.ru/api/getInfo/image/b939342f-5be4-11ec-a20f-ac1f6b442185")</f>
        <v>https://kanzpp.ru/api/getInfo/image/b939342f-5be4-11ec-a20f-ac1f6b442185</v>
      </c>
      <c r="U3744" s="6"/>
      <c r="V3744" s="33" t="s">
        <v>35</v>
      </c>
    </row>
    <row r="3745" spans="2:22" ht="21" customHeight="1" outlineLevel="7" x14ac:dyDescent="0.2">
      <c r="B3745" s="71">
        <v>2786</v>
      </c>
      <c r="C3745" s="37" t="s">
        <v>11746</v>
      </c>
      <c r="D3745" s="37" t="s">
        <v>11747</v>
      </c>
      <c r="E3745" s="38" t="s">
        <v>11748</v>
      </c>
      <c r="F3745" s="39"/>
      <c r="G3745" s="40"/>
      <c r="H3745" s="41">
        <v>240</v>
      </c>
      <c r="I3745" s="41">
        <v>20</v>
      </c>
      <c r="J3745" s="50">
        <v>3980</v>
      </c>
      <c r="K3745" s="36">
        <v>240</v>
      </c>
      <c r="L3745" s="42">
        <f>(12.53*(1-O3/100))/0.75</f>
        <v>16.706666666666667</v>
      </c>
      <c r="M3745" s="12"/>
      <c r="N3745" s="40">
        <f t="shared" si="167"/>
        <v>0</v>
      </c>
      <c r="O3745" s="48">
        <f>0.05*M3745</f>
        <v>0</v>
      </c>
      <c r="P3745" s="47">
        <f>0.00017*M3745</f>
        <v>0</v>
      </c>
      <c r="Q3745" s="44"/>
      <c r="R3745" s="45" t="s">
        <v>11749</v>
      </c>
      <c r="S3745" s="45" t="s">
        <v>29</v>
      </c>
      <c r="T3745" s="37" t="str">
        <f>HYPERLINK("https://kanzpp.ru/api/getInfo/image/89732418-7cc7-11ef-a265-00155d82e908")</f>
        <v>https://kanzpp.ru/api/getInfo/image/89732418-7cc7-11ef-a265-00155d82e908</v>
      </c>
      <c r="U3745" s="37"/>
    </row>
    <row r="3746" spans="2:22" ht="21" customHeight="1" outlineLevel="7" x14ac:dyDescent="0.2">
      <c r="B3746" s="71">
        <v>2787</v>
      </c>
      <c r="C3746" s="37" t="s">
        <v>11750</v>
      </c>
      <c r="D3746" s="37" t="s">
        <v>11751</v>
      </c>
      <c r="E3746" s="38" t="s">
        <v>11752</v>
      </c>
      <c r="F3746" s="39"/>
      <c r="G3746" s="40"/>
      <c r="H3746" s="41">
        <v>240</v>
      </c>
      <c r="I3746" s="41">
        <v>20</v>
      </c>
      <c r="J3746" s="50">
        <v>4800</v>
      </c>
      <c r="K3746" s="36">
        <v>240</v>
      </c>
      <c r="L3746" s="42">
        <f>(12.53*(1-O3/100))/0.75</f>
        <v>16.706666666666667</v>
      </c>
      <c r="M3746" s="12"/>
      <c r="N3746" s="40">
        <f t="shared" si="167"/>
        <v>0</v>
      </c>
      <c r="O3746" s="48">
        <f>0.05*M3746</f>
        <v>0</v>
      </c>
      <c r="P3746" s="47">
        <f>0.00017*M3746</f>
        <v>0</v>
      </c>
      <c r="Q3746" s="44"/>
      <c r="R3746" s="45" t="s">
        <v>11753</v>
      </c>
      <c r="S3746" s="45" t="s">
        <v>29</v>
      </c>
      <c r="T3746" s="37" t="str">
        <f>HYPERLINK("https://kanzpp.ru/api/getInfo/image/35e8beb8-7cc8-11ef-a265-00155d82e908")</f>
        <v>https://kanzpp.ru/api/getInfo/image/35e8beb8-7cc8-11ef-a265-00155d82e908</v>
      </c>
      <c r="U3746" s="37"/>
    </row>
    <row r="3747" spans="2:22" ht="21" customHeight="1" outlineLevel="7" x14ac:dyDescent="0.2">
      <c r="B3747" s="69">
        <v>2788</v>
      </c>
      <c r="C3747" s="6" t="s">
        <v>11754</v>
      </c>
      <c r="D3747" s="6" t="s">
        <v>11755</v>
      </c>
      <c r="E3747" s="7" t="s">
        <v>11756</v>
      </c>
      <c r="F3747" s="13"/>
      <c r="G3747" s="14"/>
      <c r="H3747" s="15">
        <v>250</v>
      </c>
      <c r="I3747" s="15">
        <v>25</v>
      </c>
      <c r="J3747" s="17">
        <v>15600</v>
      </c>
      <c r="K3747" s="5">
        <v>250</v>
      </c>
      <c r="L3747" s="16">
        <v>3.3333333333333335</v>
      </c>
      <c r="M3747" s="12"/>
      <c r="N3747" s="14">
        <f t="shared" si="167"/>
        <v>0</v>
      </c>
      <c r="O3747" s="28">
        <f>0.04*M3747</f>
        <v>0</v>
      </c>
      <c r="P3747" s="24">
        <f t="shared" ref="P3747:P3752" si="168">0.00003*M3747</f>
        <v>0</v>
      </c>
      <c r="Q3747" s="25"/>
      <c r="R3747" s="26" t="s">
        <v>11757</v>
      </c>
      <c r="S3747" s="26" t="s">
        <v>29</v>
      </c>
      <c r="T3747" s="6" t="str">
        <f>HYPERLINK("https://kanzpp.ru/api/getInfo/image/28b6f2c3-0eba-11eb-a25b-ac1f6b442184")</f>
        <v>https://kanzpp.ru/api/getInfo/image/28b6f2c3-0eba-11eb-a25b-ac1f6b442184</v>
      </c>
      <c r="U3747" s="6"/>
      <c r="V3747" s="33" t="s">
        <v>35</v>
      </c>
    </row>
    <row r="3748" spans="2:22" ht="21" customHeight="1" outlineLevel="7" x14ac:dyDescent="0.2">
      <c r="B3748" s="69">
        <v>2789</v>
      </c>
      <c r="C3748" s="6" t="s">
        <v>11758</v>
      </c>
      <c r="D3748" s="6" t="s">
        <v>11759</v>
      </c>
      <c r="E3748" s="7" t="s">
        <v>11760</v>
      </c>
      <c r="F3748" s="13"/>
      <c r="G3748" s="14"/>
      <c r="H3748" s="15">
        <v>250</v>
      </c>
      <c r="I3748" s="15">
        <v>25</v>
      </c>
      <c r="J3748" s="17">
        <v>16685</v>
      </c>
      <c r="K3748" s="5">
        <v>250</v>
      </c>
      <c r="L3748" s="16">
        <v>9.2000000000000011</v>
      </c>
      <c r="M3748" s="12"/>
      <c r="N3748" s="14">
        <f t="shared" si="167"/>
        <v>0</v>
      </c>
      <c r="O3748" s="23">
        <f>0.041*M3748</f>
        <v>0</v>
      </c>
      <c r="P3748" s="24">
        <f t="shared" si="168"/>
        <v>0</v>
      </c>
      <c r="Q3748" s="25"/>
      <c r="R3748" s="26" t="s">
        <v>11761</v>
      </c>
      <c r="S3748" s="26" t="s">
        <v>29</v>
      </c>
      <c r="T3748" s="6" t="str">
        <f>HYPERLINK("https://kanzpp.ru/api/getInfo/image/3736ef18-5be5-11ec-a20f-ac1f6b442185")</f>
        <v>https://kanzpp.ru/api/getInfo/image/3736ef18-5be5-11ec-a20f-ac1f6b442185</v>
      </c>
      <c r="U3748" s="6"/>
      <c r="V3748" s="33" t="s">
        <v>35</v>
      </c>
    </row>
    <row r="3749" spans="2:22" ht="21" customHeight="1" outlineLevel="7" x14ac:dyDescent="0.2">
      <c r="B3749" s="69">
        <v>2790</v>
      </c>
      <c r="C3749" s="6" t="s">
        <v>11762</v>
      </c>
      <c r="D3749" s="6" t="s">
        <v>11763</v>
      </c>
      <c r="E3749" s="7" t="s">
        <v>11764</v>
      </c>
      <c r="F3749" s="13"/>
      <c r="G3749" s="14"/>
      <c r="H3749" s="15">
        <v>250</v>
      </c>
      <c r="I3749" s="15">
        <v>25</v>
      </c>
      <c r="J3749" s="17">
        <v>19700</v>
      </c>
      <c r="K3749" s="5">
        <v>250</v>
      </c>
      <c r="L3749" s="16">
        <v>9.2000000000000011</v>
      </c>
      <c r="M3749" s="12"/>
      <c r="N3749" s="14">
        <f t="shared" si="167"/>
        <v>0</v>
      </c>
      <c r="O3749" s="28">
        <f>0.04*M3749</f>
        <v>0</v>
      </c>
      <c r="P3749" s="24">
        <f t="shared" si="168"/>
        <v>0</v>
      </c>
      <c r="Q3749" s="25"/>
      <c r="R3749" s="26" t="s">
        <v>11765</v>
      </c>
      <c r="S3749" s="26" t="s">
        <v>29</v>
      </c>
      <c r="T3749" s="6" t="str">
        <f>HYPERLINK("https://kanzpp.ru/api/getInfo/image/cb6974c2-1edc-11e3-8b8b-5cf3fc4a2490")</f>
        <v>https://kanzpp.ru/api/getInfo/image/cb6974c2-1edc-11e3-8b8b-5cf3fc4a2490</v>
      </c>
      <c r="U3749" s="6"/>
      <c r="V3749" s="33" t="s">
        <v>35</v>
      </c>
    </row>
    <row r="3750" spans="2:22" ht="21" customHeight="1" outlineLevel="7" x14ac:dyDescent="0.2">
      <c r="B3750" s="69">
        <v>2791</v>
      </c>
      <c r="C3750" s="6" t="s">
        <v>11766</v>
      </c>
      <c r="D3750" s="6" t="s">
        <v>11767</v>
      </c>
      <c r="E3750" s="7" t="s">
        <v>11768</v>
      </c>
      <c r="F3750" s="13"/>
      <c r="G3750" s="14"/>
      <c r="H3750" s="15">
        <v>250</v>
      </c>
      <c r="I3750" s="15">
        <v>25</v>
      </c>
      <c r="J3750" s="17">
        <v>15035</v>
      </c>
      <c r="K3750" s="5">
        <v>250</v>
      </c>
      <c r="L3750" s="16">
        <v>9.2000000000000011</v>
      </c>
      <c r="M3750" s="12"/>
      <c r="N3750" s="14">
        <f t="shared" si="167"/>
        <v>0</v>
      </c>
      <c r="O3750" s="23">
        <f>0.041*M3750</f>
        <v>0</v>
      </c>
      <c r="P3750" s="24">
        <f t="shared" si="168"/>
        <v>0</v>
      </c>
      <c r="Q3750" s="25"/>
      <c r="R3750" s="26" t="s">
        <v>11769</v>
      </c>
      <c r="S3750" s="26" t="s">
        <v>29</v>
      </c>
      <c r="T3750" s="6" t="str">
        <f>HYPERLINK("https://kanzpp.ru/api/getInfo/image/09ca4aff-929a-11e5-b0ae-5cf3fc4a2490")</f>
        <v>https://kanzpp.ru/api/getInfo/image/09ca4aff-929a-11e5-b0ae-5cf3fc4a2490</v>
      </c>
      <c r="U3750" s="6"/>
      <c r="V3750" s="33" t="s">
        <v>35</v>
      </c>
    </row>
    <row r="3751" spans="2:22" ht="21" customHeight="1" outlineLevel="7" x14ac:dyDescent="0.2">
      <c r="B3751" s="69">
        <v>2792</v>
      </c>
      <c r="C3751" s="6" t="s">
        <v>11770</v>
      </c>
      <c r="D3751" s="6" t="s">
        <v>11771</v>
      </c>
      <c r="E3751" s="7" t="s">
        <v>11772</v>
      </c>
      <c r="F3751" s="13"/>
      <c r="G3751" s="14"/>
      <c r="H3751" s="15">
        <v>250</v>
      </c>
      <c r="I3751" s="15">
        <v>25</v>
      </c>
      <c r="J3751" s="17">
        <v>7766</v>
      </c>
      <c r="K3751" s="5">
        <v>250</v>
      </c>
      <c r="L3751" s="16">
        <v>9.2000000000000011</v>
      </c>
      <c r="M3751" s="12"/>
      <c r="N3751" s="14">
        <f t="shared" si="167"/>
        <v>0</v>
      </c>
      <c r="O3751" s="23">
        <f>0.037*M3751</f>
        <v>0</v>
      </c>
      <c r="P3751" s="24">
        <f t="shared" si="168"/>
        <v>0</v>
      </c>
      <c r="Q3751" s="25"/>
      <c r="R3751" s="26" t="s">
        <v>11773</v>
      </c>
      <c r="S3751" s="26" t="s">
        <v>29</v>
      </c>
      <c r="T3751" s="6" t="str">
        <f>HYPERLINK("https://kanzpp.ru/api/getInfo/image/2a983037-929a-11e5-b0ae-5cf3fc4a2490")</f>
        <v>https://kanzpp.ru/api/getInfo/image/2a983037-929a-11e5-b0ae-5cf3fc4a2490</v>
      </c>
      <c r="U3751" s="6"/>
      <c r="V3751" s="33" t="s">
        <v>35</v>
      </c>
    </row>
    <row r="3752" spans="2:22" ht="21" customHeight="1" outlineLevel="7" x14ac:dyDescent="0.2">
      <c r="B3752" s="69">
        <v>2793</v>
      </c>
      <c r="C3752" s="6" t="s">
        <v>11774</v>
      </c>
      <c r="D3752" s="6" t="s">
        <v>11775</v>
      </c>
      <c r="E3752" s="7" t="s">
        <v>11776</v>
      </c>
      <c r="F3752" s="13"/>
      <c r="G3752" s="14"/>
      <c r="H3752" s="15">
        <v>250</v>
      </c>
      <c r="I3752" s="15">
        <v>25</v>
      </c>
      <c r="J3752" s="17">
        <v>7254</v>
      </c>
      <c r="K3752" s="5">
        <v>250</v>
      </c>
      <c r="L3752" s="16">
        <v>9.2000000000000011</v>
      </c>
      <c r="M3752" s="12"/>
      <c r="N3752" s="14">
        <f t="shared" si="167"/>
        <v>0</v>
      </c>
      <c r="O3752" s="23">
        <f>0.041*M3752</f>
        <v>0</v>
      </c>
      <c r="P3752" s="24">
        <f t="shared" si="168"/>
        <v>0</v>
      </c>
      <c r="Q3752" s="25"/>
      <c r="R3752" s="26" t="s">
        <v>11777</v>
      </c>
      <c r="S3752" s="26" t="s">
        <v>29</v>
      </c>
      <c r="T3752" s="6" t="str">
        <f>HYPERLINK("https://kanzpp.ru/api/getInfo/image/ae56d777-0eb8-11eb-a25b-ac1f6b442184")</f>
        <v>https://kanzpp.ru/api/getInfo/image/ae56d777-0eb8-11eb-a25b-ac1f6b442184</v>
      </c>
      <c r="U3752" s="6"/>
      <c r="V3752" s="33" t="s">
        <v>35</v>
      </c>
    </row>
    <row r="3753" spans="2:22" ht="22.95" customHeight="1" outlineLevel="5" x14ac:dyDescent="0.2">
      <c r="B3753" s="83" t="s">
        <v>11778</v>
      </c>
      <c r="C3753" s="83"/>
      <c r="D3753" s="83"/>
      <c r="L3753">
        <v>0</v>
      </c>
    </row>
    <row r="3754" spans="2:22" ht="22.95" customHeight="1" outlineLevel="6" x14ac:dyDescent="0.2">
      <c r="B3754" s="84" t="s">
        <v>11779</v>
      </c>
      <c r="C3754" s="84"/>
      <c r="D3754" s="84"/>
      <c r="L3754">
        <v>0</v>
      </c>
    </row>
    <row r="3755" spans="2:22" ht="21" customHeight="1" outlineLevel="7" x14ac:dyDescent="0.2">
      <c r="B3755" s="69">
        <v>2794</v>
      </c>
      <c r="C3755" s="6" t="s">
        <v>11780</v>
      </c>
      <c r="D3755" s="6" t="s">
        <v>11781</v>
      </c>
      <c r="E3755" s="7" t="s">
        <v>11782</v>
      </c>
      <c r="F3755" s="13"/>
      <c r="G3755" s="14"/>
      <c r="H3755" s="15">
        <v>240</v>
      </c>
      <c r="I3755" s="15">
        <v>20</v>
      </c>
      <c r="J3755" s="17">
        <v>6815</v>
      </c>
      <c r="K3755" s="5">
        <v>240</v>
      </c>
      <c r="L3755" s="16">
        <v>7.8666666666666671</v>
      </c>
      <c r="M3755" s="12"/>
      <c r="N3755" s="14">
        <f t="shared" ref="N3755:N3786" si="169">L3755*M3755</f>
        <v>0</v>
      </c>
      <c r="O3755" s="23">
        <f>0.036*M3755</f>
        <v>0</v>
      </c>
      <c r="P3755" s="24">
        <f>0.00014*M3755</f>
        <v>0</v>
      </c>
      <c r="Q3755" s="25"/>
      <c r="R3755" s="26" t="s">
        <v>11783</v>
      </c>
      <c r="S3755" s="26" t="s">
        <v>29</v>
      </c>
      <c r="T3755" s="6" t="str">
        <f>HYPERLINK("https://kanzpp.ru/api/getInfo/image/a2a6c5f7-4a60-11ef-a262-00155d82e908")</f>
        <v>https://kanzpp.ru/api/getInfo/image/a2a6c5f7-4a60-11ef-a262-00155d82e908</v>
      </c>
      <c r="U3755" s="6"/>
      <c r="V3755" s="33" t="s">
        <v>35</v>
      </c>
    </row>
    <row r="3756" spans="2:22" ht="21" customHeight="1" outlineLevel="7" x14ac:dyDescent="0.2">
      <c r="B3756" s="71">
        <v>2795</v>
      </c>
      <c r="C3756" s="37" t="s">
        <v>11784</v>
      </c>
      <c r="D3756" s="37" t="s">
        <v>11785</v>
      </c>
      <c r="E3756" s="38" t="s">
        <v>11786</v>
      </c>
      <c r="F3756" s="39"/>
      <c r="G3756" s="40"/>
      <c r="H3756" s="41">
        <v>240</v>
      </c>
      <c r="I3756" s="41">
        <v>20</v>
      </c>
      <c r="J3756" s="50">
        <v>2620</v>
      </c>
      <c r="K3756" s="36">
        <v>240</v>
      </c>
      <c r="L3756" s="42">
        <f>(14.53*(1-O3/100))/0.75</f>
        <v>19.373333333333331</v>
      </c>
      <c r="M3756" s="12"/>
      <c r="N3756" s="40">
        <f t="shared" si="169"/>
        <v>0</v>
      </c>
      <c r="O3756" s="48">
        <f>0.03*M3756</f>
        <v>0</v>
      </c>
      <c r="P3756" s="46">
        <f>0.0001*M3756</f>
        <v>0</v>
      </c>
      <c r="Q3756" s="44"/>
      <c r="R3756" s="45" t="s">
        <v>11787</v>
      </c>
      <c r="S3756" s="45" t="s">
        <v>29</v>
      </c>
      <c r="T3756" s="37" t="str">
        <f>HYPERLINK("https://kanzpp.ru/api/getInfo/image/c70d8c82-f5c3-11f0-a28d-00155d82e908")</f>
        <v>https://kanzpp.ru/api/getInfo/image/c70d8c82-f5c3-11f0-a28d-00155d82e908</v>
      </c>
      <c r="U3756" s="37"/>
    </row>
    <row r="3757" spans="2:22" ht="21" customHeight="1" outlineLevel="7" x14ac:dyDescent="0.2">
      <c r="B3757" s="69">
        <v>2796</v>
      </c>
      <c r="C3757" s="6" t="s">
        <v>11788</v>
      </c>
      <c r="D3757" s="6" t="s">
        <v>11789</v>
      </c>
      <c r="E3757" s="7" t="s">
        <v>11790</v>
      </c>
      <c r="F3757" s="13"/>
      <c r="G3757" s="14"/>
      <c r="H3757" s="15">
        <v>240</v>
      </c>
      <c r="I3757" s="15">
        <v>20</v>
      </c>
      <c r="J3757" s="17">
        <v>7000</v>
      </c>
      <c r="K3757" s="5">
        <v>240</v>
      </c>
      <c r="L3757" s="16">
        <v>9.2000000000000011</v>
      </c>
      <c r="M3757" s="12"/>
      <c r="N3757" s="14">
        <f t="shared" si="169"/>
        <v>0</v>
      </c>
      <c r="O3757" s="23">
        <f>0.037*M3757</f>
        <v>0</v>
      </c>
      <c r="P3757" s="24">
        <f>0.00007*M3757</f>
        <v>0</v>
      </c>
      <c r="Q3757" s="25"/>
      <c r="R3757" s="26" t="s">
        <v>11791</v>
      </c>
      <c r="S3757" s="26" t="s">
        <v>29</v>
      </c>
      <c r="T3757" s="6" t="str">
        <f>HYPERLINK("https://kanzpp.ru/api/getInfo/image/29146ed6-7ed6-11ee-a248-00155d82e902")</f>
        <v>https://kanzpp.ru/api/getInfo/image/29146ed6-7ed6-11ee-a248-00155d82e902</v>
      </c>
      <c r="U3757" s="6"/>
      <c r="V3757" s="33" t="s">
        <v>35</v>
      </c>
    </row>
    <row r="3758" spans="2:22" ht="21" customHeight="1" outlineLevel="7" x14ac:dyDescent="0.2">
      <c r="B3758" s="69">
        <v>2797</v>
      </c>
      <c r="C3758" s="6" t="s">
        <v>11792</v>
      </c>
      <c r="D3758" s="6" t="s">
        <v>11793</v>
      </c>
      <c r="E3758" s="7" t="s">
        <v>11794</v>
      </c>
      <c r="F3758" s="13"/>
      <c r="G3758" s="14"/>
      <c r="H3758" s="15">
        <v>240</v>
      </c>
      <c r="I3758" s="15">
        <v>20</v>
      </c>
      <c r="J3758" s="17">
        <v>12600</v>
      </c>
      <c r="K3758" s="5">
        <v>240</v>
      </c>
      <c r="L3758" s="16">
        <v>6.5333333333333341</v>
      </c>
      <c r="M3758" s="12"/>
      <c r="N3758" s="14">
        <f t="shared" si="169"/>
        <v>0</v>
      </c>
      <c r="O3758" s="23">
        <f>0.036*M3758</f>
        <v>0</v>
      </c>
      <c r="P3758" s="24">
        <f>0.00007*M3758</f>
        <v>0</v>
      </c>
      <c r="Q3758" s="25"/>
      <c r="R3758" s="26" t="s">
        <v>11795</v>
      </c>
      <c r="S3758" s="26" t="s">
        <v>29</v>
      </c>
      <c r="T3758" s="6" t="str">
        <f>HYPERLINK("https://kanzpp.ru/api/getInfo/image/ace40bcc-9203-11ef-a265-00155d82e908")</f>
        <v>https://kanzpp.ru/api/getInfo/image/ace40bcc-9203-11ef-a265-00155d82e908</v>
      </c>
      <c r="U3758" s="6"/>
      <c r="V3758" s="33" t="s">
        <v>35</v>
      </c>
    </row>
    <row r="3759" spans="2:22" ht="21" customHeight="1" outlineLevel="7" x14ac:dyDescent="0.2">
      <c r="B3759" s="69">
        <v>2798</v>
      </c>
      <c r="C3759" s="6" t="s">
        <v>11796</v>
      </c>
      <c r="D3759" s="6" t="s">
        <v>11797</v>
      </c>
      <c r="E3759" s="7" t="s">
        <v>11798</v>
      </c>
      <c r="F3759" s="13"/>
      <c r="G3759" s="14"/>
      <c r="H3759" s="15">
        <v>240</v>
      </c>
      <c r="I3759" s="15">
        <v>20</v>
      </c>
      <c r="J3759" s="17">
        <v>6040</v>
      </c>
      <c r="K3759" s="5">
        <v>240</v>
      </c>
      <c r="L3759" s="16">
        <v>10.533333333333333</v>
      </c>
      <c r="M3759" s="12"/>
      <c r="N3759" s="14">
        <f t="shared" si="169"/>
        <v>0</v>
      </c>
      <c r="O3759" s="23">
        <f>0.037*M3759</f>
        <v>0</v>
      </c>
      <c r="P3759" s="24">
        <f>0.00007*M3759</f>
        <v>0</v>
      </c>
      <c r="Q3759" s="25"/>
      <c r="R3759" s="26" t="s">
        <v>11799</v>
      </c>
      <c r="S3759" s="26" t="s">
        <v>29</v>
      </c>
      <c r="T3759" s="6" t="str">
        <f>HYPERLINK("https://kanzpp.ru/api/getInfo/image/5a9228f9-7ed6-11ee-a248-00155d82e902")</f>
        <v>https://kanzpp.ru/api/getInfo/image/5a9228f9-7ed6-11ee-a248-00155d82e902</v>
      </c>
      <c r="U3759" s="6"/>
      <c r="V3759" s="33" t="s">
        <v>35</v>
      </c>
    </row>
    <row r="3760" spans="2:22" ht="21" customHeight="1" outlineLevel="7" x14ac:dyDescent="0.2">
      <c r="B3760" s="69">
        <v>2799</v>
      </c>
      <c r="C3760" s="6" t="s">
        <v>11800</v>
      </c>
      <c r="D3760" s="6" t="s">
        <v>11801</v>
      </c>
      <c r="E3760" s="7" t="s">
        <v>11802</v>
      </c>
      <c r="F3760" s="13"/>
      <c r="G3760" s="14"/>
      <c r="H3760" s="15">
        <v>250</v>
      </c>
      <c r="I3760" s="15">
        <v>25</v>
      </c>
      <c r="J3760" s="17">
        <v>3370</v>
      </c>
      <c r="K3760" s="5">
        <v>250</v>
      </c>
      <c r="L3760" s="16">
        <v>6.5333333333333341</v>
      </c>
      <c r="M3760" s="12"/>
      <c r="N3760" s="14">
        <f t="shared" si="169"/>
        <v>0</v>
      </c>
      <c r="O3760" s="28">
        <f>0.04*M3760</f>
        <v>0</v>
      </c>
      <c r="P3760" s="24">
        <f>0.00007*M3760</f>
        <v>0</v>
      </c>
      <c r="Q3760" s="25"/>
      <c r="R3760" s="26" t="s">
        <v>11803</v>
      </c>
      <c r="S3760" s="26" t="s">
        <v>29</v>
      </c>
      <c r="T3760" s="6" t="str">
        <f>HYPERLINK("https://kanzpp.ru/api/getInfo/image/b028b5c8-0b6b-11ef-a25d-00155d82e908")</f>
        <v>https://kanzpp.ru/api/getInfo/image/b028b5c8-0b6b-11ef-a25d-00155d82e908</v>
      </c>
      <c r="U3760" s="6"/>
      <c r="V3760" s="33" t="s">
        <v>35</v>
      </c>
    </row>
    <row r="3761" spans="2:22" ht="21" customHeight="1" outlineLevel="7" x14ac:dyDescent="0.2">
      <c r="B3761" s="69">
        <v>2800</v>
      </c>
      <c r="C3761" s="6" t="s">
        <v>11804</v>
      </c>
      <c r="D3761" s="6" t="s">
        <v>11805</v>
      </c>
      <c r="E3761" s="7" t="s">
        <v>11806</v>
      </c>
      <c r="F3761" s="13"/>
      <c r="G3761" s="14"/>
      <c r="H3761" s="15">
        <v>250</v>
      </c>
      <c r="I3761" s="15">
        <v>25</v>
      </c>
      <c r="J3761" s="14" t="s">
        <v>144</v>
      </c>
      <c r="K3761" s="5">
        <v>250</v>
      </c>
      <c r="L3761" s="16">
        <v>14.533333333333333</v>
      </c>
      <c r="M3761" s="12"/>
      <c r="N3761" s="14">
        <f t="shared" si="169"/>
        <v>0</v>
      </c>
      <c r="O3761" s="23">
        <f>0.037*M3761</f>
        <v>0</v>
      </c>
      <c r="P3761" s="24">
        <f>0.00003*M3761</f>
        <v>0</v>
      </c>
      <c r="Q3761" s="25"/>
      <c r="R3761" s="26" t="s">
        <v>11807</v>
      </c>
      <c r="S3761" s="26" t="s">
        <v>29</v>
      </c>
      <c r="T3761" s="6" t="str">
        <f>HYPERLINK("https://kanzpp.ru/api/getInfo/image/b1c12da7-c686-11e1-81d3-5ef3fc502493")</f>
        <v>https://kanzpp.ru/api/getInfo/image/b1c12da7-c686-11e1-81d3-5ef3fc502493</v>
      </c>
      <c r="U3761" s="6"/>
      <c r="V3761" s="33" t="s">
        <v>35</v>
      </c>
    </row>
    <row r="3762" spans="2:22" ht="21" customHeight="1" outlineLevel="7" x14ac:dyDescent="0.2">
      <c r="B3762" s="69">
        <v>2801</v>
      </c>
      <c r="C3762" s="6" t="s">
        <v>11808</v>
      </c>
      <c r="D3762" s="6" t="s">
        <v>11809</v>
      </c>
      <c r="E3762" s="7" t="s">
        <v>935</v>
      </c>
      <c r="F3762" s="13"/>
      <c r="G3762" s="14"/>
      <c r="H3762" s="15">
        <v>250</v>
      </c>
      <c r="I3762" s="15">
        <v>25</v>
      </c>
      <c r="J3762" s="14" t="s">
        <v>144</v>
      </c>
      <c r="K3762" s="5">
        <v>250</v>
      </c>
      <c r="L3762" s="16">
        <v>10.533333333333333</v>
      </c>
      <c r="M3762" s="12"/>
      <c r="N3762" s="14">
        <f t="shared" si="169"/>
        <v>0</v>
      </c>
      <c r="O3762" s="23">
        <f>0.037*M3762</f>
        <v>0</v>
      </c>
      <c r="P3762" s="24">
        <f>0.00003*M3762</f>
        <v>0</v>
      </c>
      <c r="Q3762" s="25"/>
      <c r="R3762" s="26" t="s">
        <v>936</v>
      </c>
      <c r="S3762" s="26" t="s">
        <v>29</v>
      </c>
      <c r="T3762" s="6" t="str">
        <f>HYPERLINK("https://kanzpp.ru/api/getInfo/image/c2fb258c-adef-11e5-9e79-5cf3fc4a2490")</f>
        <v>https://kanzpp.ru/api/getInfo/image/c2fb258c-adef-11e5-9e79-5cf3fc4a2490</v>
      </c>
      <c r="U3762" s="6"/>
      <c r="V3762" s="33" t="s">
        <v>35</v>
      </c>
    </row>
    <row r="3763" spans="2:22" ht="21" customHeight="1" outlineLevel="7" x14ac:dyDescent="0.2">
      <c r="B3763" s="69">
        <v>2802</v>
      </c>
      <c r="C3763" s="6" t="s">
        <v>11810</v>
      </c>
      <c r="D3763" s="6" t="s">
        <v>11811</v>
      </c>
      <c r="E3763" s="7" t="s">
        <v>11812</v>
      </c>
      <c r="F3763" s="13"/>
      <c r="G3763" s="14"/>
      <c r="H3763" s="15">
        <v>240</v>
      </c>
      <c r="I3763" s="15">
        <v>20</v>
      </c>
      <c r="J3763" s="14" t="s">
        <v>144</v>
      </c>
      <c r="K3763" s="5">
        <v>240</v>
      </c>
      <c r="L3763" s="16">
        <v>10.533333333333333</v>
      </c>
      <c r="M3763" s="12"/>
      <c r="N3763" s="14">
        <f t="shared" si="169"/>
        <v>0</v>
      </c>
      <c r="O3763" s="23">
        <f>0.037*M3763</f>
        <v>0</v>
      </c>
      <c r="P3763" s="24">
        <f>0.00003*M3763</f>
        <v>0</v>
      </c>
      <c r="Q3763" s="25"/>
      <c r="R3763" s="26" t="s">
        <v>11813</v>
      </c>
      <c r="S3763" s="26" t="s">
        <v>29</v>
      </c>
      <c r="T3763" s="6" t="str">
        <f>HYPERLINK("https://kanzpp.ru/api/getInfo/image/911296f1-ad73-11e5-9e79-5cf3fc4a2490")</f>
        <v>https://kanzpp.ru/api/getInfo/image/911296f1-ad73-11e5-9e79-5cf3fc4a2490</v>
      </c>
      <c r="U3763" s="6"/>
      <c r="V3763" s="33" t="s">
        <v>35</v>
      </c>
    </row>
    <row r="3764" spans="2:22" ht="21" customHeight="1" outlineLevel="7" x14ac:dyDescent="0.2">
      <c r="B3764" s="69">
        <v>2803</v>
      </c>
      <c r="C3764" s="6" t="s">
        <v>11814</v>
      </c>
      <c r="D3764" s="6" t="s">
        <v>11815</v>
      </c>
      <c r="E3764" s="7" t="s">
        <v>11816</v>
      </c>
      <c r="F3764" s="13"/>
      <c r="G3764" s="14"/>
      <c r="H3764" s="15">
        <v>240</v>
      </c>
      <c r="I3764" s="15">
        <v>20</v>
      </c>
      <c r="J3764" s="14" t="s">
        <v>144</v>
      </c>
      <c r="K3764" s="5">
        <v>240</v>
      </c>
      <c r="L3764" s="16">
        <v>10.533333333333333</v>
      </c>
      <c r="M3764" s="12"/>
      <c r="N3764" s="14">
        <f t="shared" si="169"/>
        <v>0</v>
      </c>
      <c r="O3764" s="23">
        <f>0.037*M3764</f>
        <v>0</v>
      </c>
      <c r="P3764" s="24">
        <f>0.00003*M3764</f>
        <v>0</v>
      </c>
      <c r="Q3764" s="25"/>
      <c r="R3764" s="26" t="s">
        <v>11817</v>
      </c>
      <c r="S3764" s="26" t="s">
        <v>29</v>
      </c>
      <c r="T3764" s="6" t="str">
        <f>HYPERLINK("https://kanzpp.ru/api/getInfo/image/7517de8e-ad73-11e5-9e79-5cf3fc4a2490")</f>
        <v>https://kanzpp.ru/api/getInfo/image/7517de8e-ad73-11e5-9e79-5cf3fc4a2490</v>
      </c>
      <c r="U3764" s="6"/>
      <c r="V3764" s="33" t="s">
        <v>35</v>
      </c>
    </row>
    <row r="3765" spans="2:22" ht="21" customHeight="1" outlineLevel="7" x14ac:dyDescent="0.2">
      <c r="B3765" s="69">
        <v>2804</v>
      </c>
      <c r="C3765" s="6" t="s">
        <v>11818</v>
      </c>
      <c r="D3765" s="6" t="s">
        <v>11819</v>
      </c>
      <c r="E3765" s="7" t="s">
        <v>11820</v>
      </c>
      <c r="F3765" s="13"/>
      <c r="G3765" s="14"/>
      <c r="H3765" s="15">
        <v>250</v>
      </c>
      <c r="I3765" s="15">
        <v>25</v>
      </c>
      <c r="J3765" s="14" t="s">
        <v>144</v>
      </c>
      <c r="K3765" s="5">
        <v>250</v>
      </c>
      <c r="L3765" s="16">
        <v>10.533333333333333</v>
      </c>
      <c r="M3765" s="12"/>
      <c r="N3765" s="14">
        <f t="shared" si="169"/>
        <v>0</v>
      </c>
      <c r="O3765" s="23">
        <f>0.042*M3765</f>
        <v>0</v>
      </c>
      <c r="P3765" s="24">
        <f>0.00004*M3765</f>
        <v>0</v>
      </c>
      <c r="Q3765" s="25"/>
      <c r="R3765" s="26" t="s">
        <v>11821</v>
      </c>
      <c r="S3765" s="26" t="s">
        <v>29</v>
      </c>
      <c r="T3765" s="6" t="str">
        <f>HYPERLINK("https://kanzpp.ru/api/getInfo/image/0025a219-50d8-11ef-a262-00155d82e908")</f>
        <v>https://kanzpp.ru/api/getInfo/image/0025a219-50d8-11ef-a262-00155d82e908</v>
      </c>
      <c r="U3765" s="6"/>
      <c r="V3765" s="33" t="s">
        <v>35</v>
      </c>
    </row>
    <row r="3766" spans="2:22" ht="21" customHeight="1" outlineLevel="7" x14ac:dyDescent="0.2">
      <c r="B3766" s="69">
        <v>2805</v>
      </c>
      <c r="C3766" s="6" t="s">
        <v>11822</v>
      </c>
      <c r="D3766" s="6" t="s">
        <v>11823</v>
      </c>
      <c r="E3766" s="7" t="s">
        <v>11824</v>
      </c>
      <c r="F3766" s="13"/>
      <c r="G3766" s="14"/>
      <c r="H3766" s="15">
        <v>240</v>
      </c>
      <c r="I3766" s="15">
        <v>20</v>
      </c>
      <c r="J3766" s="14" t="s">
        <v>144</v>
      </c>
      <c r="K3766" s="5">
        <v>240</v>
      </c>
      <c r="L3766" s="16">
        <v>10.533333333333333</v>
      </c>
      <c r="M3766" s="12"/>
      <c r="N3766" s="14">
        <f t="shared" si="169"/>
        <v>0</v>
      </c>
      <c r="O3766" s="23">
        <f>0.037*M3766</f>
        <v>0</v>
      </c>
      <c r="P3766" s="24">
        <f>0.00003*M3766</f>
        <v>0</v>
      </c>
      <c r="Q3766" s="25"/>
      <c r="R3766" s="26" t="s">
        <v>11825</v>
      </c>
      <c r="S3766" s="26" t="s">
        <v>29</v>
      </c>
      <c r="T3766" s="6" t="str">
        <f>HYPERLINK("https://kanzpp.ru/api/getInfo/image/56e1d869-ad73-11e5-9e79-5cf3fc4a2490")</f>
        <v>https://kanzpp.ru/api/getInfo/image/56e1d869-ad73-11e5-9e79-5cf3fc4a2490</v>
      </c>
      <c r="U3766" s="6"/>
      <c r="V3766" s="33" t="s">
        <v>35</v>
      </c>
    </row>
    <row r="3767" spans="2:22" ht="21" customHeight="1" outlineLevel="7" x14ac:dyDescent="0.2">
      <c r="B3767" s="71">
        <v>2806</v>
      </c>
      <c r="C3767" s="37" t="s">
        <v>11826</v>
      </c>
      <c r="D3767" s="37" t="s">
        <v>11827</v>
      </c>
      <c r="E3767" s="38" t="s">
        <v>11828</v>
      </c>
      <c r="F3767" s="39"/>
      <c r="G3767" s="40"/>
      <c r="H3767" s="41">
        <v>240</v>
      </c>
      <c r="I3767" s="41">
        <v>20</v>
      </c>
      <c r="J3767" s="50">
        <v>18335</v>
      </c>
      <c r="K3767" s="36">
        <v>240</v>
      </c>
      <c r="L3767" s="42">
        <f>(14.53*(1-O3/100))/0.75</f>
        <v>19.373333333333331</v>
      </c>
      <c r="M3767" s="12"/>
      <c r="N3767" s="40">
        <f t="shared" si="169"/>
        <v>0</v>
      </c>
      <c r="O3767" s="43">
        <f>0.041*M3767</f>
        <v>0</v>
      </c>
      <c r="P3767" s="47">
        <f>0.00007*M3767</f>
        <v>0</v>
      </c>
      <c r="Q3767" s="44"/>
      <c r="R3767" s="45" t="s">
        <v>11829</v>
      </c>
      <c r="S3767" s="45" t="s">
        <v>29</v>
      </c>
      <c r="T3767" s="37" t="str">
        <f>HYPERLINK("https://kanzpp.ru/api/getInfo/image/47c1e8bd-50d8-11ef-a262-00155d82e908")</f>
        <v>https://kanzpp.ru/api/getInfo/image/47c1e8bd-50d8-11ef-a262-00155d82e908</v>
      </c>
      <c r="U3767" s="37"/>
    </row>
    <row r="3768" spans="2:22" ht="21" customHeight="1" outlineLevel="7" x14ac:dyDescent="0.2">
      <c r="B3768" s="71">
        <v>2807</v>
      </c>
      <c r="C3768" s="37" t="s">
        <v>11830</v>
      </c>
      <c r="D3768" s="37" t="s">
        <v>11831</v>
      </c>
      <c r="E3768" s="38" t="s">
        <v>11832</v>
      </c>
      <c r="F3768" s="39"/>
      <c r="G3768" s="40"/>
      <c r="H3768" s="41">
        <v>240</v>
      </c>
      <c r="I3768" s="41">
        <v>20</v>
      </c>
      <c r="J3768" s="40" t="s">
        <v>144</v>
      </c>
      <c r="K3768" s="36">
        <v>240</v>
      </c>
      <c r="L3768" s="42">
        <f>(14.53*(1-O3/100))/0.75</f>
        <v>19.373333333333331</v>
      </c>
      <c r="M3768" s="12"/>
      <c r="N3768" s="40">
        <f t="shared" si="169"/>
        <v>0</v>
      </c>
      <c r="O3768" s="43">
        <f>0.038*M3768</f>
        <v>0</v>
      </c>
      <c r="P3768" s="47">
        <f>0.00014*M3768</f>
        <v>0</v>
      </c>
      <c r="Q3768" s="44"/>
      <c r="R3768" s="45" t="s">
        <v>11833</v>
      </c>
      <c r="S3768" s="45" t="s">
        <v>29</v>
      </c>
      <c r="T3768" s="37" t="str">
        <f>HYPERLINK("https://kanzpp.ru/api/getInfo/image/3054ba77-fa11-11ed-a239-00155d82e902")</f>
        <v>https://kanzpp.ru/api/getInfo/image/3054ba77-fa11-11ed-a239-00155d82e902</v>
      </c>
      <c r="U3768" s="37"/>
    </row>
    <row r="3769" spans="2:22" ht="21" customHeight="1" outlineLevel="7" x14ac:dyDescent="0.2">
      <c r="B3769" s="71">
        <v>2808</v>
      </c>
      <c r="C3769" s="37" t="s">
        <v>11834</v>
      </c>
      <c r="D3769" s="37" t="s">
        <v>11835</v>
      </c>
      <c r="E3769" s="38" t="s">
        <v>11836</v>
      </c>
      <c r="F3769" s="39"/>
      <c r="G3769" s="40"/>
      <c r="H3769" s="41">
        <v>240</v>
      </c>
      <c r="I3769" s="41">
        <v>20</v>
      </c>
      <c r="J3769" s="40" t="s">
        <v>144</v>
      </c>
      <c r="K3769" s="36">
        <v>240</v>
      </c>
      <c r="L3769" s="42">
        <f>(14.53*(1-O3/100))/0.75</f>
        <v>19.373333333333331</v>
      </c>
      <c r="M3769" s="12"/>
      <c r="N3769" s="40">
        <f t="shared" si="169"/>
        <v>0</v>
      </c>
      <c r="O3769" s="43">
        <f>0.037*M3769</f>
        <v>0</v>
      </c>
      <c r="P3769" s="47">
        <f>0.00007*M3769</f>
        <v>0</v>
      </c>
      <c r="Q3769" s="44"/>
      <c r="R3769" s="45" t="s">
        <v>11837</v>
      </c>
      <c r="S3769" s="45" t="s">
        <v>29</v>
      </c>
      <c r="T3769" s="37" t="str">
        <f>HYPERLINK("https://kanzpp.ru/api/getInfo/image/f5e9b555-fa31-11ed-a239-00155d82e902")</f>
        <v>https://kanzpp.ru/api/getInfo/image/f5e9b555-fa31-11ed-a239-00155d82e902</v>
      </c>
      <c r="U3769" s="37"/>
    </row>
    <row r="3770" spans="2:22" ht="21" customHeight="1" outlineLevel="7" x14ac:dyDescent="0.2">
      <c r="B3770" s="71">
        <v>2809</v>
      </c>
      <c r="C3770" s="37" t="s">
        <v>11838</v>
      </c>
      <c r="D3770" s="37" t="s">
        <v>11839</v>
      </c>
      <c r="E3770" s="38" t="s">
        <v>11840</v>
      </c>
      <c r="F3770" s="39"/>
      <c r="G3770" s="40"/>
      <c r="H3770" s="41">
        <v>240</v>
      </c>
      <c r="I3770" s="41">
        <v>20</v>
      </c>
      <c r="J3770" s="50">
        <v>9673</v>
      </c>
      <c r="K3770" s="36">
        <v>240</v>
      </c>
      <c r="L3770" s="42">
        <f>(14.53*(1-O3/100))/0.75</f>
        <v>19.373333333333331</v>
      </c>
      <c r="M3770" s="12"/>
      <c r="N3770" s="40">
        <f t="shared" si="169"/>
        <v>0</v>
      </c>
      <c r="O3770" s="43">
        <f>0.033*M3770</f>
        <v>0</v>
      </c>
      <c r="P3770" s="47">
        <f>0.00003*M3770</f>
        <v>0</v>
      </c>
      <c r="Q3770" s="44"/>
      <c r="R3770" s="45" t="s">
        <v>11841</v>
      </c>
      <c r="S3770" s="45" t="s">
        <v>29</v>
      </c>
      <c r="T3770" s="37" t="str">
        <f>HYPERLINK("https://kanzpp.ru/api/getInfo/image/5d71b362-fa31-11ed-a239-00155d82e902")</f>
        <v>https://kanzpp.ru/api/getInfo/image/5d71b362-fa31-11ed-a239-00155d82e902</v>
      </c>
      <c r="U3770" s="37"/>
    </row>
    <row r="3771" spans="2:22" ht="21" customHeight="1" outlineLevel="7" x14ac:dyDescent="0.2">
      <c r="B3771" s="71">
        <v>2810</v>
      </c>
      <c r="C3771" s="37" t="s">
        <v>11842</v>
      </c>
      <c r="D3771" s="37" t="s">
        <v>11843</v>
      </c>
      <c r="E3771" s="38" t="s">
        <v>11844</v>
      </c>
      <c r="F3771" s="39"/>
      <c r="G3771" s="40"/>
      <c r="H3771" s="41">
        <v>240</v>
      </c>
      <c r="I3771" s="41">
        <v>20</v>
      </c>
      <c r="J3771" s="40" t="s">
        <v>144</v>
      </c>
      <c r="K3771" s="36">
        <v>240</v>
      </c>
      <c r="L3771" s="42">
        <f>(14.53*(1-O3/100))/0.75</f>
        <v>19.373333333333331</v>
      </c>
      <c r="M3771" s="12"/>
      <c r="N3771" s="40">
        <f t="shared" si="169"/>
        <v>0</v>
      </c>
      <c r="O3771" s="43">
        <f>0.037*M3771</f>
        <v>0</v>
      </c>
      <c r="P3771" s="46">
        <f>0.0001*M3771</f>
        <v>0</v>
      </c>
      <c r="Q3771" s="44"/>
      <c r="R3771" s="45" t="s">
        <v>11845</v>
      </c>
      <c r="S3771" s="45" t="s">
        <v>29</v>
      </c>
      <c r="T3771" s="37" t="str">
        <f>HYPERLINK("https://kanzpp.ru/api/getInfo/image/35b0cc6d-fa32-11ed-a239-00155d82e902")</f>
        <v>https://kanzpp.ru/api/getInfo/image/35b0cc6d-fa32-11ed-a239-00155d82e902</v>
      </c>
      <c r="U3771" s="37"/>
    </row>
    <row r="3772" spans="2:22" ht="21" customHeight="1" outlineLevel="7" x14ac:dyDescent="0.2">
      <c r="B3772" s="71">
        <v>2811</v>
      </c>
      <c r="C3772" s="37" t="s">
        <v>11846</v>
      </c>
      <c r="D3772" s="37" t="s">
        <v>11847</v>
      </c>
      <c r="E3772" s="38" t="s">
        <v>11848</v>
      </c>
      <c r="F3772" s="39"/>
      <c r="G3772" s="40"/>
      <c r="H3772" s="41">
        <v>240</v>
      </c>
      <c r="I3772" s="41">
        <v>20</v>
      </c>
      <c r="J3772" s="50">
        <v>13199</v>
      </c>
      <c r="K3772" s="36">
        <v>240</v>
      </c>
      <c r="L3772" s="42">
        <f>(14.53*(1-O3/100))/0.75</f>
        <v>19.373333333333331</v>
      </c>
      <c r="M3772" s="12"/>
      <c r="N3772" s="40">
        <f t="shared" si="169"/>
        <v>0</v>
      </c>
      <c r="O3772" s="43">
        <f>0.037*M3772</f>
        <v>0</v>
      </c>
      <c r="P3772" s="47">
        <f>0.00007*M3772</f>
        <v>0</v>
      </c>
      <c r="Q3772" s="44"/>
      <c r="R3772" s="45" t="s">
        <v>11849</v>
      </c>
      <c r="S3772" s="45" t="s">
        <v>29</v>
      </c>
      <c r="T3772" s="37" t="str">
        <f>HYPERLINK("https://kanzpp.ru/api/getInfo/image/7385831f-fa32-11ed-a239-00155d82e902")</f>
        <v>https://kanzpp.ru/api/getInfo/image/7385831f-fa32-11ed-a239-00155d82e902</v>
      </c>
      <c r="U3772" s="37"/>
    </row>
    <row r="3773" spans="2:22" ht="21" customHeight="1" outlineLevel="7" x14ac:dyDescent="0.2">
      <c r="B3773" s="71">
        <v>2812</v>
      </c>
      <c r="C3773" s="37" t="s">
        <v>11850</v>
      </c>
      <c r="D3773" s="37" t="s">
        <v>11851</v>
      </c>
      <c r="E3773" s="38" t="s">
        <v>11852</v>
      </c>
      <c r="F3773" s="39"/>
      <c r="G3773" s="40"/>
      <c r="H3773" s="41">
        <v>240</v>
      </c>
      <c r="I3773" s="41">
        <v>20</v>
      </c>
      <c r="J3773" s="50">
        <v>10200</v>
      </c>
      <c r="K3773" s="36">
        <v>240</v>
      </c>
      <c r="L3773" s="42">
        <f>(14.53*(1-O3/100))/0.75</f>
        <v>19.373333333333331</v>
      </c>
      <c r="M3773" s="12"/>
      <c r="N3773" s="40">
        <f t="shared" si="169"/>
        <v>0</v>
      </c>
      <c r="O3773" s="43">
        <f>0.038*M3773</f>
        <v>0</v>
      </c>
      <c r="P3773" s="47">
        <f>0.00007*M3773</f>
        <v>0</v>
      </c>
      <c r="Q3773" s="44"/>
      <c r="R3773" s="45" t="s">
        <v>11853</v>
      </c>
      <c r="S3773" s="45" t="s">
        <v>29</v>
      </c>
      <c r="T3773" s="37" t="str">
        <f>HYPERLINK("https://kanzpp.ru/api/getInfo/image/b38e2a6e-fa31-11ed-a239-00155d82e902")</f>
        <v>https://kanzpp.ru/api/getInfo/image/b38e2a6e-fa31-11ed-a239-00155d82e902</v>
      </c>
      <c r="U3773" s="37"/>
    </row>
    <row r="3774" spans="2:22" ht="21" customHeight="1" outlineLevel="7" x14ac:dyDescent="0.2">
      <c r="B3774" s="71">
        <v>2813</v>
      </c>
      <c r="C3774" s="37" t="s">
        <v>11854</v>
      </c>
      <c r="D3774" s="37" t="s">
        <v>11855</v>
      </c>
      <c r="E3774" s="38" t="s">
        <v>11856</v>
      </c>
      <c r="F3774" s="39"/>
      <c r="G3774" s="40"/>
      <c r="H3774" s="41">
        <v>240</v>
      </c>
      <c r="I3774" s="41">
        <v>20</v>
      </c>
      <c r="J3774" s="41">
        <v>240</v>
      </c>
      <c r="K3774" s="36">
        <v>240</v>
      </c>
      <c r="L3774" s="42">
        <f>(14.53*(1-O3/100))/0.75</f>
        <v>19.373333333333331</v>
      </c>
      <c r="M3774" s="12"/>
      <c r="N3774" s="40">
        <f t="shared" si="169"/>
        <v>0</v>
      </c>
      <c r="O3774" s="43">
        <f>0.108*M3774</f>
        <v>0</v>
      </c>
      <c r="P3774" s="47">
        <f>0.00021*M3774</f>
        <v>0</v>
      </c>
      <c r="Q3774" s="44"/>
      <c r="R3774" s="45" t="s">
        <v>11857</v>
      </c>
      <c r="S3774" s="45" t="s">
        <v>29</v>
      </c>
      <c r="T3774" s="37" t="str">
        <f>HYPERLINK("https://kanzpp.ru/api/getInfo/image/b3ef71c4-f5cb-11f0-a28d-00155d82e908")</f>
        <v>https://kanzpp.ru/api/getInfo/image/b3ef71c4-f5cb-11f0-a28d-00155d82e908</v>
      </c>
      <c r="U3774" s="37"/>
    </row>
    <row r="3775" spans="2:22" ht="21" customHeight="1" outlineLevel="7" x14ac:dyDescent="0.2">
      <c r="B3775" s="71">
        <v>2814</v>
      </c>
      <c r="C3775" s="37" t="s">
        <v>11858</v>
      </c>
      <c r="D3775" s="37" t="s">
        <v>11859</v>
      </c>
      <c r="E3775" s="38" t="s">
        <v>11860</v>
      </c>
      <c r="F3775" s="39"/>
      <c r="G3775" s="40"/>
      <c r="H3775" s="41">
        <v>240</v>
      </c>
      <c r="I3775" s="41">
        <v>20</v>
      </c>
      <c r="J3775" s="41">
        <v>480</v>
      </c>
      <c r="K3775" s="36">
        <v>240</v>
      </c>
      <c r="L3775" s="42">
        <f>(14.53*(1-O3/100))/0.75</f>
        <v>19.373333333333331</v>
      </c>
      <c r="M3775" s="12"/>
      <c r="N3775" s="40">
        <f t="shared" si="169"/>
        <v>0</v>
      </c>
      <c r="O3775" s="43">
        <f>0.108*M3775</f>
        <v>0</v>
      </c>
      <c r="P3775" s="47">
        <f>0.00021*M3775</f>
        <v>0</v>
      </c>
      <c r="Q3775" s="44"/>
      <c r="R3775" s="45" t="s">
        <v>11861</v>
      </c>
      <c r="S3775" s="45" t="s">
        <v>29</v>
      </c>
      <c r="T3775" s="37" t="str">
        <f>HYPERLINK("https://kanzpp.ru/api/getInfo/image/dd4fdbc4-f5cb-11f0-a28d-00155d82e908")</f>
        <v>https://kanzpp.ru/api/getInfo/image/dd4fdbc4-f5cb-11f0-a28d-00155d82e908</v>
      </c>
      <c r="U3775" s="37"/>
    </row>
    <row r="3776" spans="2:22" ht="21" customHeight="1" outlineLevel="7" x14ac:dyDescent="0.2">
      <c r="B3776" s="71">
        <v>2815</v>
      </c>
      <c r="C3776" s="37" t="s">
        <v>11862</v>
      </c>
      <c r="D3776" s="37" t="s">
        <v>11863</v>
      </c>
      <c r="E3776" s="38" t="s">
        <v>11864</v>
      </c>
      <c r="F3776" s="39"/>
      <c r="G3776" s="40"/>
      <c r="H3776" s="41">
        <v>240</v>
      </c>
      <c r="I3776" s="41">
        <v>20</v>
      </c>
      <c r="J3776" s="41">
        <v>960</v>
      </c>
      <c r="K3776" s="36">
        <v>240</v>
      </c>
      <c r="L3776" s="42">
        <f>(14.53*(1-O3/100))/0.75</f>
        <v>19.373333333333331</v>
      </c>
      <c r="M3776" s="12"/>
      <c r="N3776" s="40">
        <f t="shared" si="169"/>
        <v>0</v>
      </c>
      <c r="O3776" s="43">
        <f>0.108*M3776</f>
        <v>0</v>
      </c>
      <c r="P3776" s="47">
        <f>0.00021*M3776</f>
        <v>0</v>
      </c>
      <c r="Q3776" s="44"/>
      <c r="R3776" s="45" t="s">
        <v>11865</v>
      </c>
      <c r="S3776" s="45" t="s">
        <v>29</v>
      </c>
      <c r="T3776" s="37" t="str">
        <f>HYPERLINK("https://kanzpp.ru/api/getInfo/image/8681b567-f5cc-11f0-a28d-00155d82e908")</f>
        <v>https://kanzpp.ru/api/getInfo/image/8681b567-f5cc-11f0-a28d-00155d82e908</v>
      </c>
      <c r="U3776" s="37"/>
    </row>
    <row r="3777" spans="2:22" ht="21" customHeight="1" outlineLevel="7" x14ac:dyDescent="0.2">
      <c r="B3777" s="71">
        <v>2816</v>
      </c>
      <c r="C3777" s="37" t="s">
        <v>11866</v>
      </c>
      <c r="D3777" s="37" t="s">
        <v>11867</v>
      </c>
      <c r="E3777" s="38" t="s">
        <v>11868</v>
      </c>
      <c r="F3777" s="39"/>
      <c r="G3777" s="40"/>
      <c r="H3777" s="41">
        <v>240</v>
      </c>
      <c r="I3777" s="41">
        <v>20</v>
      </c>
      <c r="J3777" s="50">
        <v>2580</v>
      </c>
      <c r="K3777" s="36">
        <v>240</v>
      </c>
      <c r="L3777" s="42">
        <f>(14.53*(1-O3/100))/0.75</f>
        <v>19.373333333333331</v>
      </c>
      <c r="M3777" s="12"/>
      <c r="N3777" s="40">
        <f t="shared" si="169"/>
        <v>0</v>
      </c>
      <c r="O3777" s="43">
        <f>0.024*M3777</f>
        <v>0</v>
      </c>
      <c r="P3777" s="47">
        <f>0.00014*M3777</f>
        <v>0</v>
      </c>
      <c r="Q3777" s="44"/>
      <c r="R3777" s="45" t="s">
        <v>11869</v>
      </c>
      <c r="S3777" s="45" t="s">
        <v>29</v>
      </c>
      <c r="T3777" s="37" t="str">
        <f>HYPERLINK("https://kanzpp.ru/api/getInfo/image/79062b1d-f5ca-11f0-a28d-00155d82e908")</f>
        <v>https://kanzpp.ru/api/getInfo/image/79062b1d-f5ca-11f0-a28d-00155d82e908</v>
      </c>
      <c r="U3777" s="37"/>
    </row>
    <row r="3778" spans="2:22" ht="21" customHeight="1" outlineLevel="7" x14ac:dyDescent="0.2">
      <c r="B3778" s="69">
        <v>2817</v>
      </c>
      <c r="C3778" s="6" t="s">
        <v>11870</v>
      </c>
      <c r="D3778" s="6" t="s">
        <v>11871</v>
      </c>
      <c r="E3778" s="7" t="s">
        <v>11872</v>
      </c>
      <c r="F3778" s="13"/>
      <c r="G3778" s="14"/>
      <c r="H3778" s="15">
        <v>240</v>
      </c>
      <c r="I3778" s="15">
        <v>20</v>
      </c>
      <c r="J3778" s="14" t="s">
        <v>144</v>
      </c>
      <c r="K3778" s="5">
        <v>240</v>
      </c>
      <c r="L3778" s="16">
        <v>10.533333333333333</v>
      </c>
      <c r="M3778" s="12"/>
      <c r="N3778" s="14">
        <f t="shared" si="169"/>
        <v>0</v>
      </c>
      <c r="O3778" s="23">
        <f>0.037*M3778</f>
        <v>0</v>
      </c>
      <c r="P3778" s="24">
        <f>0.00003*M3778</f>
        <v>0</v>
      </c>
      <c r="Q3778" s="25"/>
      <c r="R3778" s="26" t="s">
        <v>11873</v>
      </c>
      <c r="S3778" s="26" t="s">
        <v>29</v>
      </c>
      <c r="T3778" s="6" t="str">
        <f>HYPERLINK("https://kanzpp.ru/api/getInfo/image/0924494d-c2d0-11e6-8e44-5cf3fc4a2490")</f>
        <v>https://kanzpp.ru/api/getInfo/image/0924494d-c2d0-11e6-8e44-5cf3fc4a2490</v>
      </c>
      <c r="U3778" s="6"/>
      <c r="V3778" s="33" t="s">
        <v>35</v>
      </c>
    </row>
    <row r="3779" spans="2:22" ht="21" customHeight="1" outlineLevel="7" x14ac:dyDescent="0.2">
      <c r="B3779" s="69">
        <v>2818</v>
      </c>
      <c r="C3779" s="6" t="s">
        <v>11874</v>
      </c>
      <c r="D3779" s="6" t="s">
        <v>11875</v>
      </c>
      <c r="E3779" s="7" t="s">
        <v>939</v>
      </c>
      <c r="F3779" s="13"/>
      <c r="G3779" s="14"/>
      <c r="H3779" s="15">
        <v>240</v>
      </c>
      <c r="I3779" s="15">
        <v>20</v>
      </c>
      <c r="J3779" s="14" t="s">
        <v>144</v>
      </c>
      <c r="K3779" s="5">
        <v>240</v>
      </c>
      <c r="L3779" s="16">
        <v>10.533333333333333</v>
      </c>
      <c r="M3779" s="12"/>
      <c r="N3779" s="14">
        <f t="shared" si="169"/>
        <v>0</v>
      </c>
      <c r="O3779" s="23">
        <f>0.038*M3779</f>
        <v>0</v>
      </c>
      <c r="P3779" s="24">
        <f>0.00003*M3779</f>
        <v>0</v>
      </c>
      <c r="Q3779" s="25"/>
      <c r="R3779" s="26" t="s">
        <v>11876</v>
      </c>
      <c r="S3779" s="26" t="s">
        <v>29</v>
      </c>
      <c r="T3779" s="6" t="str">
        <f>HYPERLINK("https://kanzpp.ru/api/getInfo/image/bef8f52e-c3a4-11e6-8e44-5cf3fc4a2490")</f>
        <v>https://kanzpp.ru/api/getInfo/image/bef8f52e-c3a4-11e6-8e44-5cf3fc4a2490</v>
      </c>
      <c r="U3779" s="6"/>
      <c r="V3779" s="33" t="s">
        <v>35</v>
      </c>
    </row>
    <row r="3780" spans="2:22" ht="21" customHeight="1" outlineLevel="7" x14ac:dyDescent="0.2">
      <c r="B3780" s="71">
        <v>2819</v>
      </c>
      <c r="C3780" s="37" t="s">
        <v>11877</v>
      </c>
      <c r="D3780" s="37" t="s">
        <v>11878</v>
      </c>
      <c r="E3780" s="38" t="s">
        <v>11879</v>
      </c>
      <c r="F3780" s="39"/>
      <c r="G3780" s="40"/>
      <c r="H3780" s="41">
        <v>240</v>
      </c>
      <c r="I3780" s="41">
        <v>20</v>
      </c>
      <c r="J3780" s="50">
        <v>1400</v>
      </c>
      <c r="K3780" s="36">
        <v>240</v>
      </c>
      <c r="L3780" s="42">
        <f>(14.53*(1-O3/100))/0.75</f>
        <v>19.373333333333331</v>
      </c>
      <c r="M3780" s="12"/>
      <c r="N3780" s="40">
        <f t="shared" si="169"/>
        <v>0</v>
      </c>
      <c r="O3780" s="43">
        <f>0.108*M3780</f>
        <v>0</v>
      </c>
      <c r="P3780" s="47">
        <f>0.00021*M3780</f>
        <v>0</v>
      </c>
      <c r="Q3780" s="44"/>
      <c r="R3780" s="45" t="s">
        <v>11880</v>
      </c>
      <c r="S3780" s="45" t="s">
        <v>29</v>
      </c>
      <c r="T3780" s="37" t="str">
        <f>HYPERLINK("https://kanzpp.ru/api/getInfo/image/641b5543-f5c5-11f0-a28d-00155d82e908")</f>
        <v>https://kanzpp.ru/api/getInfo/image/641b5543-f5c5-11f0-a28d-00155d82e908</v>
      </c>
      <c r="U3780" s="37"/>
    </row>
    <row r="3781" spans="2:22" ht="21" customHeight="1" outlineLevel="7" x14ac:dyDescent="0.2">
      <c r="B3781" s="69">
        <v>2820</v>
      </c>
      <c r="C3781" s="6" t="s">
        <v>11881</v>
      </c>
      <c r="D3781" s="6" t="s">
        <v>11882</v>
      </c>
      <c r="E3781" s="7" t="s">
        <v>11883</v>
      </c>
      <c r="F3781" s="13"/>
      <c r="G3781" s="14"/>
      <c r="H3781" s="15">
        <v>240</v>
      </c>
      <c r="I3781" s="15">
        <v>20</v>
      </c>
      <c r="J3781" s="17">
        <v>6585</v>
      </c>
      <c r="K3781" s="5">
        <v>240</v>
      </c>
      <c r="L3781" s="16">
        <v>10.533333333333333</v>
      </c>
      <c r="M3781" s="12"/>
      <c r="N3781" s="14">
        <f t="shared" si="169"/>
        <v>0</v>
      </c>
      <c r="O3781" s="23">
        <f>0.042*M3781</f>
        <v>0</v>
      </c>
      <c r="P3781" s="24">
        <f>0.00003*M3781</f>
        <v>0</v>
      </c>
      <c r="Q3781" s="25"/>
      <c r="R3781" s="26" t="s">
        <v>11884</v>
      </c>
      <c r="S3781" s="26" t="s">
        <v>29</v>
      </c>
      <c r="T3781" s="6" t="str">
        <f>HYPERLINK("https://kanzpp.ru/api/getInfo/image/cafed5c2-7ed7-11ee-a248-00155d82e902")</f>
        <v>https://kanzpp.ru/api/getInfo/image/cafed5c2-7ed7-11ee-a248-00155d82e902</v>
      </c>
      <c r="U3781" s="6"/>
      <c r="V3781" s="33" t="s">
        <v>35</v>
      </c>
    </row>
    <row r="3782" spans="2:22" ht="21" customHeight="1" outlineLevel="7" x14ac:dyDescent="0.2">
      <c r="B3782" s="71">
        <v>2821</v>
      </c>
      <c r="C3782" s="37" t="s">
        <v>11885</v>
      </c>
      <c r="D3782" s="37" t="s">
        <v>11886</v>
      </c>
      <c r="E3782" s="38" t="s">
        <v>11887</v>
      </c>
      <c r="F3782" s="39"/>
      <c r="G3782" s="40"/>
      <c r="H3782" s="41">
        <v>240</v>
      </c>
      <c r="I3782" s="41">
        <v>20</v>
      </c>
      <c r="J3782" s="50">
        <v>6220</v>
      </c>
      <c r="K3782" s="36">
        <v>240</v>
      </c>
      <c r="L3782" s="42">
        <f>(14.53*(1-O3/100))/0.75</f>
        <v>19.373333333333331</v>
      </c>
      <c r="M3782" s="12"/>
      <c r="N3782" s="40">
        <f t="shared" si="169"/>
        <v>0</v>
      </c>
      <c r="O3782" s="43">
        <f>0.035*M3782</f>
        <v>0</v>
      </c>
      <c r="P3782" s="46">
        <f>0.0001*M3782</f>
        <v>0</v>
      </c>
      <c r="Q3782" s="44"/>
      <c r="R3782" s="45" t="s">
        <v>11888</v>
      </c>
      <c r="S3782" s="45" t="s">
        <v>29</v>
      </c>
      <c r="T3782" s="37" t="str">
        <f>HYPERLINK("https://kanzpp.ru/api/getInfo/image/3552eab4-f5c6-11f0-a28d-00155d82e908")</f>
        <v>https://kanzpp.ru/api/getInfo/image/3552eab4-f5c6-11f0-a28d-00155d82e908</v>
      </c>
      <c r="U3782" s="37"/>
    </row>
    <row r="3783" spans="2:22" ht="21" customHeight="1" outlineLevel="7" x14ac:dyDescent="0.2">
      <c r="B3783" s="69">
        <v>2822</v>
      </c>
      <c r="C3783" s="6" t="s">
        <v>11889</v>
      </c>
      <c r="D3783" s="6" t="s">
        <v>11890</v>
      </c>
      <c r="E3783" s="7" t="s">
        <v>11891</v>
      </c>
      <c r="F3783" s="13"/>
      <c r="G3783" s="14"/>
      <c r="H3783" s="15">
        <v>240</v>
      </c>
      <c r="I3783" s="15">
        <v>20</v>
      </c>
      <c r="J3783" s="17">
        <v>3118</v>
      </c>
      <c r="K3783" s="5">
        <v>240</v>
      </c>
      <c r="L3783" s="16">
        <v>10.533333333333333</v>
      </c>
      <c r="M3783" s="12"/>
      <c r="N3783" s="14">
        <f t="shared" si="169"/>
        <v>0</v>
      </c>
      <c r="O3783" s="23">
        <f>0.036*M3783</f>
        <v>0</v>
      </c>
      <c r="P3783" s="24">
        <f>0.00014*M3783</f>
        <v>0</v>
      </c>
      <c r="Q3783" s="25"/>
      <c r="R3783" s="26" t="s">
        <v>11892</v>
      </c>
      <c r="S3783" s="26" t="s">
        <v>29</v>
      </c>
      <c r="T3783" s="6" t="str">
        <f>HYPERLINK("https://kanzpp.ru/api/getInfo/image/2535daf8-9202-11ef-a265-00155d82e908")</f>
        <v>https://kanzpp.ru/api/getInfo/image/2535daf8-9202-11ef-a265-00155d82e908</v>
      </c>
      <c r="U3783" s="6"/>
      <c r="V3783" s="33" t="s">
        <v>35</v>
      </c>
    </row>
    <row r="3784" spans="2:22" ht="21" customHeight="1" outlineLevel="7" x14ac:dyDescent="0.2">
      <c r="B3784" s="69">
        <v>2823</v>
      </c>
      <c r="C3784" s="6" t="s">
        <v>11893</v>
      </c>
      <c r="D3784" s="6" t="s">
        <v>11894</v>
      </c>
      <c r="E3784" s="7" t="s">
        <v>11895</v>
      </c>
      <c r="F3784" s="13"/>
      <c r="G3784" s="14"/>
      <c r="H3784" s="15">
        <v>250</v>
      </c>
      <c r="I3784" s="15">
        <v>25</v>
      </c>
      <c r="J3784" s="17">
        <v>3117</v>
      </c>
      <c r="K3784" s="5">
        <v>250</v>
      </c>
      <c r="L3784" s="16">
        <v>10.533333333333333</v>
      </c>
      <c r="M3784" s="12"/>
      <c r="N3784" s="14">
        <f t="shared" si="169"/>
        <v>0</v>
      </c>
      <c r="O3784" s="28">
        <f>0.04*M3784</f>
        <v>0</v>
      </c>
      <c r="P3784" s="24">
        <f>0.00007*M3784</f>
        <v>0</v>
      </c>
      <c r="Q3784" s="25"/>
      <c r="R3784" s="26" t="s">
        <v>11896</v>
      </c>
      <c r="S3784" s="26" t="s">
        <v>29</v>
      </c>
      <c r="T3784" s="6" t="str">
        <f>HYPERLINK("https://kanzpp.ru/api/getInfo/image/3472ceb9-c1ce-11ee-a25a-00155d82e908")</f>
        <v>https://kanzpp.ru/api/getInfo/image/3472ceb9-c1ce-11ee-a25a-00155d82e908</v>
      </c>
      <c r="U3784" s="6"/>
      <c r="V3784" s="33" t="s">
        <v>35</v>
      </c>
    </row>
    <row r="3785" spans="2:22" ht="21" customHeight="1" outlineLevel="7" x14ac:dyDescent="0.2">
      <c r="B3785" s="69">
        <v>2824</v>
      </c>
      <c r="C3785" s="6" t="s">
        <v>11897</v>
      </c>
      <c r="D3785" s="6" t="s">
        <v>11898</v>
      </c>
      <c r="E3785" s="7" t="s">
        <v>11899</v>
      </c>
      <c r="F3785" s="13"/>
      <c r="G3785" s="14"/>
      <c r="H3785" s="15">
        <v>240</v>
      </c>
      <c r="I3785" s="15">
        <v>20</v>
      </c>
      <c r="J3785" s="15">
        <v>240</v>
      </c>
      <c r="K3785" s="5">
        <v>240</v>
      </c>
      <c r="L3785" s="16">
        <v>14.533333333333333</v>
      </c>
      <c r="M3785" s="12"/>
      <c r="N3785" s="14">
        <f t="shared" si="169"/>
        <v>0</v>
      </c>
      <c r="O3785" s="23">
        <f>0.035*M3785</f>
        <v>0</v>
      </c>
      <c r="P3785" s="24">
        <f>0.00017*M3785</f>
        <v>0</v>
      </c>
      <c r="Q3785" s="25"/>
      <c r="R3785" s="26" t="s">
        <v>11900</v>
      </c>
      <c r="S3785" s="26" t="s">
        <v>29</v>
      </c>
      <c r="T3785" s="6" t="str">
        <f>HYPERLINK("https://kanzpp.ru/api/getInfo/image/95dd26b3-9201-11ef-a265-00155d82e908")</f>
        <v>https://kanzpp.ru/api/getInfo/image/95dd26b3-9201-11ef-a265-00155d82e908</v>
      </c>
      <c r="U3785" s="6"/>
      <c r="V3785" s="33" t="s">
        <v>35</v>
      </c>
    </row>
    <row r="3786" spans="2:22" ht="21" customHeight="1" outlineLevel="7" x14ac:dyDescent="0.2">
      <c r="B3786" s="71">
        <v>2825</v>
      </c>
      <c r="C3786" s="37" t="s">
        <v>11901</v>
      </c>
      <c r="D3786" s="37" t="s">
        <v>11902</v>
      </c>
      <c r="E3786" s="38" t="s">
        <v>11903</v>
      </c>
      <c r="F3786" s="39"/>
      <c r="G3786" s="40"/>
      <c r="H3786" s="41">
        <v>240</v>
      </c>
      <c r="I3786" s="41">
        <v>20</v>
      </c>
      <c r="J3786" s="50">
        <v>15580</v>
      </c>
      <c r="K3786" s="36">
        <v>240</v>
      </c>
      <c r="L3786" s="42">
        <f>(14.53*(1-O3/100))/0.75</f>
        <v>19.373333333333331</v>
      </c>
      <c r="M3786" s="12"/>
      <c r="N3786" s="40">
        <f t="shared" si="169"/>
        <v>0</v>
      </c>
      <c r="O3786" s="43">
        <f>0.046*M3786</f>
        <v>0</v>
      </c>
      <c r="P3786" s="47">
        <f>0.00007*M3786</f>
        <v>0</v>
      </c>
      <c r="Q3786" s="44"/>
      <c r="R3786" s="45" t="s">
        <v>11904</v>
      </c>
      <c r="S3786" s="45" t="s">
        <v>29</v>
      </c>
      <c r="T3786" s="37" t="str">
        <f>HYPERLINK("https://kanzpp.ru/api/getInfo/image/b6c70c3b-f5cc-11f0-a28d-00155d82e908")</f>
        <v>https://kanzpp.ru/api/getInfo/image/b6c70c3b-f5cc-11f0-a28d-00155d82e908</v>
      </c>
      <c r="U3786" s="37"/>
    </row>
    <row r="3787" spans="2:22" ht="21" customHeight="1" outlineLevel="7" x14ac:dyDescent="0.2">
      <c r="B3787" s="71">
        <v>2826</v>
      </c>
      <c r="C3787" s="37" t="s">
        <v>11905</v>
      </c>
      <c r="D3787" s="37" t="s">
        <v>11906</v>
      </c>
      <c r="E3787" s="38" t="s">
        <v>11907</v>
      </c>
      <c r="F3787" s="39"/>
      <c r="G3787" s="40"/>
      <c r="H3787" s="41">
        <v>240</v>
      </c>
      <c r="I3787" s="41">
        <v>20</v>
      </c>
      <c r="J3787" s="50">
        <v>1058</v>
      </c>
      <c r="K3787" s="36">
        <v>240</v>
      </c>
      <c r="L3787" s="42">
        <f>(14.53*(1-O3/100))/0.75</f>
        <v>19.373333333333331</v>
      </c>
      <c r="M3787" s="12"/>
      <c r="N3787" s="40">
        <f t="shared" ref="N3787:N3818" si="170">L3787*M3787</f>
        <v>0</v>
      </c>
      <c r="O3787" s="43">
        <f>0.036*M3787</f>
        <v>0</v>
      </c>
      <c r="P3787" s="46">
        <f>0.0001*M3787</f>
        <v>0</v>
      </c>
      <c r="Q3787" s="44"/>
      <c r="R3787" s="45" t="s">
        <v>11908</v>
      </c>
      <c r="S3787" s="45" t="s">
        <v>29</v>
      </c>
      <c r="T3787" s="37" t="str">
        <f>HYPERLINK("https://kanzpp.ru/api/getInfo/image/35cfa022-f5c7-11f0-a28d-00155d82e908")</f>
        <v>https://kanzpp.ru/api/getInfo/image/35cfa022-f5c7-11f0-a28d-00155d82e908</v>
      </c>
      <c r="U3787" s="37"/>
    </row>
    <row r="3788" spans="2:22" ht="21" customHeight="1" outlineLevel="7" x14ac:dyDescent="0.2">
      <c r="B3788" s="71">
        <v>2827</v>
      </c>
      <c r="C3788" s="37" t="s">
        <v>11909</v>
      </c>
      <c r="D3788" s="37" t="s">
        <v>11910</v>
      </c>
      <c r="E3788" s="38" t="s">
        <v>11911</v>
      </c>
      <c r="F3788" s="39"/>
      <c r="G3788" s="40"/>
      <c r="H3788" s="41">
        <v>240</v>
      </c>
      <c r="I3788" s="41">
        <v>20</v>
      </c>
      <c r="J3788" s="50">
        <v>3100</v>
      </c>
      <c r="K3788" s="36">
        <v>240</v>
      </c>
      <c r="L3788" s="42">
        <f>(14.53*(1-O3/100))/0.75</f>
        <v>19.373333333333331</v>
      </c>
      <c r="M3788" s="12"/>
      <c r="N3788" s="40">
        <f t="shared" si="170"/>
        <v>0</v>
      </c>
      <c r="O3788" s="43">
        <f>0.108*M3788</f>
        <v>0</v>
      </c>
      <c r="P3788" s="47">
        <f>0.00021*M3788</f>
        <v>0</v>
      </c>
      <c r="Q3788" s="44"/>
      <c r="R3788" s="45" t="s">
        <v>11912</v>
      </c>
      <c r="S3788" s="45" t="s">
        <v>29</v>
      </c>
      <c r="T3788" s="37" t="str">
        <f>HYPERLINK("https://kanzpp.ru/api/getInfo/image/b77ff064-f5c5-11f0-a28d-00155d82e908")</f>
        <v>https://kanzpp.ru/api/getInfo/image/b77ff064-f5c5-11f0-a28d-00155d82e908</v>
      </c>
      <c r="U3788" s="37"/>
    </row>
    <row r="3789" spans="2:22" ht="21" customHeight="1" outlineLevel="7" x14ac:dyDescent="0.2">
      <c r="B3789" s="71">
        <v>2828</v>
      </c>
      <c r="C3789" s="37" t="s">
        <v>11913</v>
      </c>
      <c r="D3789" s="37" t="s">
        <v>11914</v>
      </c>
      <c r="E3789" s="38" t="s">
        <v>11915</v>
      </c>
      <c r="F3789" s="39"/>
      <c r="G3789" s="40"/>
      <c r="H3789" s="41">
        <v>240</v>
      </c>
      <c r="I3789" s="41">
        <v>20</v>
      </c>
      <c r="J3789" s="50">
        <v>5920</v>
      </c>
      <c r="K3789" s="36">
        <v>240</v>
      </c>
      <c r="L3789" s="42">
        <f>(14.53*(1-O3/100))/0.75</f>
        <v>19.373333333333331</v>
      </c>
      <c r="M3789" s="12"/>
      <c r="N3789" s="40">
        <f t="shared" si="170"/>
        <v>0</v>
      </c>
      <c r="O3789" s="43">
        <f>0.032*M3789</f>
        <v>0</v>
      </c>
      <c r="P3789" s="47">
        <f>0.00007*M3789</f>
        <v>0</v>
      </c>
      <c r="Q3789" s="44"/>
      <c r="R3789" s="45" t="s">
        <v>11916</v>
      </c>
      <c r="S3789" s="45" t="s">
        <v>29</v>
      </c>
      <c r="T3789" s="37" t="str">
        <f>HYPERLINK("https://kanzpp.ru/api/getInfo/image/bf9a22ff-7ed6-11ee-a248-00155d82e902")</f>
        <v>https://kanzpp.ru/api/getInfo/image/bf9a22ff-7ed6-11ee-a248-00155d82e902</v>
      </c>
      <c r="U3789" s="37"/>
    </row>
    <row r="3790" spans="2:22" ht="21" customHeight="1" outlineLevel="7" x14ac:dyDescent="0.2">
      <c r="B3790" s="69">
        <v>2829</v>
      </c>
      <c r="C3790" s="6" t="s">
        <v>11917</v>
      </c>
      <c r="D3790" s="6" t="s">
        <v>11918</v>
      </c>
      <c r="E3790" s="7" t="s">
        <v>11919</v>
      </c>
      <c r="F3790" s="13"/>
      <c r="G3790" s="14"/>
      <c r="H3790" s="15">
        <v>250</v>
      </c>
      <c r="I3790" s="15">
        <v>25</v>
      </c>
      <c r="J3790" s="14" t="s">
        <v>144</v>
      </c>
      <c r="K3790" s="5">
        <v>250</v>
      </c>
      <c r="L3790" s="16">
        <v>11.6</v>
      </c>
      <c r="M3790" s="12"/>
      <c r="N3790" s="14">
        <f t="shared" si="170"/>
        <v>0</v>
      </c>
      <c r="O3790" s="23">
        <f>0.041*M3790</f>
        <v>0</v>
      </c>
      <c r="P3790" s="24">
        <f>0.00007*M3790</f>
        <v>0</v>
      </c>
      <c r="Q3790" s="25"/>
      <c r="R3790" s="26" t="s">
        <v>11920</v>
      </c>
      <c r="S3790" s="26" t="s">
        <v>29</v>
      </c>
      <c r="T3790" s="6" t="str">
        <f>HYPERLINK("https://kanzpp.ru/api/getInfo/image/eff73fc6-7ed6-11ee-a248-00155d82e902")</f>
        <v>https://kanzpp.ru/api/getInfo/image/eff73fc6-7ed6-11ee-a248-00155d82e902</v>
      </c>
      <c r="U3790" s="6"/>
      <c r="V3790" s="33" t="s">
        <v>35</v>
      </c>
    </row>
    <row r="3791" spans="2:22" ht="21" customHeight="1" outlineLevel="7" x14ac:dyDescent="0.2">
      <c r="B3791" s="71">
        <v>2830</v>
      </c>
      <c r="C3791" s="37" t="s">
        <v>11921</v>
      </c>
      <c r="D3791" s="37" t="s">
        <v>11922</v>
      </c>
      <c r="E3791" s="38" t="s">
        <v>11923</v>
      </c>
      <c r="F3791" s="39"/>
      <c r="G3791" s="40"/>
      <c r="H3791" s="41">
        <v>240</v>
      </c>
      <c r="I3791" s="41">
        <v>20</v>
      </c>
      <c r="J3791" s="50">
        <v>2820</v>
      </c>
      <c r="K3791" s="36">
        <v>240</v>
      </c>
      <c r="L3791" s="42">
        <f>(14.53*(1-O3/100))/0.75</f>
        <v>19.373333333333331</v>
      </c>
      <c r="M3791" s="12"/>
      <c r="N3791" s="40">
        <f t="shared" si="170"/>
        <v>0</v>
      </c>
      <c r="O3791" s="43">
        <f>0.108*M3791</f>
        <v>0</v>
      </c>
      <c r="P3791" s="47">
        <f>0.00021*M3791</f>
        <v>0</v>
      </c>
      <c r="Q3791" s="44"/>
      <c r="R3791" s="45" t="s">
        <v>11924</v>
      </c>
      <c r="S3791" s="45" t="s">
        <v>29</v>
      </c>
      <c r="T3791" s="37" t="str">
        <f>HYPERLINK("https://kanzpp.ru/api/getInfo/image/c7f4154e-f5c6-11f0-a28d-00155d82e908")</f>
        <v>https://kanzpp.ru/api/getInfo/image/c7f4154e-f5c6-11f0-a28d-00155d82e908</v>
      </c>
      <c r="U3791" s="37"/>
    </row>
    <row r="3792" spans="2:22" ht="21" customHeight="1" outlineLevel="7" x14ac:dyDescent="0.2">
      <c r="B3792" s="71">
        <v>2831</v>
      </c>
      <c r="C3792" s="37" t="s">
        <v>11925</v>
      </c>
      <c r="D3792" s="37" t="s">
        <v>11926</v>
      </c>
      <c r="E3792" s="38" t="s">
        <v>11927</v>
      </c>
      <c r="F3792" s="39"/>
      <c r="G3792" s="40"/>
      <c r="H3792" s="41">
        <v>240</v>
      </c>
      <c r="I3792" s="41">
        <v>20</v>
      </c>
      <c r="J3792" s="50">
        <v>4980</v>
      </c>
      <c r="K3792" s="36">
        <v>240</v>
      </c>
      <c r="L3792" s="42">
        <f>(14.53*(1-O3/100))/0.75</f>
        <v>19.373333333333331</v>
      </c>
      <c r="M3792" s="12"/>
      <c r="N3792" s="40">
        <f t="shared" si="170"/>
        <v>0</v>
      </c>
      <c r="O3792" s="43">
        <f>0.035*M3792</f>
        <v>0</v>
      </c>
      <c r="P3792" s="46">
        <f>0.0001*M3792</f>
        <v>0</v>
      </c>
      <c r="Q3792" s="44"/>
      <c r="R3792" s="45" t="s">
        <v>11928</v>
      </c>
      <c r="S3792" s="45" t="s">
        <v>29</v>
      </c>
      <c r="T3792" s="37" t="str">
        <f>HYPERLINK("https://kanzpp.ru/api/getInfo/image/02cabd57-f5c7-11f0-a28d-00155d82e908")</f>
        <v>https://kanzpp.ru/api/getInfo/image/02cabd57-f5c7-11f0-a28d-00155d82e908</v>
      </c>
      <c r="U3792" s="37"/>
    </row>
    <row r="3793" spans="2:22" ht="21" customHeight="1" outlineLevel="7" x14ac:dyDescent="0.2">
      <c r="B3793" s="69">
        <v>2832</v>
      </c>
      <c r="C3793" s="6" t="s">
        <v>11929</v>
      </c>
      <c r="D3793" s="6" t="s">
        <v>11930</v>
      </c>
      <c r="E3793" s="7" t="s">
        <v>11931</v>
      </c>
      <c r="F3793" s="13"/>
      <c r="G3793" s="14"/>
      <c r="H3793" s="15">
        <v>250</v>
      </c>
      <c r="I3793" s="15">
        <v>10</v>
      </c>
      <c r="J3793" s="17">
        <v>3010</v>
      </c>
      <c r="K3793" s="5">
        <v>250</v>
      </c>
      <c r="L3793" s="16">
        <v>3.3333333333333335</v>
      </c>
      <c r="M3793" s="12"/>
      <c r="N3793" s="14">
        <f t="shared" si="170"/>
        <v>0</v>
      </c>
      <c r="O3793" s="23">
        <f>0.037*M3793</f>
        <v>0</v>
      </c>
      <c r="P3793" s="24">
        <f>0.00003*M3793</f>
        <v>0</v>
      </c>
      <c r="Q3793" s="25"/>
      <c r="R3793" s="26"/>
      <c r="S3793" s="26" t="s">
        <v>29</v>
      </c>
      <c r="T3793" s="6" t="str">
        <f>HYPERLINK("https://kanzpp.ru/api/getInfo/image/426faf88-2dd9-11ed-a216-ac1f6b442185")</f>
        <v>https://kanzpp.ru/api/getInfo/image/426faf88-2dd9-11ed-a216-ac1f6b442185</v>
      </c>
      <c r="U3793" s="6"/>
      <c r="V3793" s="33" t="s">
        <v>35</v>
      </c>
    </row>
    <row r="3794" spans="2:22" ht="21" customHeight="1" outlineLevel="7" x14ac:dyDescent="0.2">
      <c r="B3794" s="69">
        <v>2833</v>
      </c>
      <c r="C3794" s="6" t="s">
        <v>11932</v>
      </c>
      <c r="D3794" s="6" t="s">
        <v>944</v>
      </c>
      <c r="E3794" s="7" t="s">
        <v>945</v>
      </c>
      <c r="F3794" s="13"/>
      <c r="G3794" s="14"/>
      <c r="H3794" s="15">
        <v>250</v>
      </c>
      <c r="I3794" s="15">
        <v>25</v>
      </c>
      <c r="J3794" s="15">
        <v>394</v>
      </c>
      <c r="K3794" s="5">
        <v>250</v>
      </c>
      <c r="L3794" s="16">
        <v>6.5333333333333341</v>
      </c>
      <c r="M3794" s="12"/>
      <c r="N3794" s="14">
        <f t="shared" si="170"/>
        <v>0</v>
      </c>
      <c r="O3794" s="28">
        <f>0.04*M3794</f>
        <v>0</v>
      </c>
      <c r="P3794" s="24">
        <f>0.00003*M3794</f>
        <v>0</v>
      </c>
      <c r="Q3794" s="25"/>
      <c r="R3794" s="26" t="s">
        <v>11933</v>
      </c>
      <c r="S3794" s="26" t="s">
        <v>29</v>
      </c>
      <c r="T3794" s="6" t="str">
        <f>HYPERLINK("https://kanzpp.ru/api/getInfo/image/195108ea-6faf-11ed-a22a-00155d82e902")</f>
        <v>https://kanzpp.ru/api/getInfo/image/195108ea-6faf-11ed-a22a-00155d82e902</v>
      </c>
      <c r="U3794" s="6"/>
      <c r="V3794" s="33" t="s">
        <v>35</v>
      </c>
    </row>
    <row r="3795" spans="2:22" ht="21" customHeight="1" outlineLevel="7" x14ac:dyDescent="0.2">
      <c r="B3795" s="69">
        <v>2834</v>
      </c>
      <c r="C3795" s="6" t="s">
        <v>11934</v>
      </c>
      <c r="D3795" s="6" t="s">
        <v>11935</v>
      </c>
      <c r="E3795" s="7" t="s">
        <v>945</v>
      </c>
      <c r="F3795" s="13"/>
      <c r="G3795" s="14"/>
      <c r="H3795" s="15">
        <v>250</v>
      </c>
      <c r="I3795" s="15">
        <v>10</v>
      </c>
      <c r="J3795" s="15">
        <v>480</v>
      </c>
      <c r="K3795" s="5">
        <v>40</v>
      </c>
      <c r="L3795" s="16">
        <v>6.5333333333333341</v>
      </c>
      <c r="M3795" s="12"/>
      <c r="N3795" s="14">
        <f t="shared" si="170"/>
        <v>0</v>
      </c>
      <c r="O3795" s="23">
        <f>0.036*M3795</f>
        <v>0</v>
      </c>
      <c r="P3795" s="24">
        <f>0.00004*M3795</f>
        <v>0</v>
      </c>
      <c r="Q3795" s="25"/>
      <c r="R3795" s="26"/>
      <c r="S3795" s="26" t="s">
        <v>29</v>
      </c>
      <c r="T3795" s="6" t="str">
        <f>HYPERLINK("https://kanzpp.ru/api/getInfo/image/af55b64a-c886-11ed-a230-00155d82e902")</f>
        <v>https://kanzpp.ru/api/getInfo/image/af55b64a-c886-11ed-a230-00155d82e902</v>
      </c>
      <c r="U3795" s="6" t="s">
        <v>11933</v>
      </c>
      <c r="V3795" s="33" t="s">
        <v>35</v>
      </c>
    </row>
    <row r="3796" spans="2:22" ht="21" customHeight="1" outlineLevel="7" x14ac:dyDescent="0.2">
      <c r="B3796" s="71">
        <v>2835</v>
      </c>
      <c r="C3796" s="37" t="s">
        <v>11936</v>
      </c>
      <c r="D3796" s="37" t="s">
        <v>11937</v>
      </c>
      <c r="E3796" s="38" t="s">
        <v>11938</v>
      </c>
      <c r="F3796" s="39"/>
      <c r="G3796" s="40"/>
      <c r="H3796" s="41">
        <v>240</v>
      </c>
      <c r="I3796" s="41">
        <v>20</v>
      </c>
      <c r="J3796" s="40" t="s">
        <v>144</v>
      </c>
      <c r="K3796" s="36">
        <v>240</v>
      </c>
      <c r="L3796" s="42">
        <f>(14.53*(1-O3/100))/0.75</f>
        <v>19.373333333333331</v>
      </c>
      <c r="M3796" s="12"/>
      <c r="N3796" s="40">
        <f t="shared" si="170"/>
        <v>0</v>
      </c>
      <c r="O3796" s="43">
        <f>0.036*M3796</f>
        <v>0</v>
      </c>
      <c r="P3796" s="47">
        <f>0.00004*M3796</f>
        <v>0</v>
      </c>
      <c r="Q3796" s="44"/>
      <c r="R3796" s="45" t="s">
        <v>11939</v>
      </c>
      <c r="S3796" s="45" t="s">
        <v>29</v>
      </c>
      <c r="T3796" s="37" t="str">
        <f>HYPERLINK("https://kanzpp.ru/api/getInfo/image/42ac9ead-d335-11ef-a26a-00155d82e908")</f>
        <v>https://kanzpp.ru/api/getInfo/image/42ac9ead-d335-11ef-a26a-00155d82e908</v>
      </c>
      <c r="U3796" s="37"/>
    </row>
    <row r="3797" spans="2:22" ht="21" customHeight="1" outlineLevel="7" x14ac:dyDescent="0.2">
      <c r="B3797" s="71">
        <v>2836</v>
      </c>
      <c r="C3797" s="37" t="s">
        <v>11940</v>
      </c>
      <c r="D3797" s="37" t="s">
        <v>11941</v>
      </c>
      <c r="E3797" s="38" t="s">
        <v>11942</v>
      </c>
      <c r="F3797" s="39"/>
      <c r="G3797" s="40"/>
      <c r="H3797" s="41">
        <v>240</v>
      </c>
      <c r="I3797" s="41">
        <v>20</v>
      </c>
      <c r="J3797" s="40" t="s">
        <v>144</v>
      </c>
      <c r="K3797" s="36">
        <v>240</v>
      </c>
      <c r="L3797" s="42">
        <f>(14.53*(1-O3/100))/0.75</f>
        <v>19.373333333333331</v>
      </c>
      <c r="M3797" s="12"/>
      <c r="N3797" s="40">
        <f t="shared" si="170"/>
        <v>0</v>
      </c>
      <c r="O3797" s="43">
        <f>8.729*M3797</f>
        <v>0</v>
      </c>
      <c r="P3797" s="47">
        <f>0.01936*M3797</f>
        <v>0</v>
      </c>
      <c r="Q3797" s="44"/>
      <c r="R3797" s="45" t="s">
        <v>11943</v>
      </c>
      <c r="S3797" s="45" t="s">
        <v>29</v>
      </c>
      <c r="T3797" s="37" t="str">
        <f>HYPERLINK("https://kanzpp.ru/api/getInfo/image/ba312e85-328c-11ee-a23e-00155d82e902")</f>
        <v>https://kanzpp.ru/api/getInfo/image/ba312e85-328c-11ee-a23e-00155d82e902</v>
      </c>
      <c r="U3797" s="37"/>
    </row>
    <row r="3798" spans="2:22" ht="21" customHeight="1" outlineLevel="7" x14ac:dyDescent="0.2">
      <c r="B3798" s="69">
        <v>2837</v>
      </c>
      <c r="C3798" s="6" t="s">
        <v>11944</v>
      </c>
      <c r="D3798" s="6" t="s">
        <v>11945</v>
      </c>
      <c r="E3798" s="7" t="s">
        <v>11946</v>
      </c>
      <c r="F3798" s="13"/>
      <c r="G3798" s="14"/>
      <c r="H3798" s="15">
        <v>250</v>
      </c>
      <c r="I3798" s="15">
        <v>25</v>
      </c>
      <c r="J3798" s="17">
        <v>9200</v>
      </c>
      <c r="K3798" s="5">
        <v>250</v>
      </c>
      <c r="L3798" s="16">
        <v>10.533333333333333</v>
      </c>
      <c r="M3798" s="12"/>
      <c r="N3798" s="14">
        <f t="shared" si="170"/>
        <v>0</v>
      </c>
      <c r="O3798" s="23">
        <f>0.042*M3798</f>
        <v>0</v>
      </c>
      <c r="P3798" s="24">
        <f>0.00004*M3798</f>
        <v>0</v>
      </c>
      <c r="Q3798" s="25"/>
      <c r="R3798" s="26" t="s">
        <v>11947</v>
      </c>
      <c r="S3798" s="26" t="s">
        <v>29</v>
      </c>
      <c r="T3798" s="6" t="str">
        <f>HYPERLINK("https://kanzpp.ru/api/getInfo/image/cdc0eddf-4a60-11ef-a262-00155d82e908")</f>
        <v>https://kanzpp.ru/api/getInfo/image/cdc0eddf-4a60-11ef-a262-00155d82e908</v>
      </c>
      <c r="U3798" s="6"/>
      <c r="V3798" s="33" t="s">
        <v>35</v>
      </c>
    </row>
    <row r="3799" spans="2:22" ht="21" customHeight="1" outlineLevel="7" x14ac:dyDescent="0.2">
      <c r="B3799" s="70">
        <v>2838</v>
      </c>
      <c r="C3799" s="3" t="s">
        <v>11948</v>
      </c>
      <c r="D3799" s="3" t="s">
        <v>11949</v>
      </c>
      <c r="E3799" s="4" t="s">
        <v>11950</v>
      </c>
      <c r="F3799" s="8"/>
      <c r="G3799" s="9"/>
      <c r="H3799" s="10">
        <v>250</v>
      </c>
      <c r="I3799" s="10">
        <v>25</v>
      </c>
      <c r="J3799" s="10">
        <v>767</v>
      </c>
      <c r="K3799" s="2">
        <v>250</v>
      </c>
      <c r="L3799" s="18">
        <v>4.3866666666666667</v>
      </c>
      <c r="M3799" s="12"/>
      <c r="N3799" s="9">
        <f t="shared" si="170"/>
        <v>0</v>
      </c>
      <c r="O3799" s="29">
        <f>0.037*M3799</f>
        <v>0</v>
      </c>
      <c r="P3799" s="30">
        <f>0.00008*M3799</f>
        <v>0</v>
      </c>
      <c r="Q3799" s="21"/>
      <c r="R3799" s="22" t="s">
        <v>11951</v>
      </c>
      <c r="S3799" s="22" t="s">
        <v>29</v>
      </c>
      <c r="T3799" s="3" t="str">
        <f>HYPERLINK("https://kanzpp.ru/api/getInfo/image/5a016e9b-2681-11ec-a20f-ac1f6b442185")</f>
        <v>https://kanzpp.ru/api/getInfo/image/5a016e9b-2681-11ec-a20f-ac1f6b442185</v>
      </c>
      <c r="U3799" s="3"/>
      <c r="V3799" s="32" t="s">
        <v>30</v>
      </c>
    </row>
    <row r="3800" spans="2:22" ht="21" customHeight="1" outlineLevel="7" x14ac:dyDescent="0.2">
      <c r="B3800" s="69">
        <v>2839</v>
      </c>
      <c r="C3800" s="6" t="s">
        <v>11952</v>
      </c>
      <c r="D3800" s="6" t="s">
        <v>11953</v>
      </c>
      <c r="E3800" s="7" t="s">
        <v>11950</v>
      </c>
      <c r="F3800" s="13"/>
      <c r="G3800" s="14"/>
      <c r="H3800" s="15">
        <v>250</v>
      </c>
      <c r="I3800" s="15">
        <v>10</v>
      </c>
      <c r="J3800" s="15">
        <v>120</v>
      </c>
      <c r="K3800" s="5">
        <v>40</v>
      </c>
      <c r="L3800" s="16">
        <v>3.3333333333333335</v>
      </c>
      <c r="M3800" s="12"/>
      <c r="N3800" s="14">
        <f t="shared" si="170"/>
        <v>0</v>
      </c>
      <c r="O3800" s="23">
        <f>0.037*M3800</f>
        <v>0</v>
      </c>
      <c r="P3800" s="24">
        <f>0.00003*M3800</f>
        <v>0</v>
      </c>
      <c r="Q3800" s="25"/>
      <c r="R3800" s="26"/>
      <c r="S3800" s="26" t="s">
        <v>29</v>
      </c>
      <c r="T3800" s="6" t="str">
        <f>HYPERLINK("https://kanzpp.ru/api/getInfo/image/95f05a6d-2dd8-11ed-a216-ac1f6b442185")</f>
        <v>https://kanzpp.ru/api/getInfo/image/95f05a6d-2dd8-11ed-a216-ac1f6b442185</v>
      </c>
      <c r="U3800" s="6"/>
      <c r="V3800" s="33" t="s">
        <v>35</v>
      </c>
    </row>
    <row r="3801" spans="2:22" ht="21" customHeight="1" outlineLevel="7" x14ac:dyDescent="0.2">
      <c r="B3801" s="69">
        <v>2840</v>
      </c>
      <c r="C3801" s="6" t="s">
        <v>11954</v>
      </c>
      <c r="D3801" s="6" t="s">
        <v>11955</v>
      </c>
      <c r="E3801" s="7" t="s">
        <v>11956</v>
      </c>
      <c r="F3801" s="13"/>
      <c r="G3801" s="14"/>
      <c r="H3801" s="15">
        <v>240</v>
      </c>
      <c r="I3801" s="15">
        <v>20</v>
      </c>
      <c r="J3801" s="17">
        <v>2075</v>
      </c>
      <c r="K3801" s="5">
        <v>240</v>
      </c>
      <c r="L3801" s="16">
        <v>10.533333333333333</v>
      </c>
      <c r="M3801" s="12"/>
      <c r="N3801" s="14">
        <f t="shared" si="170"/>
        <v>0</v>
      </c>
      <c r="O3801" s="23">
        <f>0.045*M3801</f>
        <v>0</v>
      </c>
      <c r="P3801" s="24">
        <f>0.00007*M3801</f>
        <v>0</v>
      </c>
      <c r="Q3801" s="25"/>
      <c r="R3801" s="26" t="s">
        <v>11957</v>
      </c>
      <c r="S3801" s="26" t="s">
        <v>29</v>
      </c>
      <c r="T3801" s="6" t="str">
        <f>HYPERLINK("https://kanzpp.ru/api/getInfo/image/fc8c68b0-91fe-11ef-a265-00155d82e908")</f>
        <v>https://kanzpp.ru/api/getInfo/image/fc8c68b0-91fe-11ef-a265-00155d82e908</v>
      </c>
      <c r="U3801" s="6"/>
      <c r="V3801" s="33" t="s">
        <v>35</v>
      </c>
    </row>
    <row r="3802" spans="2:22" ht="21" customHeight="1" outlineLevel="7" x14ac:dyDescent="0.2">
      <c r="B3802" s="71">
        <v>2841</v>
      </c>
      <c r="C3802" s="37" t="s">
        <v>11958</v>
      </c>
      <c r="D3802" s="37" t="s">
        <v>11959</v>
      </c>
      <c r="E3802" s="38" t="s">
        <v>11960</v>
      </c>
      <c r="F3802" s="39"/>
      <c r="G3802" s="40"/>
      <c r="H3802" s="41">
        <v>240</v>
      </c>
      <c r="I3802" s="41">
        <v>20</v>
      </c>
      <c r="J3802" s="50">
        <v>8380</v>
      </c>
      <c r="K3802" s="36">
        <v>240</v>
      </c>
      <c r="L3802" s="42">
        <f>(14.53*(1-O3/100))/0.75</f>
        <v>19.373333333333331</v>
      </c>
      <c r="M3802" s="12"/>
      <c r="N3802" s="40">
        <f t="shared" si="170"/>
        <v>0</v>
      </c>
      <c r="O3802" s="43">
        <f>0.108*M3802</f>
        <v>0</v>
      </c>
      <c r="P3802" s="47">
        <f>0.00021*M3802</f>
        <v>0</v>
      </c>
      <c r="Q3802" s="44"/>
      <c r="R3802" s="45" t="s">
        <v>11961</v>
      </c>
      <c r="S3802" s="45" t="s">
        <v>29</v>
      </c>
      <c r="T3802" s="37" t="str">
        <f>HYPERLINK("https://kanzpp.ru/api/getInfo/image/2a55a94a-f5c4-11f0-a28d-00155d82e908")</f>
        <v>https://kanzpp.ru/api/getInfo/image/2a55a94a-f5c4-11f0-a28d-00155d82e908</v>
      </c>
      <c r="U3802" s="37"/>
    </row>
    <row r="3803" spans="2:22" ht="21" customHeight="1" outlineLevel="7" x14ac:dyDescent="0.2">
      <c r="B3803" s="69">
        <v>2842</v>
      </c>
      <c r="C3803" s="6" t="s">
        <v>11962</v>
      </c>
      <c r="D3803" s="6" t="s">
        <v>11963</v>
      </c>
      <c r="E3803" s="7" t="s">
        <v>11964</v>
      </c>
      <c r="F3803" s="13"/>
      <c r="G3803" s="14"/>
      <c r="H3803" s="15">
        <v>250</v>
      </c>
      <c r="I3803" s="15">
        <v>10</v>
      </c>
      <c r="J3803" s="15">
        <v>10</v>
      </c>
      <c r="K3803" s="5">
        <v>10</v>
      </c>
      <c r="L3803" s="16">
        <v>3.3333333333333335</v>
      </c>
      <c r="M3803" s="12"/>
      <c r="N3803" s="14">
        <f t="shared" si="170"/>
        <v>0</v>
      </c>
      <c r="O3803" s="23">
        <f>0.037*M3803</f>
        <v>0</v>
      </c>
      <c r="P3803" s="24">
        <f>0.00003*M3803</f>
        <v>0</v>
      </c>
      <c r="Q3803" s="25"/>
      <c r="R3803" s="26"/>
      <c r="S3803" s="26" t="s">
        <v>29</v>
      </c>
      <c r="T3803" s="6" t="str">
        <f>HYPERLINK("https://kanzpp.ru/api/getInfo/image/398ace90-2dd8-11ed-a216-ac1f6b442185")</f>
        <v>https://kanzpp.ru/api/getInfo/image/398ace90-2dd8-11ed-a216-ac1f6b442185</v>
      </c>
      <c r="U3803" s="6"/>
      <c r="V3803" s="33" t="s">
        <v>35</v>
      </c>
    </row>
    <row r="3804" spans="2:22" ht="21" customHeight="1" outlineLevel="7" x14ac:dyDescent="0.2">
      <c r="B3804" s="71">
        <v>2843</v>
      </c>
      <c r="C3804" s="37" t="s">
        <v>11965</v>
      </c>
      <c r="D3804" s="37" t="s">
        <v>11966</v>
      </c>
      <c r="E3804" s="38" t="s">
        <v>11967</v>
      </c>
      <c r="F3804" s="39"/>
      <c r="G3804" s="40"/>
      <c r="H3804" s="41">
        <v>240</v>
      </c>
      <c r="I3804" s="41">
        <v>20</v>
      </c>
      <c r="J3804" s="50">
        <v>7680</v>
      </c>
      <c r="K3804" s="36">
        <v>240</v>
      </c>
      <c r="L3804" s="42">
        <f>(14.53*(1-O3/100))/0.75</f>
        <v>19.373333333333331</v>
      </c>
      <c r="M3804" s="12"/>
      <c r="N3804" s="40">
        <f t="shared" si="170"/>
        <v>0</v>
      </c>
      <c r="O3804" s="43">
        <f>0.035*M3804</f>
        <v>0</v>
      </c>
      <c r="P3804" s="46">
        <f>0.0001*M3804</f>
        <v>0</v>
      </c>
      <c r="Q3804" s="44"/>
      <c r="R3804" s="45" t="s">
        <v>11968</v>
      </c>
      <c r="S3804" s="45" t="s">
        <v>29</v>
      </c>
      <c r="T3804" s="37" t="str">
        <f>HYPERLINK("https://kanzpp.ru/api/getInfo/image/ef705b50-f5c3-11f0-a28d-00155d82e908")</f>
        <v>https://kanzpp.ru/api/getInfo/image/ef705b50-f5c3-11f0-a28d-00155d82e908</v>
      </c>
      <c r="U3804" s="37"/>
    </row>
    <row r="3805" spans="2:22" ht="21" customHeight="1" outlineLevel="7" x14ac:dyDescent="0.2">
      <c r="B3805" s="69">
        <v>2844</v>
      </c>
      <c r="C3805" s="6" t="s">
        <v>11969</v>
      </c>
      <c r="D3805" s="6" t="s">
        <v>11970</v>
      </c>
      <c r="E3805" s="7" t="s">
        <v>11971</v>
      </c>
      <c r="F3805" s="13"/>
      <c r="G3805" s="14"/>
      <c r="H3805" s="15">
        <v>240</v>
      </c>
      <c r="I3805" s="15">
        <v>20</v>
      </c>
      <c r="J3805" s="17">
        <v>10195</v>
      </c>
      <c r="K3805" s="5">
        <v>240</v>
      </c>
      <c r="L3805" s="16">
        <v>14.533333333333333</v>
      </c>
      <c r="M3805" s="12"/>
      <c r="N3805" s="14">
        <f t="shared" si="170"/>
        <v>0</v>
      </c>
      <c r="O3805" s="23">
        <f>0.042*M3805</f>
        <v>0</v>
      </c>
      <c r="P3805" s="24">
        <f>0.00004*M3805</f>
        <v>0</v>
      </c>
      <c r="Q3805" s="25"/>
      <c r="R3805" s="26" t="s">
        <v>11972</v>
      </c>
      <c r="S3805" s="26" t="s">
        <v>29</v>
      </c>
      <c r="T3805" s="6" t="str">
        <f>HYPERLINK("https://kanzpp.ru/api/getInfo/image/fc285a49-4a5f-11ef-a262-00155d82e908")</f>
        <v>https://kanzpp.ru/api/getInfo/image/fc285a49-4a5f-11ef-a262-00155d82e908</v>
      </c>
      <c r="U3805" s="6"/>
      <c r="V3805" s="33" t="s">
        <v>35</v>
      </c>
    </row>
    <row r="3806" spans="2:22" ht="21" customHeight="1" outlineLevel="7" x14ac:dyDescent="0.2">
      <c r="B3806" s="71">
        <v>2845</v>
      </c>
      <c r="C3806" s="37" t="s">
        <v>11973</v>
      </c>
      <c r="D3806" s="37" t="s">
        <v>11974</v>
      </c>
      <c r="E3806" s="38" t="s">
        <v>11975</v>
      </c>
      <c r="F3806" s="39"/>
      <c r="G3806" s="40"/>
      <c r="H3806" s="41">
        <v>240</v>
      </c>
      <c r="I3806" s="41">
        <v>20</v>
      </c>
      <c r="J3806" s="50">
        <v>3820</v>
      </c>
      <c r="K3806" s="36">
        <v>240</v>
      </c>
      <c r="L3806" s="42">
        <f>(14.53*(1-O3/100))/0.75</f>
        <v>19.373333333333331</v>
      </c>
      <c r="M3806" s="12"/>
      <c r="N3806" s="40">
        <f t="shared" si="170"/>
        <v>0</v>
      </c>
      <c r="O3806" s="43">
        <f>0.035*M3806</f>
        <v>0</v>
      </c>
      <c r="P3806" s="46">
        <f>0.0001*M3806</f>
        <v>0</v>
      </c>
      <c r="Q3806" s="44"/>
      <c r="R3806" s="45" t="s">
        <v>11976</v>
      </c>
      <c r="S3806" s="45" t="s">
        <v>29</v>
      </c>
      <c r="T3806" s="37" t="str">
        <f>HYPERLINK("https://kanzpp.ru/api/getInfo/image/07b0dc7a-f5c6-11f0-a28d-00155d82e908")</f>
        <v>https://kanzpp.ru/api/getInfo/image/07b0dc7a-f5c6-11f0-a28d-00155d82e908</v>
      </c>
      <c r="U3806" s="37"/>
    </row>
    <row r="3807" spans="2:22" ht="21" customHeight="1" outlineLevel="7" x14ac:dyDescent="0.2">
      <c r="B3807" s="69">
        <v>2846</v>
      </c>
      <c r="C3807" s="6" t="s">
        <v>11977</v>
      </c>
      <c r="D3807" s="6" t="s">
        <v>11978</v>
      </c>
      <c r="E3807" s="7" t="s">
        <v>11979</v>
      </c>
      <c r="F3807" s="13"/>
      <c r="G3807" s="14"/>
      <c r="H3807" s="15">
        <v>250</v>
      </c>
      <c r="I3807" s="15">
        <v>25</v>
      </c>
      <c r="J3807" s="15">
        <v>275</v>
      </c>
      <c r="K3807" s="5">
        <v>250</v>
      </c>
      <c r="L3807" s="16">
        <v>10.533333333333333</v>
      </c>
      <c r="M3807" s="12"/>
      <c r="N3807" s="14">
        <f t="shared" si="170"/>
        <v>0</v>
      </c>
      <c r="O3807" s="23">
        <f>0.042*M3807</f>
        <v>0</v>
      </c>
      <c r="P3807" s="24">
        <f>0.00004*M3807</f>
        <v>0</v>
      </c>
      <c r="Q3807" s="25"/>
      <c r="R3807" s="26" t="s">
        <v>11980</v>
      </c>
      <c r="S3807" s="26" t="s">
        <v>29</v>
      </c>
      <c r="T3807" s="6" t="str">
        <f>HYPERLINK("https://kanzpp.ru/api/getInfo/image/5cfa81df-4a60-11ef-a262-00155d82e908")</f>
        <v>https://kanzpp.ru/api/getInfo/image/5cfa81df-4a60-11ef-a262-00155d82e908</v>
      </c>
      <c r="U3807" s="6"/>
      <c r="V3807" s="33" t="s">
        <v>35</v>
      </c>
    </row>
    <row r="3808" spans="2:22" ht="21" customHeight="1" outlineLevel="7" x14ac:dyDescent="0.2">
      <c r="B3808" s="69">
        <v>2847</v>
      </c>
      <c r="C3808" s="6" t="s">
        <v>11981</v>
      </c>
      <c r="D3808" s="6" t="s">
        <v>11982</v>
      </c>
      <c r="E3808" s="7" t="s">
        <v>11983</v>
      </c>
      <c r="F3808" s="13"/>
      <c r="G3808" s="14"/>
      <c r="H3808" s="15">
        <v>250</v>
      </c>
      <c r="I3808" s="15">
        <v>25</v>
      </c>
      <c r="J3808" s="17">
        <v>7424</v>
      </c>
      <c r="K3808" s="5">
        <v>250</v>
      </c>
      <c r="L3808" s="16">
        <v>10.533333333333333</v>
      </c>
      <c r="M3808" s="12"/>
      <c r="N3808" s="14">
        <f t="shared" si="170"/>
        <v>0</v>
      </c>
      <c r="O3808" s="28">
        <f>0.05*M3808</f>
        <v>0</v>
      </c>
      <c r="P3808" s="24">
        <f>0.00014*M3808</f>
        <v>0</v>
      </c>
      <c r="Q3808" s="25"/>
      <c r="R3808" s="26" t="s">
        <v>11984</v>
      </c>
      <c r="S3808" s="26" t="s">
        <v>29</v>
      </c>
      <c r="T3808" s="6" t="str">
        <f>HYPERLINK("https://kanzpp.ru/api/getInfo/image/b83c5fd4-4a5f-11ef-a262-00155d82e908")</f>
        <v>https://kanzpp.ru/api/getInfo/image/b83c5fd4-4a5f-11ef-a262-00155d82e908</v>
      </c>
      <c r="U3808" s="6"/>
      <c r="V3808" s="33" t="s">
        <v>35</v>
      </c>
    </row>
    <row r="3809" spans="2:22" ht="21" customHeight="1" outlineLevel="7" x14ac:dyDescent="0.2">
      <c r="B3809" s="71">
        <v>2848</v>
      </c>
      <c r="C3809" s="37" t="s">
        <v>11985</v>
      </c>
      <c r="D3809" s="37" t="s">
        <v>11986</v>
      </c>
      <c r="E3809" s="38" t="s">
        <v>11987</v>
      </c>
      <c r="F3809" s="39"/>
      <c r="G3809" s="40"/>
      <c r="H3809" s="41">
        <v>240</v>
      </c>
      <c r="I3809" s="41">
        <v>20</v>
      </c>
      <c r="J3809" s="50">
        <v>2820</v>
      </c>
      <c r="K3809" s="36">
        <v>240</v>
      </c>
      <c r="L3809" s="42">
        <f>(14.53*(1-O3/100))/0.75</f>
        <v>19.373333333333331</v>
      </c>
      <c r="M3809" s="12"/>
      <c r="N3809" s="40">
        <f t="shared" si="170"/>
        <v>0</v>
      </c>
      <c r="O3809" s="43">
        <f>0.108*M3809</f>
        <v>0</v>
      </c>
      <c r="P3809" s="47">
        <f>0.00021*M3809</f>
        <v>0</v>
      </c>
      <c r="Q3809" s="44"/>
      <c r="R3809" s="45" t="s">
        <v>11988</v>
      </c>
      <c r="S3809" s="45" t="s">
        <v>29</v>
      </c>
      <c r="T3809" s="37" t="str">
        <f>HYPERLINK("https://kanzpp.ru/api/getInfo/image/4d6c1c24-f5c4-11f0-a28d-00155d82e908")</f>
        <v>https://kanzpp.ru/api/getInfo/image/4d6c1c24-f5c4-11f0-a28d-00155d82e908</v>
      </c>
      <c r="U3809" s="37"/>
    </row>
    <row r="3810" spans="2:22" ht="22.95" customHeight="1" outlineLevel="6" x14ac:dyDescent="0.2">
      <c r="B3810" s="84" t="s">
        <v>11989</v>
      </c>
      <c r="C3810" s="84"/>
      <c r="D3810" s="84"/>
      <c r="L3810">
        <v>0</v>
      </c>
    </row>
    <row r="3811" spans="2:22" ht="21" customHeight="1" outlineLevel="7" x14ac:dyDescent="0.2">
      <c r="B3811" s="69">
        <v>2849</v>
      </c>
      <c r="C3811" s="6" t="s">
        <v>11990</v>
      </c>
      <c r="D3811" s="6" t="s">
        <v>11991</v>
      </c>
      <c r="E3811" s="7" t="s">
        <v>11992</v>
      </c>
      <c r="F3811" s="13"/>
      <c r="G3811" s="14"/>
      <c r="H3811" s="15">
        <v>250</v>
      </c>
      <c r="I3811" s="15">
        <v>25</v>
      </c>
      <c r="J3811" s="17">
        <v>6305</v>
      </c>
      <c r="K3811" s="5">
        <v>250</v>
      </c>
      <c r="L3811" s="16">
        <v>3.3333333333333335</v>
      </c>
      <c r="M3811" s="12"/>
      <c r="N3811" s="14">
        <f t="shared" ref="N3811:N3835" si="171">L3811*M3811</f>
        <v>0</v>
      </c>
      <c r="O3811" s="23">
        <f>0.036*M3811</f>
        <v>0</v>
      </c>
      <c r="P3811" s="24">
        <f>0.00003*M3811</f>
        <v>0</v>
      </c>
      <c r="Q3811" s="25"/>
      <c r="R3811" s="26" t="s">
        <v>11993</v>
      </c>
      <c r="S3811" s="26" t="s">
        <v>29</v>
      </c>
      <c r="T3811" s="6" t="str">
        <f>HYPERLINK("https://kanzpp.ru/api/getInfo/image/50ad04c9-7d64-11ee-a248-00155d82e902")</f>
        <v>https://kanzpp.ru/api/getInfo/image/50ad04c9-7d64-11ee-a248-00155d82e902</v>
      </c>
      <c r="U3811" s="6"/>
      <c r="V3811" s="33" t="s">
        <v>35</v>
      </c>
    </row>
    <row r="3812" spans="2:22" ht="21" customHeight="1" outlineLevel="7" x14ac:dyDescent="0.2">
      <c r="B3812" s="69">
        <v>2850</v>
      </c>
      <c r="C3812" s="6" t="s">
        <v>11994</v>
      </c>
      <c r="D3812" s="6" t="s">
        <v>11995</v>
      </c>
      <c r="E3812" s="7" t="s">
        <v>11996</v>
      </c>
      <c r="F3812" s="13"/>
      <c r="G3812" s="14"/>
      <c r="H3812" s="15">
        <v>250</v>
      </c>
      <c r="I3812" s="15">
        <v>25</v>
      </c>
      <c r="J3812" s="14" t="s">
        <v>144</v>
      </c>
      <c r="K3812" s="5">
        <v>250</v>
      </c>
      <c r="L3812" s="16">
        <v>10.533333333333333</v>
      </c>
      <c r="M3812" s="12"/>
      <c r="N3812" s="14">
        <f t="shared" si="171"/>
        <v>0</v>
      </c>
      <c r="O3812" s="23">
        <f>0.037*M3812</f>
        <v>0</v>
      </c>
      <c r="P3812" s="24">
        <f>0.00003*M3812</f>
        <v>0</v>
      </c>
      <c r="Q3812" s="25"/>
      <c r="R3812" s="26" t="s">
        <v>11997</v>
      </c>
      <c r="S3812" s="26" t="s">
        <v>29</v>
      </c>
      <c r="T3812" s="6" t="str">
        <f>HYPERLINK("https://kanzpp.ru/api/getInfo/image/b1c12db7-c686-11e1-81d3-5ef3fc502493")</f>
        <v>https://kanzpp.ru/api/getInfo/image/b1c12db7-c686-11e1-81d3-5ef3fc502493</v>
      </c>
      <c r="U3812" s="6"/>
      <c r="V3812" s="33" t="s">
        <v>35</v>
      </c>
    </row>
    <row r="3813" spans="2:22" ht="21" customHeight="1" outlineLevel="7" x14ac:dyDescent="0.2">
      <c r="B3813" s="69">
        <v>2851</v>
      </c>
      <c r="C3813" s="6" t="s">
        <v>11998</v>
      </c>
      <c r="D3813" s="6" t="s">
        <v>11999</v>
      </c>
      <c r="E3813" s="7" t="s">
        <v>12000</v>
      </c>
      <c r="F3813" s="13"/>
      <c r="G3813" s="14"/>
      <c r="H3813" s="15">
        <v>250</v>
      </c>
      <c r="I3813" s="15">
        <v>25</v>
      </c>
      <c r="J3813" s="14" t="s">
        <v>144</v>
      </c>
      <c r="K3813" s="5">
        <v>250</v>
      </c>
      <c r="L3813" s="16">
        <v>10.533333333333333</v>
      </c>
      <c r="M3813" s="12"/>
      <c r="N3813" s="14">
        <f t="shared" si="171"/>
        <v>0</v>
      </c>
      <c r="O3813" s="23">
        <f>0.037*M3813</f>
        <v>0</v>
      </c>
      <c r="P3813" s="24">
        <f>0.00003*M3813</f>
        <v>0</v>
      </c>
      <c r="Q3813" s="25"/>
      <c r="R3813" s="26" t="s">
        <v>12001</v>
      </c>
      <c r="S3813" s="26" t="s">
        <v>29</v>
      </c>
      <c r="T3813" s="6" t="str">
        <f>HYPERLINK("https://kanzpp.ru/api/getInfo/image/e2f6cfb3-ad6e-11e5-9e79-5cf3fc4a2490")</f>
        <v>https://kanzpp.ru/api/getInfo/image/e2f6cfb3-ad6e-11e5-9e79-5cf3fc4a2490</v>
      </c>
      <c r="U3813" s="6"/>
      <c r="V3813" s="33" t="s">
        <v>35</v>
      </c>
    </row>
    <row r="3814" spans="2:22" ht="21" customHeight="1" outlineLevel="7" x14ac:dyDescent="0.2">
      <c r="B3814" s="69">
        <v>2852</v>
      </c>
      <c r="C3814" s="6" t="s">
        <v>12002</v>
      </c>
      <c r="D3814" s="6" t="s">
        <v>12003</v>
      </c>
      <c r="E3814" s="7" t="s">
        <v>12004</v>
      </c>
      <c r="F3814" s="13"/>
      <c r="G3814" s="14"/>
      <c r="H3814" s="15">
        <v>250</v>
      </c>
      <c r="I3814" s="15">
        <v>25</v>
      </c>
      <c r="J3814" s="14" t="s">
        <v>144</v>
      </c>
      <c r="K3814" s="5">
        <v>250</v>
      </c>
      <c r="L3814" s="16">
        <v>10.533333333333333</v>
      </c>
      <c r="M3814" s="12"/>
      <c r="N3814" s="14">
        <f t="shared" si="171"/>
        <v>0</v>
      </c>
      <c r="O3814" s="23">
        <f>0.035*M3814</f>
        <v>0</v>
      </c>
      <c r="P3814" s="24">
        <f>0.00018*M3814</f>
        <v>0</v>
      </c>
      <c r="Q3814" s="25"/>
      <c r="R3814" s="26" t="s">
        <v>12005</v>
      </c>
      <c r="S3814" s="26" t="s">
        <v>29</v>
      </c>
      <c r="T3814" s="6" t="str">
        <f>HYPERLINK("https://kanzpp.ru/api/getInfo/image/b8d2b163-ad6e-11e5-9e79-5cf3fc4a2490")</f>
        <v>https://kanzpp.ru/api/getInfo/image/b8d2b163-ad6e-11e5-9e79-5cf3fc4a2490</v>
      </c>
      <c r="U3814" s="6"/>
      <c r="V3814" s="33" t="s">
        <v>35</v>
      </c>
    </row>
    <row r="3815" spans="2:22" ht="21" customHeight="1" outlineLevel="7" x14ac:dyDescent="0.2">
      <c r="B3815" s="69">
        <v>2853</v>
      </c>
      <c r="C3815" s="6" t="s">
        <v>12006</v>
      </c>
      <c r="D3815" s="6" t="s">
        <v>12007</v>
      </c>
      <c r="E3815" s="7" t="s">
        <v>12008</v>
      </c>
      <c r="F3815" s="13"/>
      <c r="G3815" s="14"/>
      <c r="H3815" s="15">
        <v>250</v>
      </c>
      <c r="I3815" s="15">
        <v>25</v>
      </c>
      <c r="J3815" s="14" t="s">
        <v>144</v>
      </c>
      <c r="K3815" s="5">
        <v>250</v>
      </c>
      <c r="L3815" s="16">
        <v>10.533333333333333</v>
      </c>
      <c r="M3815" s="12"/>
      <c r="N3815" s="14">
        <f t="shared" si="171"/>
        <v>0</v>
      </c>
      <c r="O3815" s="23">
        <f>0.034*M3815</f>
        <v>0</v>
      </c>
      <c r="P3815" s="31">
        <f>0.0002*M3815</f>
        <v>0</v>
      </c>
      <c r="Q3815" s="25"/>
      <c r="R3815" s="26" t="s">
        <v>12009</v>
      </c>
      <c r="S3815" s="26" t="s">
        <v>29</v>
      </c>
      <c r="T3815" s="6" t="str">
        <f>HYPERLINK("https://kanzpp.ru/api/getInfo/image/f64496a4-ad6e-11e5-9e79-5cf3fc4a2490")</f>
        <v>https://kanzpp.ru/api/getInfo/image/f64496a4-ad6e-11e5-9e79-5cf3fc4a2490</v>
      </c>
      <c r="U3815" s="6"/>
      <c r="V3815" s="33" t="s">
        <v>35</v>
      </c>
    </row>
    <row r="3816" spans="2:22" ht="21" customHeight="1" outlineLevel="7" x14ac:dyDescent="0.2">
      <c r="B3816" s="69">
        <v>2854</v>
      </c>
      <c r="C3816" s="6" t="s">
        <v>12010</v>
      </c>
      <c r="D3816" s="6" t="s">
        <v>12011</v>
      </c>
      <c r="E3816" s="7" t="s">
        <v>12012</v>
      </c>
      <c r="F3816" s="13"/>
      <c r="G3816" s="14"/>
      <c r="H3816" s="15">
        <v>240</v>
      </c>
      <c r="I3816" s="15">
        <v>20</v>
      </c>
      <c r="J3816" s="14" t="s">
        <v>144</v>
      </c>
      <c r="K3816" s="5">
        <v>240</v>
      </c>
      <c r="L3816" s="16">
        <v>10.533333333333333</v>
      </c>
      <c r="M3816" s="12"/>
      <c r="N3816" s="14">
        <f t="shared" si="171"/>
        <v>0</v>
      </c>
      <c r="O3816" s="23">
        <f>0.037*M3816</f>
        <v>0</v>
      </c>
      <c r="P3816" s="31">
        <f>0.0001*M3816</f>
        <v>0</v>
      </c>
      <c r="Q3816" s="25"/>
      <c r="R3816" s="26" t="s">
        <v>12013</v>
      </c>
      <c r="S3816" s="26" t="s">
        <v>29</v>
      </c>
      <c r="T3816" s="6"/>
      <c r="U3816" s="6"/>
      <c r="V3816" s="33" t="s">
        <v>35</v>
      </c>
    </row>
    <row r="3817" spans="2:22" ht="21" customHeight="1" outlineLevel="7" x14ac:dyDescent="0.2">
      <c r="B3817" s="69">
        <v>2855</v>
      </c>
      <c r="C3817" s="6" t="s">
        <v>12014</v>
      </c>
      <c r="D3817" s="6" t="s">
        <v>12015</v>
      </c>
      <c r="E3817" s="7" t="s">
        <v>12016</v>
      </c>
      <c r="F3817" s="13"/>
      <c r="G3817" s="14"/>
      <c r="H3817" s="15">
        <v>250</v>
      </c>
      <c r="I3817" s="15">
        <v>25</v>
      </c>
      <c r="J3817" s="14" t="s">
        <v>144</v>
      </c>
      <c r="K3817" s="5">
        <v>250</v>
      </c>
      <c r="L3817" s="16">
        <v>10.533333333333333</v>
      </c>
      <c r="M3817" s="12"/>
      <c r="N3817" s="14">
        <f t="shared" si="171"/>
        <v>0</v>
      </c>
      <c r="O3817" s="23">
        <f>0.037*M3817</f>
        <v>0</v>
      </c>
      <c r="P3817" s="24">
        <f>0.00007*M3817</f>
        <v>0</v>
      </c>
      <c r="Q3817" s="25"/>
      <c r="R3817" s="26" t="s">
        <v>12017</v>
      </c>
      <c r="S3817" s="26" t="s">
        <v>29</v>
      </c>
      <c r="T3817" s="6" t="str">
        <f>HYPERLINK("https://kanzpp.ru/api/getInfo/image/1776bb2b-ad6f-11e5-9e79-5cf3fc4a2490")</f>
        <v>https://kanzpp.ru/api/getInfo/image/1776bb2b-ad6f-11e5-9e79-5cf3fc4a2490</v>
      </c>
      <c r="U3817" s="6"/>
      <c r="V3817" s="33" t="s">
        <v>35</v>
      </c>
    </row>
    <row r="3818" spans="2:22" ht="21" customHeight="1" outlineLevel="7" x14ac:dyDescent="0.2">
      <c r="B3818" s="71">
        <v>2856</v>
      </c>
      <c r="C3818" s="37" t="s">
        <v>12018</v>
      </c>
      <c r="D3818" s="37" t="s">
        <v>12019</v>
      </c>
      <c r="E3818" s="38" t="s">
        <v>12020</v>
      </c>
      <c r="F3818" s="39"/>
      <c r="G3818" s="40"/>
      <c r="H3818" s="41">
        <v>240</v>
      </c>
      <c r="I3818" s="41">
        <v>20</v>
      </c>
      <c r="J3818" s="40" t="s">
        <v>144</v>
      </c>
      <c r="K3818" s="36">
        <v>240</v>
      </c>
      <c r="L3818" s="42">
        <f>(14.53*(1-O3/100))/0.75</f>
        <v>19.373333333333331</v>
      </c>
      <c r="M3818" s="12"/>
      <c r="N3818" s="40">
        <f t="shared" si="171"/>
        <v>0</v>
      </c>
      <c r="O3818" s="43">
        <f>0.038*M3818</f>
        <v>0</v>
      </c>
      <c r="P3818" s="46">
        <f t="shared" ref="P3818:P3823" si="172">0.0001*M3818</f>
        <v>0</v>
      </c>
      <c r="Q3818" s="44"/>
      <c r="R3818" s="45" t="s">
        <v>12021</v>
      </c>
      <c r="S3818" s="45" t="s">
        <v>29</v>
      </c>
      <c r="T3818" s="37" t="str">
        <f>HYPERLINK("https://kanzpp.ru/api/getInfo/image/53a0c0c0-50d9-11ef-a262-00155d82e908")</f>
        <v>https://kanzpp.ru/api/getInfo/image/53a0c0c0-50d9-11ef-a262-00155d82e908</v>
      </c>
      <c r="U3818" s="37"/>
    </row>
    <row r="3819" spans="2:22" ht="21" customHeight="1" outlineLevel="7" x14ac:dyDescent="0.2">
      <c r="B3819" s="71">
        <v>2857</v>
      </c>
      <c r="C3819" s="37" t="s">
        <v>12022</v>
      </c>
      <c r="D3819" s="37" t="s">
        <v>12023</v>
      </c>
      <c r="E3819" s="38" t="s">
        <v>12024</v>
      </c>
      <c r="F3819" s="39"/>
      <c r="G3819" s="40"/>
      <c r="H3819" s="41">
        <v>240</v>
      </c>
      <c r="I3819" s="41">
        <v>20</v>
      </c>
      <c r="J3819" s="40" t="s">
        <v>144</v>
      </c>
      <c r="K3819" s="36">
        <v>240</v>
      </c>
      <c r="L3819" s="42">
        <f>(14.53*(1-O3/100))/0.75</f>
        <v>19.373333333333331</v>
      </c>
      <c r="M3819" s="12"/>
      <c r="N3819" s="40">
        <f t="shared" si="171"/>
        <v>0</v>
      </c>
      <c r="O3819" s="48">
        <f>0.04*M3819</f>
        <v>0</v>
      </c>
      <c r="P3819" s="46">
        <f t="shared" si="172"/>
        <v>0</v>
      </c>
      <c r="Q3819" s="44"/>
      <c r="R3819" s="45" t="s">
        <v>12025</v>
      </c>
      <c r="S3819" s="45" t="s">
        <v>29</v>
      </c>
      <c r="T3819" s="37" t="str">
        <f>HYPERLINK("https://kanzpp.ru/api/getInfo/image/3d82debd-fa12-11ed-a239-00155d82e902")</f>
        <v>https://kanzpp.ru/api/getInfo/image/3d82debd-fa12-11ed-a239-00155d82e902</v>
      </c>
      <c r="U3819" s="37"/>
    </row>
    <row r="3820" spans="2:22" ht="21" customHeight="1" outlineLevel="7" x14ac:dyDescent="0.2">
      <c r="B3820" s="71">
        <v>2858</v>
      </c>
      <c r="C3820" s="37" t="s">
        <v>12026</v>
      </c>
      <c r="D3820" s="37" t="s">
        <v>12027</v>
      </c>
      <c r="E3820" s="38" t="s">
        <v>12028</v>
      </c>
      <c r="F3820" s="39"/>
      <c r="G3820" s="40"/>
      <c r="H3820" s="41">
        <v>240</v>
      </c>
      <c r="I3820" s="41">
        <v>20</v>
      </c>
      <c r="J3820" s="50">
        <v>15660</v>
      </c>
      <c r="K3820" s="36">
        <v>240</v>
      </c>
      <c r="L3820" s="42">
        <f>(14.53*(1-O3/100))/0.75</f>
        <v>19.373333333333331</v>
      </c>
      <c r="M3820" s="12"/>
      <c r="N3820" s="40">
        <f t="shared" si="171"/>
        <v>0</v>
      </c>
      <c r="O3820" s="43">
        <f>0.043*M3820</f>
        <v>0</v>
      </c>
      <c r="P3820" s="46">
        <f t="shared" si="172"/>
        <v>0</v>
      </c>
      <c r="Q3820" s="44"/>
      <c r="R3820" s="45" t="s">
        <v>12029</v>
      </c>
      <c r="S3820" s="45" t="s">
        <v>29</v>
      </c>
      <c r="T3820" s="37" t="str">
        <f>HYPERLINK("https://kanzpp.ru/api/getInfo/image/f7fe55f0-fa34-11ed-a239-00155d82e902")</f>
        <v>https://kanzpp.ru/api/getInfo/image/f7fe55f0-fa34-11ed-a239-00155d82e902</v>
      </c>
      <c r="U3820" s="37"/>
    </row>
    <row r="3821" spans="2:22" ht="21" customHeight="1" outlineLevel="7" x14ac:dyDescent="0.2">
      <c r="B3821" s="71">
        <v>2859</v>
      </c>
      <c r="C3821" s="37" t="s">
        <v>12030</v>
      </c>
      <c r="D3821" s="37" t="s">
        <v>12031</v>
      </c>
      <c r="E3821" s="38" t="s">
        <v>12032</v>
      </c>
      <c r="F3821" s="39"/>
      <c r="G3821" s="40"/>
      <c r="H3821" s="41">
        <v>240</v>
      </c>
      <c r="I3821" s="41">
        <v>20</v>
      </c>
      <c r="J3821" s="40" t="s">
        <v>144</v>
      </c>
      <c r="K3821" s="36">
        <v>240</v>
      </c>
      <c r="L3821" s="42">
        <f>(14.53*(1-O3/100))/0.75</f>
        <v>19.373333333333331</v>
      </c>
      <c r="M3821" s="12"/>
      <c r="N3821" s="40">
        <f t="shared" si="171"/>
        <v>0</v>
      </c>
      <c r="O3821" s="43">
        <f>0.044*M3821</f>
        <v>0</v>
      </c>
      <c r="P3821" s="46">
        <f t="shared" si="172"/>
        <v>0</v>
      </c>
      <c r="Q3821" s="44"/>
      <c r="R3821" s="45" t="s">
        <v>12033</v>
      </c>
      <c r="S3821" s="45" t="s">
        <v>29</v>
      </c>
      <c r="T3821" s="37" t="str">
        <f>HYPERLINK("https://kanzpp.ru/api/getInfo/image/8e628c08-fa33-11ed-a239-00155d82e902")</f>
        <v>https://kanzpp.ru/api/getInfo/image/8e628c08-fa33-11ed-a239-00155d82e902</v>
      </c>
      <c r="U3821" s="37"/>
    </row>
    <row r="3822" spans="2:22" ht="21" customHeight="1" outlineLevel="7" x14ac:dyDescent="0.2">
      <c r="B3822" s="71">
        <v>2860</v>
      </c>
      <c r="C3822" s="37" t="s">
        <v>12034</v>
      </c>
      <c r="D3822" s="37" t="s">
        <v>12035</v>
      </c>
      <c r="E3822" s="38" t="s">
        <v>12036</v>
      </c>
      <c r="F3822" s="39"/>
      <c r="G3822" s="40"/>
      <c r="H3822" s="41">
        <v>240</v>
      </c>
      <c r="I3822" s="41">
        <v>20</v>
      </c>
      <c r="J3822" s="50">
        <v>15680</v>
      </c>
      <c r="K3822" s="36">
        <v>240</v>
      </c>
      <c r="L3822" s="42">
        <f>(14.53*(1-O3/100))/0.75</f>
        <v>19.373333333333331</v>
      </c>
      <c r="M3822" s="12"/>
      <c r="N3822" s="40">
        <f t="shared" si="171"/>
        <v>0</v>
      </c>
      <c r="O3822" s="43">
        <f>0.044*M3822</f>
        <v>0</v>
      </c>
      <c r="P3822" s="46">
        <f t="shared" si="172"/>
        <v>0</v>
      </c>
      <c r="Q3822" s="44"/>
      <c r="R3822" s="45" t="s">
        <v>12037</v>
      </c>
      <c r="S3822" s="45" t="s">
        <v>29</v>
      </c>
      <c r="T3822" s="37" t="str">
        <f>HYPERLINK("https://kanzpp.ru/api/getInfo/image/6110fe98-fa35-11ed-a239-00155d82e902")</f>
        <v>https://kanzpp.ru/api/getInfo/image/6110fe98-fa35-11ed-a239-00155d82e902</v>
      </c>
      <c r="U3822" s="37"/>
    </row>
    <row r="3823" spans="2:22" ht="21" customHeight="1" outlineLevel="7" x14ac:dyDescent="0.2">
      <c r="B3823" s="71">
        <v>2861</v>
      </c>
      <c r="C3823" s="37" t="s">
        <v>12038</v>
      </c>
      <c r="D3823" s="37" t="s">
        <v>12039</v>
      </c>
      <c r="E3823" s="38" t="s">
        <v>12040</v>
      </c>
      <c r="F3823" s="39"/>
      <c r="G3823" s="40"/>
      <c r="H3823" s="41">
        <v>240</v>
      </c>
      <c r="I3823" s="41">
        <v>20</v>
      </c>
      <c r="J3823" s="50">
        <v>8360</v>
      </c>
      <c r="K3823" s="36">
        <v>240</v>
      </c>
      <c r="L3823" s="42">
        <f>(14.53*(1-O3/100))/0.75</f>
        <v>19.373333333333331</v>
      </c>
      <c r="M3823" s="12"/>
      <c r="N3823" s="40">
        <f t="shared" si="171"/>
        <v>0</v>
      </c>
      <c r="O3823" s="43">
        <f>0.044*M3823</f>
        <v>0</v>
      </c>
      <c r="P3823" s="46">
        <f t="shared" si="172"/>
        <v>0</v>
      </c>
      <c r="Q3823" s="44"/>
      <c r="R3823" s="45" t="s">
        <v>12041</v>
      </c>
      <c r="S3823" s="45" t="s">
        <v>29</v>
      </c>
      <c r="T3823" s="37" t="str">
        <f>HYPERLINK("https://kanzpp.ru/api/getInfo/image/c4e306c7-fa35-11ed-a239-00155d82e902")</f>
        <v>https://kanzpp.ru/api/getInfo/image/c4e306c7-fa35-11ed-a239-00155d82e902</v>
      </c>
      <c r="U3823" s="37"/>
    </row>
    <row r="3824" spans="2:22" ht="21" customHeight="1" outlineLevel="7" x14ac:dyDescent="0.2">
      <c r="B3824" s="71">
        <v>2862</v>
      </c>
      <c r="C3824" s="37" t="s">
        <v>12042</v>
      </c>
      <c r="D3824" s="37" t="s">
        <v>12043</v>
      </c>
      <c r="E3824" s="38" t="s">
        <v>12044</v>
      </c>
      <c r="F3824" s="39"/>
      <c r="G3824" s="40"/>
      <c r="H3824" s="41">
        <v>240</v>
      </c>
      <c r="I3824" s="41">
        <v>20</v>
      </c>
      <c r="J3824" s="40" t="s">
        <v>144</v>
      </c>
      <c r="K3824" s="36">
        <v>240</v>
      </c>
      <c r="L3824" s="42">
        <f>(14.53*(1-O3/100))/0.75</f>
        <v>19.373333333333331</v>
      </c>
      <c r="M3824" s="12"/>
      <c r="N3824" s="40">
        <f t="shared" si="171"/>
        <v>0</v>
      </c>
      <c r="O3824" s="48">
        <f>0.02*M3824</f>
        <v>0</v>
      </c>
      <c r="P3824" s="47">
        <f>0.00007*M3824</f>
        <v>0</v>
      </c>
      <c r="Q3824" s="44"/>
      <c r="R3824" s="45" t="s">
        <v>12045</v>
      </c>
      <c r="S3824" s="45" t="s">
        <v>29</v>
      </c>
      <c r="T3824" s="37" t="str">
        <f>HYPERLINK("https://kanzpp.ru/api/getInfo/image/afe3daea-fa34-11ed-a239-00155d82e902")</f>
        <v>https://kanzpp.ru/api/getInfo/image/afe3daea-fa34-11ed-a239-00155d82e902</v>
      </c>
      <c r="U3824" s="37"/>
    </row>
    <row r="3825" spans="2:22" ht="21" customHeight="1" outlineLevel="7" x14ac:dyDescent="0.2">
      <c r="B3825" s="69">
        <v>2863</v>
      </c>
      <c r="C3825" s="6" t="s">
        <v>12046</v>
      </c>
      <c r="D3825" s="6" t="s">
        <v>12047</v>
      </c>
      <c r="E3825" s="7" t="s">
        <v>1140</v>
      </c>
      <c r="F3825" s="13"/>
      <c r="G3825" s="14"/>
      <c r="H3825" s="15">
        <v>240</v>
      </c>
      <c r="I3825" s="15">
        <v>20</v>
      </c>
      <c r="J3825" s="14" t="s">
        <v>144</v>
      </c>
      <c r="K3825" s="5">
        <v>240</v>
      </c>
      <c r="L3825" s="16">
        <v>13.200000000000001</v>
      </c>
      <c r="M3825" s="12"/>
      <c r="N3825" s="14">
        <f t="shared" si="171"/>
        <v>0</v>
      </c>
      <c r="O3825" s="23">
        <f>0.037*M3825</f>
        <v>0</v>
      </c>
      <c r="P3825" s="24">
        <f>0.00003*M3825</f>
        <v>0</v>
      </c>
      <c r="Q3825" s="25"/>
      <c r="R3825" s="26" t="s">
        <v>1141</v>
      </c>
      <c r="S3825" s="26" t="s">
        <v>29</v>
      </c>
      <c r="T3825" s="6" t="str">
        <f>HYPERLINK("https://kanzpp.ru/api/getInfo/image/38a5c3ed-1d22-11e8-ba06-5cf3fc4a2490")</f>
        <v>https://kanzpp.ru/api/getInfo/image/38a5c3ed-1d22-11e8-ba06-5cf3fc4a2490</v>
      </c>
      <c r="U3825" s="6" t="s">
        <v>1141</v>
      </c>
      <c r="V3825" s="33" t="s">
        <v>35</v>
      </c>
    </row>
    <row r="3826" spans="2:22" ht="21" customHeight="1" outlineLevel="7" x14ac:dyDescent="0.2">
      <c r="B3826" s="69">
        <v>2864</v>
      </c>
      <c r="C3826" s="6" t="s">
        <v>12048</v>
      </c>
      <c r="D3826" s="6" t="s">
        <v>12049</v>
      </c>
      <c r="E3826" s="7" t="s">
        <v>12050</v>
      </c>
      <c r="F3826" s="13"/>
      <c r="G3826" s="14"/>
      <c r="H3826" s="15">
        <v>250</v>
      </c>
      <c r="I3826" s="15">
        <v>25</v>
      </c>
      <c r="J3826" s="14" t="s">
        <v>144</v>
      </c>
      <c r="K3826" s="5">
        <v>250</v>
      </c>
      <c r="L3826" s="16">
        <v>10.533333333333333</v>
      </c>
      <c r="M3826" s="12"/>
      <c r="N3826" s="14">
        <f t="shared" si="171"/>
        <v>0</v>
      </c>
      <c r="O3826" s="23">
        <f>0.037*M3826</f>
        <v>0</v>
      </c>
      <c r="P3826" s="24">
        <f>0.00003*M3826</f>
        <v>0</v>
      </c>
      <c r="Q3826" s="25"/>
      <c r="R3826" s="26" t="s">
        <v>12051</v>
      </c>
      <c r="S3826" s="26" t="s">
        <v>29</v>
      </c>
      <c r="T3826" s="6" t="str">
        <f>HYPERLINK("https://kanzpp.ru/api/getInfo/image/eeb11fd2-2632-11e5-aad1-5cf3fc4a2490")</f>
        <v>https://kanzpp.ru/api/getInfo/image/eeb11fd2-2632-11e5-aad1-5cf3fc4a2490</v>
      </c>
      <c r="U3826" s="6"/>
      <c r="V3826" s="33" t="s">
        <v>35</v>
      </c>
    </row>
    <row r="3827" spans="2:22" ht="21" customHeight="1" outlineLevel="7" x14ac:dyDescent="0.2">
      <c r="B3827" s="69">
        <v>2865</v>
      </c>
      <c r="C3827" s="6" t="s">
        <v>12052</v>
      </c>
      <c r="D3827" s="6" t="s">
        <v>12053</v>
      </c>
      <c r="E3827" s="7" t="s">
        <v>12054</v>
      </c>
      <c r="F3827" s="13"/>
      <c r="G3827" s="14"/>
      <c r="H3827" s="15">
        <v>240</v>
      </c>
      <c r="I3827" s="15">
        <v>20</v>
      </c>
      <c r="J3827" s="14" t="s">
        <v>144</v>
      </c>
      <c r="K3827" s="5">
        <v>240</v>
      </c>
      <c r="L3827" s="16">
        <v>10.533333333333333</v>
      </c>
      <c r="M3827" s="12"/>
      <c r="N3827" s="14">
        <f t="shared" si="171"/>
        <v>0</v>
      </c>
      <c r="O3827" s="28">
        <f>0.42*M3827</f>
        <v>0</v>
      </c>
      <c r="P3827" s="31">
        <f>0.0001*M3827</f>
        <v>0</v>
      </c>
      <c r="Q3827" s="25"/>
      <c r="R3827" s="26" t="s">
        <v>12055</v>
      </c>
      <c r="S3827" s="26" t="s">
        <v>29</v>
      </c>
      <c r="T3827" s="6" t="str">
        <f>HYPERLINK("https://kanzpp.ru/api/getInfo/image/b12a6aee-87b2-11ef-a265-00155d82e908")</f>
        <v>https://kanzpp.ru/api/getInfo/image/b12a6aee-87b2-11ef-a265-00155d82e908</v>
      </c>
      <c r="U3827" s="6"/>
      <c r="V3827" s="33" t="s">
        <v>35</v>
      </c>
    </row>
    <row r="3828" spans="2:22" ht="21" customHeight="1" outlineLevel="7" x14ac:dyDescent="0.2">
      <c r="B3828" s="69">
        <v>2866</v>
      </c>
      <c r="C3828" s="6" t="s">
        <v>12056</v>
      </c>
      <c r="D3828" s="6" t="s">
        <v>12057</v>
      </c>
      <c r="E3828" s="7" t="s">
        <v>12058</v>
      </c>
      <c r="F3828" s="13"/>
      <c r="G3828" s="14"/>
      <c r="H3828" s="15">
        <v>240</v>
      </c>
      <c r="I3828" s="15">
        <v>20</v>
      </c>
      <c r="J3828" s="17">
        <v>6660</v>
      </c>
      <c r="K3828" s="5">
        <v>240</v>
      </c>
      <c r="L3828" s="16">
        <v>10.533333333333333</v>
      </c>
      <c r="M3828" s="12"/>
      <c r="N3828" s="14">
        <f t="shared" si="171"/>
        <v>0</v>
      </c>
      <c r="O3828" s="28">
        <f>0.04*M3828</f>
        <v>0</v>
      </c>
      <c r="P3828" s="24">
        <f>0.00017*M3828</f>
        <v>0</v>
      </c>
      <c r="Q3828" s="25"/>
      <c r="R3828" s="26" t="s">
        <v>12059</v>
      </c>
      <c r="S3828" s="26" t="s">
        <v>29</v>
      </c>
      <c r="T3828" s="6" t="str">
        <f>HYPERLINK("https://kanzpp.ru/api/getInfo/image/f2adeb03-87b2-11ef-a265-00155d82e908")</f>
        <v>https://kanzpp.ru/api/getInfo/image/f2adeb03-87b2-11ef-a265-00155d82e908</v>
      </c>
      <c r="U3828" s="6"/>
      <c r="V3828" s="33" t="s">
        <v>35</v>
      </c>
    </row>
    <row r="3829" spans="2:22" ht="21" customHeight="1" outlineLevel="7" x14ac:dyDescent="0.2">
      <c r="B3829" s="69">
        <v>2867</v>
      </c>
      <c r="C3829" s="6" t="s">
        <v>12060</v>
      </c>
      <c r="D3829" s="6" t="s">
        <v>12061</v>
      </c>
      <c r="E3829" s="7" t="s">
        <v>12062</v>
      </c>
      <c r="F3829" s="13"/>
      <c r="G3829" s="14"/>
      <c r="H3829" s="15">
        <v>240</v>
      </c>
      <c r="I3829" s="15">
        <v>20</v>
      </c>
      <c r="J3829" s="17">
        <v>2120</v>
      </c>
      <c r="K3829" s="5">
        <v>240</v>
      </c>
      <c r="L3829" s="16">
        <v>10.533333333333333</v>
      </c>
      <c r="M3829" s="12"/>
      <c r="N3829" s="14">
        <f t="shared" si="171"/>
        <v>0</v>
      </c>
      <c r="O3829" s="28">
        <f>0.04*M3829</f>
        <v>0</v>
      </c>
      <c r="P3829" s="31">
        <f>0.0001*M3829</f>
        <v>0</v>
      </c>
      <c r="Q3829" s="25"/>
      <c r="R3829" s="26" t="s">
        <v>12063</v>
      </c>
      <c r="S3829" s="26" t="s">
        <v>29</v>
      </c>
      <c r="T3829" s="6" t="str">
        <f>HYPERLINK("https://kanzpp.ru/api/getInfo/image/ce20e1ee-9c34-11ef-a267-00155d82e908")</f>
        <v>https://kanzpp.ru/api/getInfo/image/ce20e1ee-9c34-11ef-a267-00155d82e908</v>
      </c>
      <c r="U3829" s="6"/>
      <c r="V3829" s="33" t="s">
        <v>35</v>
      </c>
    </row>
    <row r="3830" spans="2:22" ht="21" customHeight="1" outlineLevel="7" x14ac:dyDescent="0.2">
      <c r="B3830" s="69">
        <v>2868</v>
      </c>
      <c r="C3830" s="6" t="s">
        <v>12064</v>
      </c>
      <c r="D3830" s="6" t="s">
        <v>12065</v>
      </c>
      <c r="E3830" s="7" t="s">
        <v>12066</v>
      </c>
      <c r="F3830" s="13"/>
      <c r="G3830" s="14"/>
      <c r="H3830" s="15">
        <v>250</v>
      </c>
      <c r="I3830" s="15">
        <v>25</v>
      </c>
      <c r="J3830" s="17">
        <v>7725</v>
      </c>
      <c r="K3830" s="5">
        <v>250</v>
      </c>
      <c r="L3830" s="16">
        <v>3.3333333333333335</v>
      </c>
      <c r="M3830" s="12"/>
      <c r="N3830" s="14">
        <f t="shared" si="171"/>
        <v>0</v>
      </c>
      <c r="O3830" s="23">
        <f>0.037*M3830</f>
        <v>0</v>
      </c>
      <c r="P3830" s="24">
        <f>0.00003*M3830</f>
        <v>0</v>
      </c>
      <c r="Q3830" s="25"/>
      <c r="R3830" s="26" t="s">
        <v>12067</v>
      </c>
      <c r="S3830" s="26" t="s">
        <v>29</v>
      </c>
      <c r="T3830" s="6" t="str">
        <f>HYPERLINK("https://kanzpp.ru/api/getInfo/image/c015b025-282f-11ec-a20f-ac1f6b442185")</f>
        <v>https://kanzpp.ru/api/getInfo/image/c015b025-282f-11ec-a20f-ac1f6b442185</v>
      </c>
      <c r="U3830" s="6"/>
      <c r="V3830" s="33" t="s">
        <v>35</v>
      </c>
    </row>
    <row r="3831" spans="2:22" ht="21" customHeight="1" outlineLevel="7" x14ac:dyDescent="0.2">
      <c r="B3831" s="71">
        <v>2869</v>
      </c>
      <c r="C3831" s="37" t="s">
        <v>12068</v>
      </c>
      <c r="D3831" s="37" t="s">
        <v>12069</v>
      </c>
      <c r="E3831" s="38" t="s">
        <v>12070</v>
      </c>
      <c r="F3831" s="39"/>
      <c r="G3831" s="40"/>
      <c r="H3831" s="41">
        <v>240</v>
      </c>
      <c r="I3831" s="41">
        <v>20</v>
      </c>
      <c r="J3831" s="50">
        <v>2785</v>
      </c>
      <c r="K3831" s="36">
        <v>240</v>
      </c>
      <c r="L3831" s="42">
        <f>(14.53*(1-O3/100))/0.75</f>
        <v>19.373333333333331</v>
      </c>
      <c r="M3831" s="12"/>
      <c r="N3831" s="40">
        <f t="shared" si="171"/>
        <v>0</v>
      </c>
      <c r="O3831" s="48">
        <f>0.04*M3831</f>
        <v>0</v>
      </c>
      <c r="P3831" s="47">
        <f>0.00007*M3831</f>
        <v>0</v>
      </c>
      <c r="Q3831" s="44"/>
      <c r="R3831" s="45" t="s">
        <v>12071</v>
      </c>
      <c r="S3831" s="45" t="s">
        <v>29</v>
      </c>
      <c r="T3831" s="37" t="str">
        <f>HYPERLINK("https://kanzpp.ru/api/getInfo/image/69e0a3d1-9c35-11ef-a267-00155d82e908")</f>
        <v>https://kanzpp.ru/api/getInfo/image/69e0a3d1-9c35-11ef-a267-00155d82e908</v>
      </c>
      <c r="U3831" s="37"/>
    </row>
    <row r="3832" spans="2:22" ht="21" customHeight="1" outlineLevel="7" x14ac:dyDescent="0.2">
      <c r="B3832" s="71">
        <v>2870</v>
      </c>
      <c r="C3832" s="37" t="s">
        <v>12072</v>
      </c>
      <c r="D3832" s="37" t="s">
        <v>12073</v>
      </c>
      <c r="E3832" s="38" t="s">
        <v>12074</v>
      </c>
      <c r="F3832" s="39"/>
      <c r="G3832" s="40"/>
      <c r="H3832" s="41">
        <v>240</v>
      </c>
      <c r="I3832" s="41">
        <v>20</v>
      </c>
      <c r="J3832" s="50">
        <v>9686</v>
      </c>
      <c r="K3832" s="36">
        <v>240</v>
      </c>
      <c r="L3832" s="42">
        <f>(14.53*(1-O3/100))/0.75</f>
        <v>19.373333333333331</v>
      </c>
      <c r="M3832" s="12"/>
      <c r="N3832" s="40">
        <f t="shared" si="171"/>
        <v>0</v>
      </c>
      <c r="O3832" s="48">
        <f>0.04*M3832</f>
        <v>0</v>
      </c>
      <c r="P3832" s="47">
        <f>0.00007*M3832</f>
        <v>0</v>
      </c>
      <c r="Q3832" s="44"/>
      <c r="R3832" s="45" t="s">
        <v>12075</v>
      </c>
      <c r="S3832" s="45" t="s">
        <v>29</v>
      </c>
      <c r="T3832" s="37" t="str">
        <f>HYPERLINK("https://kanzpp.ru/api/getInfo/image/7aac602b-d336-11ef-a26a-00155d82e908")</f>
        <v>https://kanzpp.ru/api/getInfo/image/7aac602b-d336-11ef-a26a-00155d82e908</v>
      </c>
      <c r="U3832" s="37"/>
    </row>
    <row r="3833" spans="2:22" ht="21" customHeight="1" outlineLevel="7" x14ac:dyDescent="0.2">
      <c r="B3833" s="69">
        <v>2871</v>
      </c>
      <c r="C3833" s="6" t="s">
        <v>12076</v>
      </c>
      <c r="D3833" s="6" t="s">
        <v>12077</v>
      </c>
      <c r="E3833" s="7" t="s">
        <v>12078</v>
      </c>
      <c r="F3833" s="13"/>
      <c r="G3833" s="14"/>
      <c r="H3833" s="15">
        <v>250</v>
      </c>
      <c r="I3833" s="15">
        <v>25</v>
      </c>
      <c r="J3833" s="14" t="s">
        <v>144</v>
      </c>
      <c r="K3833" s="5">
        <v>250</v>
      </c>
      <c r="L3833" s="16">
        <v>10.533333333333333</v>
      </c>
      <c r="M3833" s="12"/>
      <c r="N3833" s="14">
        <f t="shared" si="171"/>
        <v>0</v>
      </c>
      <c r="O3833" s="23">
        <f>0.034*M3833</f>
        <v>0</v>
      </c>
      <c r="P3833" s="24">
        <f>0.00017*M3833</f>
        <v>0</v>
      </c>
      <c r="Q3833" s="25"/>
      <c r="R3833" s="26" t="s">
        <v>12079</v>
      </c>
      <c r="S3833" s="26" t="s">
        <v>29</v>
      </c>
      <c r="T3833" s="6" t="str">
        <f>HYPERLINK("https://kanzpp.ru/api/getInfo/image/27d0d67d-6fb2-11ed-a22a-00155d82e902")</f>
        <v>https://kanzpp.ru/api/getInfo/image/27d0d67d-6fb2-11ed-a22a-00155d82e902</v>
      </c>
      <c r="U3833" s="6"/>
      <c r="V3833" s="33" t="s">
        <v>35</v>
      </c>
    </row>
    <row r="3834" spans="2:22" ht="21" customHeight="1" outlineLevel="7" x14ac:dyDescent="0.2">
      <c r="B3834" s="69">
        <v>2872</v>
      </c>
      <c r="C3834" s="6" t="s">
        <v>12080</v>
      </c>
      <c r="D3834" s="6" t="s">
        <v>12081</v>
      </c>
      <c r="E3834" s="7" t="s">
        <v>12082</v>
      </c>
      <c r="F3834" s="13"/>
      <c r="G3834" s="14"/>
      <c r="H3834" s="15">
        <v>240</v>
      </c>
      <c r="I3834" s="15">
        <v>20</v>
      </c>
      <c r="J3834" s="17">
        <v>16780</v>
      </c>
      <c r="K3834" s="5">
        <v>240</v>
      </c>
      <c r="L3834" s="16">
        <v>14.533333333333333</v>
      </c>
      <c r="M3834" s="12"/>
      <c r="N3834" s="14">
        <f t="shared" si="171"/>
        <v>0</v>
      </c>
      <c r="O3834" s="23">
        <f>0.039*M3834</f>
        <v>0</v>
      </c>
      <c r="P3834" s="24">
        <f>0.00003*M3834</f>
        <v>0</v>
      </c>
      <c r="Q3834" s="25"/>
      <c r="R3834" s="26" t="s">
        <v>12083</v>
      </c>
      <c r="S3834" s="26" t="s">
        <v>29</v>
      </c>
      <c r="T3834" s="6" t="str">
        <f>HYPERLINK("https://kanzpp.ru/api/getInfo/image/c6e56d37-d336-11ef-a26a-00155d82e908")</f>
        <v>https://kanzpp.ru/api/getInfo/image/c6e56d37-d336-11ef-a26a-00155d82e908</v>
      </c>
      <c r="U3834" s="6"/>
      <c r="V3834" s="33" t="s">
        <v>35</v>
      </c>
    </row>
    <row r="3835" spans="2:22" ht="21" customHeight="1" outlineLevel="7" x14ac:dyDescent="0.2">
      <c r="B3835" s="69">
        <v>2873</v>
      </c>
      <c r="C3835" s="6" t="s">
        <v>12084</v>
      </c>
      <c r="D3835" s="6" t="s">
        <v>12085</v>
      </c>
      <c r="E3835" s="7" t="s">
        <v>1148</v>
      </c>
      <c r="F3835" s="13"/>
      <c r="G3835" s="14"/>
      <c r="H3835" s="15">
        <v>250</v>
      </c>
      <c r="I3835" s="15">
        <v>25</v>
      </c>
      <c r="J3835" s="14" t="s">
        <v>144</v>
      </c>
      <c r="K3835" s="5">
        <v>250</v>
      </c>
      <c r="L3835" s="16">
        <v>10.533333333333333</v>
      </c>
      <c r="M3835" s="12"/>
      <c r="N3835" s="14">
        <f t="shared" si="171"/>
        <v>0</v>
      </c>
      <c r="O3835" s="23">
        <f>0.037*M3835</f>
        <v>0</v>
      </c>
      <c r="P3835" s="24">
        <f>0.00003*M3835</f>
        <v>0</v>
      </c>
      <c r="Q3835" s="25"/>
      <c r="R3835" s="26" t="s">
        <v>12086</v>
      </c>
      <c r="S3835" s="26" t="s">
        <v>29</v>
      </c>
      <c r="T3835" s="6" t="str">
        <f>HYPERLINK("https://kanzpp.ru/api/getInfo/image/d17603c9-df05-11e7-b2c3-5cf3fc4a2490")</f>
        <v>https://kanzpp.ru/api/getInfo/image/d17603c9-df05-11e7-b2c3-5cf3fc4a2490</v>
      </c>
      <c r="U3835" s="6"/>
      <c r="V3835" s="33" t="s">
        <v>35</v>
      </c>
    </row>
    <row r="3836" spans="2:22" ht="22.95" customHeight="1" outlineLevel="6" x14ac:dyDescent="0.2">
      <c r="B3836" s="84" t="s">
        <v>12087</v>
      </c>
      <c r="C3836" s="84"/>
      <c r="D3836" s="84"/>
      <c r="L3836">
        <v>0</v>
      </c>
    </row>
    <row r="3837" spans="2:22" ht="21" customHeight="1" outlineLevel="7" x14ac:dyDescent="0.2">
      <c r="B3837" s="69">
        <v>2874</v>
      </c>
      <c r="C3837" s="6" t="s">
        <v>12088</v>
      </c>
      <c r="D3837" s="6" t="s">
        <v>12089</v>
      </c>
      <c r="E3837" s="7" t="s">
        <v>12090</v>
      </c>
      <c r="F3837" s="13"/>
      <c r="G3837" s="14"/>
      <c r="H3837" s="15">
        <v>250</v>
      </c>
      <c r="I3837" s="15">
        <v>25</v>
      </c>
      <c r="J3837" s="17">
        <v>12646</v>
      </c>
      <c r="K3837" s="5">
        <v>250</v>
      </c>
      <c r="L3837" s="16">
        <v>10.533333333333333</v>
      </c>
      <c r="M3837" s="12"/>
      <c r="N3837" s="14">
        <f t="shared" ref="N3837:N3868" si="173">L3837*M3837</f>
        <v>0</v>
      </c>
      <c r="O3837" s="23">
        <f>0.038*M3837</f>
        <v>0</v>
      </c>
      <c r="P3837" s="24">
        <f>0.00003*M3837</f>
        <v>0</v>
      </c>
      <c r="Q3837" s="25"/>
      <c r="R3837" s="26" t="s">
        <v>12091</v>
      </c>
      <c r="S3837" s="26" t="s">
        <v>29</v>
      </c>
      <c r="T3837" s="6" t="str">
        <f>HYPERLINK("https://kanzpp.ru/api/getInfo/image/d0fba6e2-79d5-11e2-8ed0-003048670413")</f>
        <v>https://kanzpp.ru/api/getInfo/image/d0fba6e2-79d5-11e2-8ed0-003048670413</v>
      </c>
      <c r="U3837" s="6"/>
      <c r="V3837" s="33" t="s">
        <v>35</v>
      </c>
    </row>
    <row r="3838" spans="2:22" ht="21" customHeight="1" outlineLevel="7" x14ac:dyDescent="0.2">
      <c r="B3838" s="69">
        <v>2875</v>
      </c>
      <c r="C3838" s="6" t="s">
        <v>12092</v>
      </c>
      <c r="D3838" s="6" t="s">
        <v>12093</v>
      </c>
      <c r="E3838" s="7" t="s">
        <v>12094</v>
      </c>
      <c r="F3838" s="13"/>
      <c r="G3838" s="14"/>
      <c r="H3838" s="15">
        <v>250</v>
      </c>
      <c r="I3838" s="15">
        <v>25</v>
      </c>
      <c r="J3838" s="17">
        <v>14249</v>
      </c>
      <c r="K3838" s="5">
        <v>250</v>
      </c>
      <c r="L3838" s="16">
        <v>13.200000000000001</v>
      </c>
      <c r="M3838" s="12"/>
      <c r="N3838" s="14">
        <f t="shared" si="173"/>
        <v>0</v>
      </c>
      <c r="O3838" s="23">
        <f>0.037*M3838</f>
        <v>0</v>
      </c>
      <c r="P3838" s="24">
        <f>0.00011*M3838</f>
        <v>0</v>
      </c>
      <c r="Q3838" s="25"/>
      <c r="R3838" s="26" t="s">
        <v>12095</v>
      </c>
      <c r="S3838" s="26" t="s">
        <v>29</v>
      </c>
      <c r="T3838" s="6" t="str">
        <f>HYPERLINK("https://kanzpp.ru/api/getInfo/image/4f7dcc3d-fa14-11ed-a239-00155d82e902")</f>
        <v>https://kanzpp.ru/api/getInfo/image/4f7dcc3d-fa14-11ed-a239-00155d82e902</v>
      </c>
      <c r="U3838" s="6"/>
      <c r="V3838" s="33" t="s">
        <v>35</v>
      </c>
    </row>
    <row r="3839" spans="2:22" ht="21" customHeight="1" outlineLevel="7" x14ac:dyDescent="0.2">
      <c r="B3839" s="69">
        <v>2876</v>
      </c>
      <c r="C3839" s="6" t="s">
        <v>12096</v>
      </c>
      <c r="D3839" s="6" t="s">
        <v>12097</v>
      </c>
      <c r="E3839" s="7" t="s">
        <v>12098</v>
      </c>
      <c r="F3839" s="13"/>
      <c r="G3839" s="14"/>
      <c r="H3839" s="15">
        <v>250</v>
      </c>
      <c r="I3839" s="15">
        <v>25</v>
      </c>
      <c r="J3839" s="17">
        <v>6252</v>
      </c>
      <c r="K3839" s="5">
        <v>250</v>
      </c>
      <c r="L3839" s="16">
        <v>10.533333333333333</v>
      </c>
      <c r="M3839" s="12"/>
      <c r="N3839" s="14">
        <f t="shared" si="173"/>
        <v>0</v>
      </c>
      <c r="O3839" s="23">
        <f>0.037*M3839</f>
        <v>0</v>
      </c>
      <c r="P3839" s="24">
        <f>0.00007*M3839</f>
        <v>0</v>
      </c>
      <c r="Q3839" s="25"/>
      <c r="R3839" s="26" t="s">
        <v>12099</v>
      </c>
      <c r="S3839" s="26" t="s">
        <v>29</v>
      </c>
      <c r="T3839" s="6" t="str">
        <f>HYPERLINK("https://kanzpp.ru/api/getInfo/image/a4918f59-fa39-11ed-a239-00155d82e902")</f>
        <v>https://kanzpp.ru/api/getInfo/image/a4918f59-fa39-11ed-a239-00155d82e902</v>
      </c>
      <c r="U3839" s="6"/>
      <c r="V3839" s="33" t="s">
        <v>35</v>
      </c>
    </row>
    <row r="3840" spans="2:22" ht="21" customHeight="1" outlineLevel="7" x14ac:dyDescent="0.2">
      <c r="B3840" s="69">
        <v>2877</v>
      </c>
      <c r="C3840" s="6" t="s">
        <v>12100</v>
      </c>
      <c r="D3840" s="6" t="s">
        <v>12101</v>
      </c>
      <c r="E3840" s="7" t="s">
        <v>12102</v>
      </c>
      <c r="F3840" s="13"/>
      <c r="G3840" s="14"/>
      <c r="H3840" s="15">
        <v>250</v>
      </c>
      <c r="I3840" s="15">
        <v>25</v>
      </c>
      <c r="J3840" s="17">
        <v>6000</v>
      </c>
      <c r="K3840" s="5">
        <v>250</v>
      </c>
      <c r="L3840" s="16">
        <v>10.533333333333333</v>
      </c>
      <c r="M3840" s="12"/>
      <c r="N3840" s="14">
        <f t="shared" si="173"/>
        <v>0</v>
      </c>
      <c r="O3840" s="23">
        <f>0.033*M3840</f>
        <v>0</v>
      </c>
      <c r="P3840" s="24">
        <f>0.00011*M3840</f>
        <v>0</v>
      </c>
      <c r="Q3840" s="25"/>
      <c r="R3840" s="26" t="s">
        <v>12103</v>
      </c>
      <c r="S3840" s="26" t="s">
        <v>29</v>
      </c>
      <c r="T3840" s="6" t="str">
        <f>HYPERLINK("https://kanzpp.ru/api/getInfo/image/b54998c5-fa3a-11ed-a239-00155d82e902")</f>
        <v>https://kanzpp.ru/api/getInfo/image/b54998c5-fa3a-11ed-a239-00155d82e902</v>
      </c>
      <c r="U3840" s="6"/>
      <c r="V3840" s="33" t="s">
        <v>35</v>
      </c>
    </row>
    <row r="3841" spans="2:22" ht="21" customHeight="1" outlineLevel="7" x14ac:dyDescent="0.2">
      <c r="B3841" s="69">
        <v>2878</v>
      </c>
      <c r="C3841" s="6" t="s">
        <v>12104</v>
      </c>
      <c r="D3841" s="6" t="s">
        <v>12105</v>
      </c>
      <c r="E3841" s="7" t="s">
        <v>12106</v>
      </c>
      <c r="F3841" s="13"/>
      <c r="G3841" s="14"/>
      <c r="H3841" s="15">
        <v>250</v>
      </c>
      <c r="I3841" s="15">
        <v>25</v>
      </c>
      <c r="J3841" s="17">
        <v>3250</v>
      </c>
      <c r="K3841" s="5">
        <v>250</v>
      </c>
      <c r="L3841" s="16">
        <v>10.533333333333333</v>
      </c>
      <c r="M3841" s="12"/>
      <c r="N3841" s="14">
        <f t="shared" si="173"/>
        <v>0</v>
      </c>
      <c r="O3841" s="23">
        <f>0.037*M3841</f>
        <v>0</v>
      </c>
      <c r="P3841" s="24">
        <f>0.00014*M3841</f>
        <v>0</v>
      </c>
      <c r="Q3841" s="25"/>
      <c r="R3841" s="26" t="s">
        <v>12107</v>
      </c>
      <c r="S3841" s="26" t="s">
        <v>29</v>
      </c>
      <c r="T3841" s="6" t="str">
        <f>HYPERLINK("https://kanzpp.ru/api/getInfo/image/0d3d2f8c-fa3a-11ed-a239-00155d82e902")</f>
        <v>https://kanzpp.ru/api/getInfo/image/0d3d2f8c-fa3a-11ed-a239-00155d82e902</v>
      </c>
      <c r="U3841" s="6"/>
      <c r="V3841" s="33" t="s">
        <v>35</v>
      </c>
    </row>
    <row r="3842" spans="2:22" ht="21" customHeight="1" outlineLevel="7" x14ac:dyDescent="0.2">
      <c r="B3842" s="69">
        <v>2879</v>
      </c>
      <c r="C3842" s="6" t="s">
        <v>12108</v>
      </c>
      <c r="D3842" s="6" t="s">
        <v>12109</v>
      </c>
      <c r="E3842" s="7" t="s">
        <v>12110</v>
      </c>
      <c r="F3842" s="13"/>
      <c r="G3842" s="14"/>
      <c r="H3842" s="15">
        <v>250</v>
      </c>
      <c r="I3842" s="15">
        <v>25</v>
      </c>
      <c r="J3842" s="14" t="s">
        <v>144</v>
      </c>
      <c r="K3842" s="5">
        <v>250</v>
      </c>
      <c r="L3842" s="16">
        <v>6.5333333333333341</v>
      </c>
      <c r="M3842" s="12"/>
      <c r="N3842" s="14">
        <f t="shared" si="173"/>
        <v>0</v>
      </c>
      <c r="O3842" s="23">
        <f>0.038*M3842</f>
        <v>0</v>
      </c>
      <c r="P3842" s="24">
        <f>0.00007*M3842</f>
        <v>0</v>
      </c>
      <c r="Q3842" s="25"/>
      <c r="R3842" s="26" t="s">
        <v>12111</v>
      </c>
      <c r="S3842" s="26" t="s">
        <v>29</v>
      </c>
      <c r="T3842" s="6"/>
      <c r="U3842" s="6"/>
      <c r="V3842" s="33" t="s">
        <v>35</v>
      </c>
    </row>
    <row r="3843" spans="2:22" ht="21" customHeight="1" outlineLevel="7" x14ac:dyDescent="0.2">
      <c r="B3843" s="69">
        <v>2880</v>
      </c>
      <c r="C3843" s="6" t="s">
        <v>12112</v>
      </c>
      <c r="D3843" s="6" t="s">
        <v>12113</v>
      </c>
      <c r="E3843" s="7" t="s">
        <v>12114</v>
      </c>
      <c r="F3843" s="13"/>
      <c r="G3843" s="14"/>
      <c r="H3843" s="15">
        <v>250</v>
      </c>
      <c r="I3843" s="15">
        <v>25</v>
      </c>
      <c r="J3843" s="17">
        <v>13873</v>
      </c>
      <c r="K3843" s="5">
        <v>250</v>
      </c>
      <c r="L3843" s="16">
        <v>10.533333333333333</v>
      </c>
      <c r="M3843" s="12"/>
      <c r="N3843" s="14">
        <f t="shared" si="173"/>
        <v>0</v>
      </c>
      <c r="O3843" s="23">
        <f>8.888*M3843</f>
        <v>0</v>
      </c>
      <c r="P3843" s="24">
        <f>0.01602*M3843</f>
        <v>0</v>
      </c>
      <c r="Q3843" s="25"/>
      <c r="R3843" s="26" t="s">
        <v>12115</v>
      </c>
      <c r="S3843" s="26" t="s">
        <v>29</v>
      </c>
      <c r="T3843" s="6" t="str">
        <f>HYPERLINK("https://kanzpp.ru/api/getInfo/image/076d4ea6-03a5-11e5-aad1-5cf3fc4a2490")</f>
        <v>https://kanzpp.ru/api/getInfo/image/076d4ea6-03a5-11e5-aad1-5cf3fc4a2490</v>
      </c>
      <c r="U3843" s="6"/>
      <c r="V3843" s="33" t="s">
        <v>35</v>
      </c>
    </row>
    <row r="3844" spans="2:22" ht="21" customHeight="1" outlineLevel="7" x14ac:dyDescent="0.2">
      <c r="B3844" s="69">
        <v>2881</v>
      </c>
      <c r="C3844" s="6" t="s">
        <v>12116</v>
      </c>
      <c r="D3844" s="6" t="s">
        <v>12117</v>
      </c>
      <c r="E3844" s="7" t="s">
        <v>12118</v>
      </c>
      <c r="F3844" s="13"/>
      <c r="G3844" s="14"/>
      <c r="H3844" s="15">
        <v>250</v>
      </c>
      <c r="I3844" s="15">
        <v>25</v>
      </c>
      <c r="J3844" s="17">
        <v>7085</v>
      </c>
      <c r="K3844" s="5">
        <v>250</v>
      </c>
      <c r="L3844" s="16">
        <v>10.533333333333333</v>
      </c>
      <c r="M3844" s="12"/>
      <c r="N3844" s="14">
        <f t="shared" si="173"/>
        <v>0</v>
      </c>
      <c r="O3844" s="23">
        <f>0.037*M3844</f>
        <v>0</v>
      </c>
      <c r="P3844" s="24">
        <f>0.00003*M3844</f>
        <v>0</v>
      </c>
      <c r="Q3844" s="25"/>
      <c r="R3844" s="26" t="s">
        <v>12119</v>
      </c>
      <c r="S3844" s="26" t="s">
        <v>29</v>
      </c>
      <c r="T3844" s="6" t="str">
        <f>HYPERLINK("https://kanzpp.ru/api/getInfo/image/fadfc6cd-0f0b-11ed-a215-ac1f6b442185")</f>
        <v>https://kanzpp.ru/api/getInfo/image/fadfc6cd-0f0b-11ed-a215-ac1f6b442185</v>
      </c>
      <c r="U3844" s="6"/>
      <c r="V3844" s="33" t="s">
        <v>35</v>
      </c>
    </row>
    <row r="3845" spans="2:22" ht="21" customHeight="1" outlineLevel="7" x14ac:dyDescent="0.2">
      <c r="B3845" s="69">
        <v>2882</v>
      </c>
      <c r="C3845" s="6" t="s">
        <v>12120</v>
      </c>
      <c r="D3845" s="6" t="s">
        <v>12121</v>
      </c>
      <c r="E3845" s="7" t="s">
        <v>12122</v>
      </c>
      <c r="F3845" s="13"/>
      <c r="G3845" s="14"/>
      <c r="H3845" s="15">
        <v>240</v>
      </c>
      <c r="I3845" s="15">
        <v>20</v>
      </c>
      <c r="J3845" s="14" t="s">
        <v>144</v>
      </c>
      <c r="K3845" s="5">
        <v>240</v>
      </c>
      <c r="L3845" s="16">
        <v>13.200000000000001</v>
      </c>
      <c r="M3845" s="12"/>
      <c r="N3845" s="14">
        <f t="shared" si="173"/>
        <v>0</v>
      </c>
      <c r="O3845" s="23">
        <f>0.038*M3845</f>
        <v>0</v>
      </c>
      <c r="P3845" s="24">
        <f>0.00007*M3845</f>
        <v>0</v>
      </c>
      <c r="Q3845" s="25"/>
      <c r="R3845" s="26" t="s">
        <v>12123</v>
      </c>
      <c r="S3845" s="26" t="s">
        <v>29</v>
      </c>
      <c r="T3845" s="6" t="str">
        <f>HYPERLINK("https://kanzpp.ru/api/getInfo/image/fa238352-fa14-11ed-a239-00155d82e902")</f>
        <v>https://kanzpp.ru/api/getInfo/image/fa238352-fa14-11ed-a239-00155d82e902</v>
      </c>
      <c r="U3845" s="6"/>
      <c r="V3845" s="33" t="s">
        <v>35</v>
      </c>
    </row>
    <row r="3846" spans="2:22" ht="21" customHeight="1" outlineLevel="7" x14ac:dyDescent="0.2">
      <c r="B3846" s="69">
        <v>2883</v>
      </c>
      <c r="C3846" s="6" t="s">
        <v>12124</v>
      </c>
      <c r="D3846" s="6" t="s">
        <v>12125</v>
      </c>
      <c r="E3846" s="7" t="s">
        <v>12126</v>
      </c>
      <c r="F3846" s="13"/>
      <c r="G3846" s="14"/>
      <c r="H3846" s="15">
        <v>240</v>
      </c>
      <c r="I3846" s="15">
        <v>20</v>
      </c>
      <c r="J3846" s="17">
        <v>19770</v>
      </c>
      <c r="K3846" s="5">
        <v>240</v>
      </c>
      <c r="L3846" s="16">
        <v>10.533333333333333</v>
      </c>
      <c r="M3846" s="12"/>
      <c r="N3846" s="14">
        <f t="shared" si="173"/>
        <v>0</v>
      </c>
      <c r="O3846" s="23">
        <f>0.038*M3846</f>
        <v>0</v>
      </c>
      <c r="P3846" s="24">
        <f>0.00007*M3846</f>
        <v>0</v>
      </c>
      <c r="Q3846" s="25"/>
      <c r="R3846" s="26" t="s">
        <v>12127</v>
      </c>
      <c r="S3846" s="26" t="s">
        <v>29</v>
      </c>
      <c r="T3846" s="6" t="str">
        <f>HYPERLINK("https://kanzpp.ru/api/getInfo/image/be420ea1-fabe-11ed-a239-00155d82e902")</f>
        <v>https://kanzpp.ru/api/getInfo/image/be420ea1-fabe-11ed-a239-00155d82e902</v>
      </c>
      <c r="U3846" s="6"/>
      <c r="V3846" s="33" t="s">
        <v>35</v>
      </c>
    </row>
    <row r="3847" spans="2:22" ht="21" customHeight="1" outlineLevel="7" x14ac:dyDescent="0.2">
      <c r="B3847" s="69">
        <v>2884</v>
      </c>
      <c r="C3847" s="6" t="s">
        <v>12128</v>
      </c>
      <c r="D3847" s="6" t="s">
        <v>12129</v>
      </c>
      <c r="E3847" s="7" t="s">
        <v>12130</v>
      </c>
      <c r="F3847" s="13"/>
      <c r="G3847" s="14"/>
      <c r="H3847" s="15">
        <v>250</v>
      </c>
      <c r="I3847" s="15">
        <v>25</v>
      </c>
      <c r="J3847" s="14" t="s">
        <v>144</v>
      </c>
      <c r="K3847" s="5">
        <v>250</v>
      </c>
      <c r="L3847" s="16">
        <v>10.533333333333333</v>
      </c>
      <c r="M3847" s="12"/>
      <c r="N3847" s="14">
        <f t="shared" si="173"/>
        <v>0</v>
      </c>
      <c r="O3847" s="23">
        <f>0.037*M3847</f>
        <v>0</v>
      </c>
      <c r="P3847" s="31">
        <f>0.0001*M3847</f>
        <v>0</v>
      </c>
      <c r="Q3847" s="25"/>
      <c r="R3847" s="26" t="s">
        <v>12131</v>
      </c>
      <c r="S3847" s="26" t="s">
        <v>29</v>
      </c>
      <c r="T3847" s="6" t="str">
        <f>HYPERLINK("https://kanzpp.ru/api/getInfo/image/5fed62c0-fabd-11ed-a239-00155d82e902")</f>
        <v>https://kanzpp.ru/api/getInfo/image/5fed62c0-fabd-11ed-a239-00155d82e902</v>
      </c>
      <c r="U3847" s="6"/>
      <c r="V3847" s="33" t="s">
        <v>35</v>
      </c>
    </row>
    <row r="3848" spans="2:22" ht="21" customHeight="1" outlineLevel="7" x14ac:dyDescent="0.2">
      <c r="B3848" s="69">
        <v>2885</v>
      </c>
      <c r="C3848" s="6" t="s">
        <v>12132</v>
      </c>
      <c r="D3848" s="6" t="s">
        <v>12133</v>
      </c>
      <c r="E3848" s="7" t="s">
        <v>12134</v>
      </c>
      <c r="F3848" s="13"/>
      <c r="G3848" s="14"/>
      <c r="H3848" s="15">
        <v>250</v>
      </c>
      <c r="I3848" s="15">
        <v>25</v>
      </c>
      <c r="J3848" s="14" t="s">
        <v>144</v>
      </c>
      <c r="K3848" s="5">
        <v>250</v>
      </c>
      <c r="L3848" s="16">
        <v>14.533333333333333</v>
      </c>
      <c r="M3848" s="12"/>
      <c r="N3848" s="14">
        <f t="shared" si="173"/>
        <v>0</v>
      </c>
      <c r="O3848" s="23">
        <f>0.037*M3848</f>
        <v>0</v>
      </c>
      <c r="P3848" s="24">
        <f>0.00003*M3848</f>
        <v>0</v>
      </c>
      <c r="Q3848" s="25"/>
      <c r="R3848" s="26" t="s">
        <v>12135</v>
      </c>
      <c r="S3848" s="26" t="s">
        <v>29</v>
      </c>
      <c r="T3848" s="6" t="str">
        <f>HYPERLINK("https://kanzpp.ru/api/getInfo/image/3b50a9c7-fabf-11ed-a239-00155d82e902")</f>
        <v>https://kanzpp.ru/api/getInfo/image/3b50a9c7-fabf-11ed-a239-00155d82e902</v>
      </c>
      <c r="U3848" s="6"/>
      <c r="V3848" s="33" t="s">
        <v>35</v>
      </c>
    </row>
    <row r="3849" spans="2:22" ht="21" customHeight="1" outlineLevel="7" x14ac:dyDescent="0.2">
      <c r="B3849" s="69">
        <v>2886</v>
      </c>
      <c r="C3849" s="6" t="s">
        <v>12136</v>
      </c>
      <c r="D3849" s="6" t="s">
        <v>12137</v>
      </c>
      <c r="E3849" s="7" t="s">
        <v>12138</v>
      </c>
      <c r="F3849" s="13"/>
      <c r="G3849" s="14"/>
      <c r="H3849" s="15">
        <v>250</v>
      </c>
      <c r="I3849" s="15">
        <v>25</v>
      </c>
      <c r="J3849" s="14" t="s">
        <v>144</v>
      </c>
      <c r="K3849" s="5">
        <v>250</v>
      </c>
      <c r="L3849" s="16">
        <v>13.200000000000001</v>
      </c>
      <c r="M3849" s="12"/>
      <c r="N3849" s="14">
        <f t="shared" si="173"/>
        <v>0</v>
      </c>
      <c r="O3849" s="23">
        <f>0.038*M3849</f>
        <v>0</v>
      </c>
      <c r="P3849" s="24">
        <f>0.00007*M3849</f>
        <v>0</v>
      </c>
      <c r="Q3849" s="25"/>
      <c r="R3849" s="26" t="s">
        <v>12139</v>
      </c>
      <c r="S3849" s="26" t="s">
        <v>29</v>
      </c>
      <c r="T3849" s="6" t="str">
        <f>HYPERLINK("https://kanzpp.ru/api/getInfo/image/b5dbc893-fabf-11ed-a239-00155d82e902")</f>
        <v>https://kanzpp.ru/api/getInfo/image/b5dbc893-fabf-11ed-a239-00155d82e902</v>
      </c>
      <c r="U3849" s="6"/>
      <c r="V3849" s="33" t="s">
        <v>35</v>
      </c>
    </row>
    <row r="3850" spans="2:22" ht="21" customHeight="1" outlineLevel="7" x14ac:dyDescent="0.2">
      <c r="B3850" s="69">
        <v>2887</v>
      </c>
      <c r="C3850" s="6" t="s">
        <v>12140</v>
      </c>
      <c r="D3850" s="6" t="s">
        <v>12141</v>
      </c>
      <c r="E3850" s="7" t="s">
        <v>12142</v>
      </c>
      <c r="F3850" s="13"/>
      <c r="G3850" s="14"/>
      <c r="H3850" s="15">
        <v>250</v>
      </c>
      <c r="I3850" s="15">
        <v>25</v>
      </c>
      <c r="J3850" s="14" t="s">
        <v>144</v>
      </c>
      <c r="K3850" s="5">
        <v>250</v>
      </c>
      <c r="L3850" s="16">
        <v>10.533333333333333</v>
      </c>
      <c r="M3850" s="12"/>
      <c r="N3850" s="14">
        <f t="shared" si="173"/>
        <v>0</v>
      </c>
      <c r="O3850" s="23">
        <f>0.037*M3850</f>
        <v>0</v>
      </c>
      <c r="P3850" s="31">
        <f>0.0001*M3850</f>
        <v>0</v>
      </c>
      <c r="Q3850" s="25"/>
      <c r="R3850" s="26" t="s">
        <v>12143</v>
      </c>
      <c r="S3850" s="26" t="s">
        <v>29</v>
      </c>
      <c r="T3850" s="6" t="str">
        <f>HYPERLINK("https://kanzpp.ru/api/getInfo/image/342421e1-fabe-11ed-a239-00155d82e902")</f>
        <v>https://kanzpp.ru/api/getInfo/image/342421e1-fabe-11ed-a239-00155d82e902</v>
      </c>
      <c r="U3850" s="6"/>
      <c r="V3850" s="33" t="s">
        <v>35</v>
      </c>
    </row>
    <row r="3851" spans="2:22" ht="21" customHeight="1" outlineLevel="7" x14ac:dyDescent="0.2">
      <c r="B3851" s="69">
        <v>2888</v>
      </c>
      <c r="C3851" s="6" t="s">
        <v>12144</v>
      </c>
      <c r="D3851" s="6" t="s">
        <v>12145</v>
      </c>
      <c r="E3851" s="7" t="s">
        <v>12146</v>
      </c>
      <c r="F3851" s="13"/>
      <c r="G3851" s="14"/>
      <c r="H3851" s="15">
        <v>250</v>
      </c>
      <c r="I3851" s="15">
        <v>25</v>
      </c>
      <c r="J3851" s="17">
        <v>8601</v>
      </c>
      <c r="K3851" s="5">
        <v>250</v>
      </c>
      <c r="L3851" s="16">
        <v>10.533333333333333</v>
      </c>
      <c r="M3851" s="12"/>
      <c r="N3851" s="14">
        <f t="shared" si="173"/>
        <v>0</v>
      </c>
      <c r="O3851" s="23">
        <f>0.032*M3851</f>
        <v>0</v>
      </c>
      <c r="P3851" s="24">
        <f>0.00003*M3851</f>
        <v>0</v>
      </c>
      <c r="Q3851" s="25"/>
      <c r="R3851" s="26" t="s">
        <v>12147</v>
      </c>
      <c r="S3851" s="26" t="s">
        <v>29</v>
      </c>
      <c r="T3851" s="6" t="str">
        <f>HYPERLINK("https://kanzpp.ru/api/getInfo/image/1a0c54f8-e6bc-11e5-98ff-5cf3fc4a2490")</f>
        <v>https://kanzpp.ru/api/getInfo/image/1a0c54f8-e6bc-11e5-98ff-5cf3fc4a2490</v>
      </c>
      <c r="U3851" s="6"/>
      <c r="V3851" s="33" t="s">
        <v>35</v>
      </c>
    </row>
    <row r="3852" spans="2:22" ht="21" customHeight="1" outlineLevel="7" x14ac:dyDescent="0.2">
      <c r="B3852" s="69">
        <v>2889</v>
      </c>
      <c r="C3852" s="6" t="s">
        <v>12148</v>
      </c>
      <c r="D3852" s="6" t="s">
        <v>12149</v>
      </c>
      <c r="E3852" s="7" t="s">
        <v>12150</v>
      </c>
      <c r="F3852" s="13"/>
      <c r="G3852" s="14"/>
      <c r="H3852" s="15">
        <v>250</v>
      </c>
      <c r="I3852" s="15">
        <v>25</v>
      </c>
      <c r="J3852" s="17">
        <v>7020</v>
      </c>
      <c r="K3852" s="5">
        <v>250</v>
      </c>
      <c r="L3852" s="16">
        <v>6.5333333333333341</v>
      </c>
      <c r="M3852" s="12"/>
      <c r="N3852" s="14">
        <f t="shared" si="173"/>
        <v>0</v>
      </c>
      <c r="O3852" s="23">
        <f>0.037*M3852</f>
        <v>0</v>
      </c>
      <c r="P3852" s="24">
        <f>0.00003*M3852</f>
        <v>0</v>
      </c>
      <c r="Q3852" s="25"/>
      <c r="R3852" s="26" t="s">
        <v>12151</v>
      </c>
      <c r="S3852" s="26" t="s">
        <v>29</v>
      </c>
      <c r="T3852" s="6" t="str">
        <f>HYPERLINK("https://kanzpp.ru/api/getInfo/image/e34ba6fb-2a88-11ec-a20f-ac1f6b442185")</f>
        <v>https://kanzpp.ru/api/getInfo/image/e34ba6fb-2a88-11ec-a20f-ac1f6b442185</v>
      </c>
      <c r="U3852" s="6"/>
      <c r="V3852" s="33" t="s">
        <v>35</v>
      </c>
    </row>
    <row r="3853" spans="2:22" ht="21" customHeight="1" outlineLevel="7" x14ac:dyDescent="0.2">
      <c r="B3853" s="69">
        <v>2890</v>
      </c>
      <c r="C3853" s="6" t="s">
        <v>12152</v>
      </c>
      <c r="D3853" s="6" t="s">
        <v>12153</v>
      </c>
      <c r="E3853" s="7" t="s">
        <v>12154</v>
      </c>
      <c r="F3853" s="13"/>
      <c r="G3853" s="14"/>
      <c r="H3853" s="15">
        <v>250</v>
      </c>
      <c r="I3853" s="15">
        <v>25</v>
      </c>
      <c r="J3853" s="17">
        <v>10475</v>
      </c>
      <c r="K3853" s="5">
        <v>250</v>
      </c>
      <c r="L3853" s="16">
        <v>6.5333333333333341</v>
      </c>
      <c r="M3853" s="12"/>
      <c r="N3853" s="14">
        <f t="shared" si="173"/>
        <v>0</v>
      </c>
      <c r="O3853" s="28">
        <f>0.05*M3853</f>
        <v>0</v>
      </c>
      <c r="P3853" s="31">
        <f>0.0001*M3853</f>
        <v>0</v>
      </c>
      <c r="Q3853" s="25"/>
      <c r="R3853" s="26" t="s">
        <v>12155</v>
      </c>
      <c r="S3853" s="26" t="s">
        <v>29</v>
      </c>
      <c r="T3853" s="6" t="str">
        <f>HYPERLINK("https://kanzpp.ru/api/getInfo/image/8416714d-9ffa-11ee-a257-00155d82e908")</f>
        <v>https://kanzpp.ru/api/getInfo/image/8416714d-9ffa-11ee-a257-00155d82e908</v>
      </c>
      <c r="U3853" s="6"/>
      <c r="V3853" s="33" t="s">
        <v>35</v>
      </c>
    </row>
    <row r="3854" spans="2:22" ht="21" customHeight="1" outlineLevel="7" x14ac:dyDescent="0.2">
      <c r="B3854" s="69">
        <v>2891</v>
      </c>
      <c r="C3854" s="6" t="s">
        <v>12156</v>
      </c>
      <c r="D3854" s="6" t="s">
        <v>12157</v>
      </c>
      <c r="E3854" s="7" t="s">
        <v>12158</v>
      </c>
      <c r="F3854" s="13"/>
      <c r="G3854" s="14"/>
      <c r="H3854" s="15">
        <v>250</v>
      </c>
      <c r="I3854" s="15">
        <v>25</v>
      </c>
      <c r="J3854" s="17">
        <v>16225</v>
      </c>
      <c r="K3854" s="5">
        <v>250</v>
      </c>
      <c r="L3854" s="16">
        <v>10.533333333333333</v>
      </c>
      <c r="M3854" s="12"/>
      <c r="N3854" s="14">
        <f t="shared" si="173"/>
        <v>0</v>
      </c>
      <c r="O3854" s="23">
        <f>0.037*M3854</f>
        <v>0</v>
      </c>
      <c r="P3854" s="24">
        <f>0.00003*M3854</f>
        <v>0</v>
      </c>
      <c r="Q3854" s="25"/>
      <c r="R3854" s="26" t="s">
        <v>12159</v>
      </c>
      <c r="S3854" s="26" t="s">
        <v>29</v>
      </c>
      <c r="T3854" s="6" t="str">
        <f>HYPERLINK("https://kanzpp.ru/api/getInfo/image/2f7bb129-defe-11e7-b2c3-5cf3fc4a2490")</f>
        <v>https://kanzpp.ru/api/getInfo/image/2f7bb129-defe-11e7-b2c3-5cf3fc4a2490</v>
      </c>
      <c r="U3854" s="6"/>
      <c r="V3854" s="33" t="s">
        <v>35</v>
      </c>
    </row>
    <row r="3855" spans="2:22" ht="21" customHeight="1" outlineLevel="7" x14ac:dyDescent="0.2">
      <c r="B3855" s="69">
        <v>2892</v>
      </c>
      <c r="C3855" s="6" t="s">
        <v>12160</v>
      </c>
      <c r="D3855" s="6" t="s">
        <v>12161</v>
      </c>
      <c r="E3855" s="7" t="s">
        <v>12162</v>
      </c>
      <c r="F3855" s="13"/>
      <c r="G3855" s="14"/>
      <c r="H3855" s="15">
        <v>250</v>
      </c>
      <c r="I3855" s="15">
        <v>25</v>
      </c>
      <c r="J3855" s="14" t="s">
        <v>144</v>
      </c>
      <c r="K3855" s="5">
        <v>250</v>
      </c>
      <c r="L3855" s="16">
        <v>10.533333333333333</v>
      </c>
      <c r="M3855" s="12"/>
      <c r="N3855" s="14">
        <f t="shared" si="173"/>
        <v>0</v>
      </c>
      <c r="O3855" s="28">
        <f>0.05*M3855</f>
        <v>0</v>
      </c>
      <c r="P3855" s="31">
        <f>0.0001*M3855</f>
        <v>0</v>
      </c>
      <c r="Q3855" s="25"/>
      <c r="R3855" s="26" t="s">
        <v>12163</v>
      </c>
      <c r="S3855" s="26" t="s">
        <v>29</v>
      </c>
      <c r="T3855" s="6"/>
      <c r="U3855" s="6"/>
      <c r="V3855" s="33" t="s">
        <v>35</v>
      </c>
    </row>
    <row r="3856" spans="2:22" ht="21" customHeight="1" outlineLevel="7" x14ac:dyDescent="0.2">
      <c r="B3856" s="71">
        <v>2893</v>
      </c>
      <c r="C3856" s="37" t="s">
        <v>12164</v>
      </c>
      <c r="D3856" s="37" t="s">
        <v>12165</v>
      </c>
      <c r="E3856" s="38" t="s">
        <v>12166</v>
      </c>
      <c r="F3856" s="39"/>
      <c r="G3856" s="40"/>
      <c r="H3856" s="41">
        <v>250</v>
      </c>
      <c r="I3856" s="41">
        <v>25</v>
      </c>
      <c r="J3856" s="50">
        <v>8450</v>
      </c>
      <c r="K3856" s="36">
        <v>250</v>
      </c>
      <c r="L3856" s="42">
        <f>(14.53*(1-O3/100))/0.75</f>
        <v>19.373333333333331</v>
      </c>
      <c r="M3856" s="12"/>
      <c r="N3856" s="40">
        <f t="shared" si="173"/>
        <v>0</v>
      </c>
      <c r="O3856" s="43">
        <f>0.037*M3856</f>
        <v>0</v>
      </c>
      <c r="P3856" s="47">
        <f>0.00003*M3856</f>
        <v>0</v>
      </c>
      <c r="Q3856" s="44"/>
      <c r="R3856" s="45" t="s">
        <v>12167</v>
      </c>
      <c r="S3856" s="45" t="s">
        <v>29</v>
      </c>
      <c r="T3856" s="37" t="str">
        <f>HYPERLINK("https://kanzpp.ru/api/getInfo/image/b1c12db4-c686-11e1-81d3-5ef3fc502493")</f>
        <v>https://kanzpp.ru/api/getInfo/image/b1c12db4-c686-11e1-81d3-5ef3fc502493</v>
      </c>
      <c r="U3856" s="37"/>
    </row>
    <row r="3857" spans="2:22" ht="21" customHeight="1" outlineLevel="7" x14ac:dyDescent="0.2">
      <c r="B3857" s="69">
        <v>2894</v>
      </c>
      <c r="C3857" s="6" t="s">
        <v>12168</v>
      </c>
      <c r="D3857" s="6" t="s">
        <v>12169</v>
      </c>
      <c r="E3857" s="7" t="s">
        <v>12170</v>
      </c>
      <c r="F3857" s="13"/>
      <c r="G3857" s="14"/>
      <c r="H3857" s="15">
        <v>250</v>
      </c>
      <c r="I3857" s="15">
        <v>25</v>
      </c>
      <c r="J3857" s="17">
        <v>6361</v>
      </c>
      <c r="K3857" s="5">
        <v>250</v>
      </c>
      <c r="L3857" s="16">
        <v>10.533333333333333</v>
      </c>
      <c r="M3857" s="12"/>
      <c r="N3857" s="14">
        <f t="shared" si="173"/>
        <v>0</v>
      </c>
      <c r="O3857" s="23">
        <f>0.039*M3857</f>
        <v>0</v>
      </c>
      <c r="P3857" s="24">
        <f>0.00003*M3857</f>
        <v>0</v>
      </c>
      <c r="Q3857" s="25"/>
      <c r="R3857" s="26" t="s">
        <v>12171</v>
      </c>
      <c r="S3857" s="26" t="s">
        <v>29</v>
      </c>
      <c r="T3857" s="6" t="str">
        <f>HYPERLINK("https://kanzpp.ru/api/getInfo/image/a2fbeb7b-ad6c-11e5-9e79-5cf3fc4a2490")</f>
        <v>https://kanzpp.ru/api/getInfo/image/a2fbeb7b-ad6c-11e5-9e79-5cf3fc4a2490</v>
      </c>
      <c r="U3857" s="6"/>
      <c r="V3857" s="33" t="s">
        <v>35</v>
      </c>
    </row>
    <row r="3858" spans="2:22" ht="21" customHeight="1" outlineLevel="7" x14ac:dyDescent="0.2">
      <c r="B3858" s="69">
        <v>2895</v>
      </c>
      <c r="C3858" s="6" t="s">
        <v>12172</v>
      </c>
      <c r="D3858" s="6" t="s">
        <v>12173</v>
      </c>
      <c r="E3858" s="7" t="s">
        <v>12174</v>
      </c>
      <c r="F3858" s="13"/>
      <c r="G3858" s="14"/>
      <c r="H3858" s="15">
        <v>250</v>
      </c>
      <c r="I3858" s="15">
        <v>25</v>
      </c>
      <c r="J3858" s="14" t="s">
        <v>144</v>
      </c>
      <c r="K3858" s="5">
        <v>250</v>
      </c>
      <c r="L3858" s="16">
        <v>10.533333333333333</v>
      </c>
      <c r="M3858" s="12"/>
      <c r="N3858" s="14">
        <f t="shared" si="173"/>
        <v>0</v>
      </c>
      <c r="O3858" s="23">
        <f>0.039*M3858</f>
        <v>0</v>
      </c>
      <c r="P3858" s="24">
        <f>0.00003*M3858</f>
        <v>0</v>
      </c>
      <c r="Q3858" s="25"/>
      <c r="R3858" s="26" t="s">
        <v>12175</v>
      </c>
      <c r="S3858" s="26" t="s">
        <v>29</v>
      </c>
      <c r="T3858" s="6" t="str">
        <f>HYPERLINK("https://kanzpp.ru/api/getInfo/image/fa75f031-7855-11e8-82ec-5cf3fc4a2490")</f>
        <v>https://kanzpp.ru/api/getInfo/image/fa75f031-7855-11e8-82ec-5cf3fc4a2490</v>
      </c>
      <c r="U3858" s="6" t="s">
        <v>12175</v>
      </c>
      <c r="V3858" s="33" t="s">
        <v>35</v>
      </c>
    </row>
    <row r="3859" spans="2:22" ht="21" customHeight="1" outlineLevel="7" x14ac:dyDescent="0.2">
      <c r="B3859" s="69">
        <v>2896</v>
      </c>
      <c r="C3859" s="6" t="s">
        <v>12176</v>
      </c>
      <c r="D3859" s="6" t="s">
        <v>12177</v>
      </c>
      <c r="E3859" s="7" t="s">
        <v>12178</v>
      </c>
      <c r="F3859" s="13"/>
      <c r="G3859" s="14"/>
      <c r="H3859" s="15">
        <v>250</v>
      </c>
      <c r="I3859" s="15">
        <v>25</v>
      </c>
      <c r="J3859" s="14" t="s">
        <v>144</v>
      </c>
      <c r="K3859" s="5">
        <v>250</v>
      </c>
      <c r="L3859" s="16">
        <v>10.533333333333333</v>
      </c>
      <c r="M3859" s="12"/>
      <c r="N3859" s="14">
        <f t="shared" si="173"/>
        <v>0</v>
      </c>
      <c r="O3859" s="23">
        <f>0.039*M3859</f>
        <v>0</v>
      </c>
      <c r="P3859" s="24">
        <f>0.00003*M3859</f>
        <v>0</v>
      </c>
      <c r="Q3859" s="25"/>
      <c r="R3859" s="26" t="s">
        <v>12179</v>
      </c>
      <c r="S3859" s="26" t="s">
        <v>29</v>
      </c>
      <c r="T3859" s="6" t="str">
        <f>HYPERLINK("https://kanzpp.ru/api/getInfo/image/80306661-ad6c-11e5-9e79-5cf3fc4a2490")</f>
        <v>https://kanzpp.ru/api/getInfo/image/80306661-ad6c-11e5-9e79-5cf3fc4a2490</v>
      </c>
      <c r="U3859" s="6"/>
      <c r="V3859" s="33" t="s">
        <v>35</v>
      </c>
    </row>
    <row r="3860" spans="2:22" ht="21" customHeight="1" outlineLevel="7" x14ac:dyDescent="0.2">
      <c r="B3860" s="69">
        <v>2897</v>
      </c>
      <c r="C3860" s="6" t="s">
        <v>12180</v>
      </c>
      <c r="D3860" s="6" t="s">
        <v>12181</v>
      </c>
      <c r="E3860" s="7" t="s">
        <v>12182</v>
      </c>
      <c r="F3860" s="13"/>
      <c r="G3860" s="14"/>
      <c r="H3860" s="15">
        <v>250</v>
      </c>
      <c r="I3860" s="15">
        <v>25</v>
      </c>
      <c r="J3860" s="17">
        <v>10250</v>
      </c>
      <c r="K3860" s="5">
        <v>250</v>
      </c>
      <c r="L3860" s="16">
        <v>10.533333333333333</v>
      </c>
      <c r="M3860" s="12"/>
      <c r="N3860" s="14">
        <f t="shared" si="173"/>
        <v>0</v>
      </c>
      <c r="O3860" s="23">
        <f>0.047*M3860</f>
        <v>0</v>
      </c>
      <c r="P3860" s="24">
        <f>0.00007*M3860</f>
        <v>0</v>
      </c>
      <c r="Q3860" s="25"/>
      <c r="R3860" s="26" t="s">
        <v>12183</v>
      </c>
      <c r="S3860" s="26" t="s">
        <v>29</v>
      </c>
      <c r="T3860" s="6"/>
      <c r="U3860" s="6"/>
      <c r="V3860" s="33" t="s">
        <v>35</v>
      </c>
    </row>
    <row r="3861" spans="2:22" ht="21" customHeight="1" outlineLevel="7" x14ac:dyDescent="0.2">
      <c r="B3861" s="71">
        <v>2898</v>
      </c>
      <c r="C3861" s="37" t="s">
        <v>12184</v>
      </c>
      <c r="D3861" s="37" t="s">
        <v>12185</v>
      </c>
      <c r="E3861" s="38" t="s">
        <v>12186</v>
      </c>
      <c r="F3861" s="39"/>
      <c r="G3861" s="40"/>
      <c r="H3861" s="41">
        <v>250</v>
      </c>
      <c r="I3861" s="41">
        <v>25</v>
      </c>
      <c r="J3861" s="50">
        <v>10325</v>
      </c>
      <c r="K3861" s="36">
        <v>250</v>
      </c>
      <c r="L3861" s="42">
        <f>(14.53*(1-O3/100))/0.75</f>
        <v>19.373333333333331</v>
      </c>
      <c r="M3861" s="12"/>
      <c r="N3861" s="40">
        <f t="shared" si="173"/>
        <v>0</v>
      </c>
      <c r="O3861" s="48">
        <f>0.05*M3861</f>
        <v>0</v>
      </c>
      <c r="P3861" s="46">
        <f>0.0001*M3861</f>
        <v>0</v>
      </c>
      <c r="Q3861" s="44"/>
      <c r="R3861" s="45" t="s">
        <v>12187</v>
      </c>
      <c r="S3861" s="45" t="s">
        <v>29</v>
      </c>
      <c r="T3861" s="37" t="str">
        <f>HYPERLINK("https://kanzpp.ru/api/getInfo/image/8fc4c2b6-fa13-11ed-a239-00155d82e902")</f>
        <v>https://kanzpp.ru/api/getInfo/image/8fc4c2b6-fa13-11ed-a239-00155d82e902</v>
      </c>
      <c r="U3861" s="37"/>
    </row>
    <row r="3862" spans="2:22" ht="21" customHeight="1" outlineLevel="7" x14ac:dyDescent="0.2">
      <c r="B3862" s="71">
        <v>2899</v>
      </c>
      <c r="C3862" s="37" t="s">
        <v>12188</v>
      </c>
      <c r="D3862" s="37" t="s">
        <v>12189</v>
      </c>
      <c r="E3862" s="38" t="s">
        <v>12190</v>
      </c>
      <c r="F3862" s="39"/>
      <c r="G3862" s="40"/>
      <c r="H3862" s="41">
        <v>240</v>
      </c>
      <c r="I3862" s="41">
        <v>20</v>
      </c>
      <c r="J3862" s="50">
        <v>6720</v>
      </c>
      <c r="K3862" s="36">
        <v>240</v>
      </c>
      <c r="L3862" s="42">
        <f>(14.53*(1-O3/100))/0.75</f>
        <v>19.373333333333331</v>
      </c>
      <c r="M3862" s="12"/>
      <c r="N3862" s="40">
        <f t="shared" si="173"/>
        <v>0</v>
      </c>
      <c r="O3862" s="43">
        <f>0.044*M3862</f>
        <v>0</v>
      </c>
      <c r="P3862" s="47">
        <f>0.00007*M3862</f>
        <v>0</v>
      </c>
      <c r="Q3862" s="44"/>
      <c r="R3862" s="45" t="s">
        <v>12191</v>
      </c>
      <c r="S3862" s="45" t="s">
        <v>29</v>
      </c>
      <c r="T3862" s="37" t="str">
        <f>HYPERLINK("https://kanzpp.ru/api/getInfo/image/cd36cfac-fa37-11ed-a239-00155d82e902")</f>
        <v>https://kanzpp.ru/api/getInfo/image/cd36cfac-fa37-11ed-a239-00155d82e902</v>
      </c>
      <c r="U3862" s="37"/>
    </row>
    <row r="3863" spans="2:22" ht="21" customHeight="1" outlineLevel="7" x14ac:dyDescent="0.2">
      <c r="B3863" s="71">
        <v>2900</v>
      </c>
      <c r="C3863" s="37" t="s">
        <v>12192</v>
      </c>
      <c r="D3863" s="37" t="s">
        <v>12193</v>
      </c>
      <c r="E3863" s="38" t="s">
        <v>12194</v>
      </c>
      <c r="F3863" s="39"/>
      <c r="G3863" s="40"/>
      <c r="H3863" s="41">
        <v>240</v>
      </c>
      <c r="I3863" s="41">
        <v>20</v>
      </c>
      <c r="J3863" s="50">
        <v>3510</v>
      </c>
      <c r="K3863" s="36">
        <v>240</v>
      </c>
      <c r="L3863" s="42">
        <f>(14.53*(1-O3/100))/0.75</f>
        <v>19.373333333333331</v>
      </c>
      <c r="M3863" s="12"/>
      <c r="N3863" s="40">
        <f t="shared" si="173"/>
        <v>0</v>
      </c>
      <c r="O3863" s="43">
        <f>0.045*M3863</f>
        <v>0</v>
      </c>
      <c r="P3863" s="47">
        <f>0.00007*M3863</f>
        <v>0</v>
      </c>
      <c r="Q3863" s="44"/>
      <c r="R3863" s="45" t="s">
        <v>12195</v>
      </c>
      <c r="S3863" s="45" t="s">
        <v>29</v>
      </c>
      <c r="T3863" s="37" t="str">
        <f>HYPERLINK("https://kanzpp.ru/api/getInfo/image/ce8343f4-fa36-11ed-a239-00155d82e902")</f>
        <v>https://kanzpp.ru/api/getInfo/image/ce8343f4-fa36-11ed-a239-00155d82e902</v>
      </c>
      <c r="U3863" s="37"/>
    </row>
    <row r="3864" spans="2:22" ht="21" customHeight="1" outlineLevel="7" x14ac:dyDescent="0.2">
      <c r="B3864" s="71">
        <v>2901</v>
      </c>
      <c r="C3864" s="37" t="s">
        <v>12196</v>
      </c>
      <c r="D3864" s="37" t="s">
        <v>12197</v>
      </c>
      <c r="E3864" s="38" t="s">
        <v>12198</v>
      </c>
      <c r="F3864" s="39"/>
      <c r="G3864" s="40"/>
      <c r="H3864" s="41">
        <v>240</v>
      </c>
      <c r="I3864" s="41">
        <v>20</v>
      </c>
      <c r="J3864" s="50">
        <v>13600</v>
      </c>
      <c r="K3864" s="36">
        <v>240</v>
      </c>
      <c r="L3864" s="42">
        <f>(14.53*(1-O3/100))/0.75</f>
        <v>19.373333333333331</v>
      </c>
      <c r="M3864" s="12"/>
      <c r="N3864" s="40">
        <f t="shared" si="173"/>
        <v>0</v>
      </c>
      <c r="O3864" s="43">
        <f>0.044*M3864</f>
        <v>0</v>
      </c>
      <c r="P3864" s="47">
        <f>0.00007*M3864</f>
        <v>0</v>
      </c>
      <c r="Q3864" s="44"/>
      <c r="R3864" s="45" t="s">
        <v>12199</v>
      </c>
      <c r="S3864" s="45" t="s">
        <v>29</v>
      </c>
      <c r="T3864" s="37" t="str">
        <f>HYPERLINK("https://kanzpp.ru/api/getInfo/image/2e8c4145-fa38-11ed-a239-00155d82e902")</f>
        <v>https://kanzpp.ru/api/getInfo/image/2e8c4145-fa38-11ed-a239-00155d82e902</v>
      </c>
      <c r="U3864" s="37"/>
    </row>
    <row r="3865" spans="2:22" ht="21" customHeight="1" outlineLevel="7" x14ac:dyDescent="0.2">
      <c r="B3865" s="71">
        <v>2902</v>
      </c>
      <c r="C3865" s="37" t="s">
        <v>12200</v>
      </c>
      <c r="D3865" s="37" t="s">
        <v>12201</v>
      </c>
      <c r="E3865" s="38" t="s">
        <v>12202</v>
      </c>
      <c r="F3865" s="39"/>
      <c r="G3865" s="40"/>
      <c r="H3865" s="41">
        <v>240</v>
      </c>
      <c r="I3865" s="41">
        <v>20</v>
      </c>
      <c r="J3865" s="50">
        <v>8440</v>
      </c>
      <c r="K3865" s="36">
        <v>240</v>
      </c>
      <c r="L3865" s="42">
        <f>(14.53*(1-O3/100))/0.75</f>
        <v>19.373333333333331</v>
      </c>
      <c r="M3865" s="12"/>
      <c r="N3865" s="40">
        <f t="shared" si="173"/>
        <v>0</v>
      </c>
      <c r="O3865" s="43">
        <f>0.045*M3865</f>
        <v>0</v>
      </c>
      <c r="P3865" s="47">
        <f>0.00007*M3865</f>
        <v>0</v>
      </c>
      <c r="Q3865" s="44"/>
      <c r="R3865" s="45" t="s">
        <v>12203</v>
      </c>
      <c r="S3865" s="45" t="s">
        <v>29</v>
      </c>
      <c r="T3865" s="37" t="str">
        <f>HYPERLINK("https://kanzpp.ru/api/getInfo/image/947b80f6-fa38-11ed-a239-00155d82e902")</f>
        <v>https://kanzpp.ru/api/getInfo/image/947b80f6-fa38-11ed-a239-00155d82e902</v>
      </c>
      <c r="U3865" s="37"/>
    </row>
    <row r="3866" spans="2:22" ht="21" customHeight="1" outlineLevel="7" x14ac:dyDescent="0.2">
      <c r="B3866" s="71">
        <v>2903</v>
      </c>
      <c r="C3866" s="37" t="s">
        <v>12204</v>
      </c>
      <c r="D3866" s="37" t="s">
        <v>12205</v>
      </c>
      <c r="E3866" s="38" t="s">
        <v>12206</v>
      </c>
      <c r="F3866" s="39"/>
      <c r="G3866" s="40"/>
      <c r="H3866" s="41">
        <v>240</v>
      </c>
      <c r="I3866" s="41">
        <v>20</v>
      </c>
      <c r="J3866" s="50">
        <v>6040</v>
      </c>
      <c r="K3866" s="36">
        <v>240</v>
      </c>
      <c r="L3866" s="42">
        <f>(14.53*(1-O3/100))/0.75</f>
        <v>19.373333333333331</v>
      </c>
      <c r="M3866" s="12"/>
      <c r="N3866" s="40">
        <f t="shared" si="173"/>
        <v>0</v>
      </c>
      <c r="O3866" s="43">
        <f>0.045*M3866</f>
        <v>0</v>
      </c>
      <c r="P3866" s="47">
        <f>0.00007*M3866</f>
        <v>0</v>
      </c>
      <c r="Q3866" s="44"/>
      <c r="R3866" s="45" t="s">
        <v>12207</v>
      </c>
      <c r="S3866" s="45" t="s">
        <v>29</v>
      </c>
      <c r="T3866" s="37" t="str">
        <f>HYPERLINK("https://kanzpp.ru/api/getInfo/image/500167ef-fa37-11ed-a239-00155d82e902")</f>
        <v>https://kanzpp.ru/api/getInfo/image/500167ef-fa37-11ed-a239-00155d82e902</v>
      </c>
      <c r="U3866" s="37"/>
    </row>
    <row r="3867" spans="2:22" ht="21" customHeight="1" outlineLevel="7" x14ac:dyDescent="0.2">
      <c r="B3867" s="69">
        <v>2904</v>
      </c>
      <c r="C3867" s="6" t="s">
        <v>12208</v>
      </c>
      <c r="D3867" s="6" t="s">
        <v>12209</v>
      </c>
      <c r="E3867" s="7" t="s">
        <v>12210</v>
      </c>
      <c r="F3867" s="13"/>
      <c r="G3867" s="14"/>
      <c r="H3867" s="15">
        <v>250</v>
      </c>
      <c r="I3867" s="15">
        <v>25</v>
      </c>
      <c r="J3867" s="14" t="s">
        <v>144</v>
      </c>
      <c r="K3867" s="5">
        <v>250</v>
      </c>
      <c r="L3867" s="16">
        <v>10.533333333333333</v>
      </c>
      <c r="M3867" s="12"/>
      <c r="N3867" s="14">
        <f t="shared" si="173"/>
        <v>0</v>
      </c>
      <c r="O3867" s="23">
        <f>0.037*M3867</f>
        <v>0</v>
      </c>
      <c r="P3867" s="24">
        <f>0.00003*M3867</f>
        <v>0</v>
      </c>
      <c r="Q3867" s="25"/>
      <c r="R3867" s="26" t="s">
        <v>12211</v>
      </c>
      <c r="S3867" s="26" t="s">
        <v>29</v>
      </c>
      <c r="T3867" s="6" t="str">
        <f>HYPERLINK("https://kanzpp.ru/api/getInfo/image/4ec6e2ad-c2d0-11e6-8e44-5cf3fc4a2490")</f>
        <v>https://kanzpp.ru/api/getInfo/image/4ec6e2ad-c2d0-11e6-8e44-5cf3fc4a2490</v>
      </c>
      <c r="U3867" s="6"/>
      <c r="V3867" s="33" t="s">
        <v>35</v>
      </c>
    </row>
    <row r="3868" spans="2:22" ht="21" customHeight="1" outlineLevel="7" x14ac:dyDescent="0.2">
      <c r="B3868" s="69">
        <v>2905</v>
      </c>
      <c r="C3868" s="6" t="s">
        <v>12212</v>
      </c>
      <c r="D3868" s="6" t="s">
        <v>12213</v>
      </c>
      <c r="E3868" s="7" t="s">
        <v>12214</v>
      </c>
      <c r="F3868" s="13"/>
      <c r="G3868" s="14"/>
      <c r="H3868" s="15">
        <v>250</v>
      </c>
      <c r="I3868" s="15">
        <v>25</v>
      </c>
      <c r="J3868" s="17">
        <v>13866</v>
      </c>
      <c r="K3868" s="5">
        <v>250</v>
      </c>
      <c r="L3868" s="16">
        <v>10.533333333333333</v>
      </c>
      <c r="M3868" s="12"/>
      <c r="N3868" s="14">
        <f t="shared" si="173"/>
        <v>0</v>
      </c>
      <c r="O3868" s="23">
        <f>0.037*M3868</f>
        <v>0</v>
      </c>
      <c r="P3868" s="24">
        <f>0.00003*M3868</f>
        <v>0</v>
      </c>
      <c r="Q3868" s="25"/>
      <c r="R3868" s="26" t="s">
        <v>12215</v>
      </c>
      <c r="S3868" s="26" t="s">
        <v>29</v>
      </c>
      <c r="T3868" s="6" t="str">
        <f>HYPERLINK("https://kanzpp.ru/api/getInfo/image/00f19929-56ce-11e5-a57f-5cf3fc4a2490")</f>
        <v>https://kanzpp.ru/api/getInfo/image/00f19929-56ce-11e5-a57f-5cf3fc4a2490</v>
      </c>
      <c r="U3868" s="6"/>
      <c r="V3868" s="33" t="s">
        <v>35</v>
      </c>
    </row>
    <row r="3869" spans="2:22" ht="21" customHeight="1" outlineLevel="7" x14ac:dyDescent="0.2">
      <c r="B3869" s="69">
        <v>2906</v>
      </c>
      <c r="C3869" s="6" t="s">
        <v>12216</v>
      </c>
      <c r="D3869" s="6" t="s">
        <v>12217</v>
      </c>
      <c r="E3869" s="7" t="s">
        <v>12218</v>
      </c>
      <c r="F3869" s="13"/>
      <c r="G3869" s="14"/>
      <c r="H3869" s="15">
        <v>250</v>
      </c>
      <c r="I3869" s="15">
        <v>25</v>
      </c>
      <c r="J3869" s="14" t="s">
        <v>144</v>
      </c>
      <c r="K3869" s="5">
        <v>250</v>
      </c>
      <c r="L3869" s="16">
        <v>3.3333333333333335</v>
      </c>
      <c r="M3869" s="12"/>
      <c r="N3869" s="14">
        <f t="shared" ref="N3869:N3900" si="174">L3869*M3869</f>
        <v>0</v>
      </c>
      <c r="O3869" s="23">
        <f>0.038*M3869</f>
        <v>0</v>
      </c>
      <c r="P3869" s="24">
        <f>0.00007*M3869</f>
        <v>0</v>
      </c>
      <c r="Q3869" s="25"/>
      <c r="R3869" s="26" t="s">
        <v>12219</v>
      </c>
      <c r="S3869" s="26" t="s">
        <v>29</v>
      </c>
      <c r="T3869" s="6" t="str">
        <f>HYPERLINK("https://kanzpp.ru/api/getInfo/image/23418146-9ffe-11ee-a257-00155d82e908")</f>
        <v>https://kanzpp.ru/api/getInfo/image/23418146-9ffe-11ee-a257-00155d82e908</v>
      </c>
      <c r="U3869" s="6"/>
      <c r="V3869" s="33" t="s">
        <v>35</v>
      </c>
    </row>
    <row r="3870" spans="2:22" ht="21" customHeight="1" outlineLevel="7" x14ac:dyDescent="0.2">
      <c r="B3870" s="69">
        <v>2907</v>
      </c>
      <c r="C3870" s="6" t="s">
        <v>12220</v>
      </c>
      <c r="D3870" s="6" t="s">
        <v>12221</v>
      </c>
      <c r="E3870" s="7" t="s">
        <v>12222</v>
      </c>
      <c r="F3870" s="13"/>
      <c r="G3870" s="14"/>
      <c r="H3870" s="15">
        <v>240</v>
      </c>
      <c r="I3870" s="15">
        <v>20</v>
      </c>
      <c r="J3870" s="17">
        <v>8880</v>
      </c>
      <c r="K3870" s="5">
        <v>240</v>
      </c>
      <c r="L3870" s="16">
        <v>14.533333333333333</v>
      </c>
      <c r="M3870" s="12"/>
      <c r="N3870" s="14">
        <f t="shared" si="174"/>
        <v>0</v>
      </c>
      <c r="O3870" s="28">
        <f>0.04*M3870</f>
        <v>0</v>
      </c>
      <c r="P3870" s="24">
        <f>0.00007*M3870</f>
        <v>0</v>
      </c>
      <c r="Q3870" s="25"/>
      <c r="R3870" s="26" t="s">
        <v>12223</v>
      </c>
      <c r="S3870" s="26" t="s">
        <v>29</v>
      </c>
      <c r="T3870" s="6" t="str">
        <f>HYPERLINK("https://kanzpp.ru/api/getInfo/image/3b416b7e-91ed-11ef-a265-00155d82e908")</f>
        <v>https://kanzpp.ru/api/getInfo/image/3b416b7e-91ed-11ef-a265-00155d82e908</v>
      </c>
      <c r="U3870" s="6"/>
      <c r="V3870" s="33" t="s">
        <v>35</v>
      </c>
    </row>
    <row r="3871" spans="2:22" ht="21" customHeight="1" outlineLevel="7" x14ac:dyDescent="0.2">
      <c r="B3871" s="69">
        <v>2908</v>
      </c>
      <c r="C3871" s="6" t="s">
        <v>12224</v>
      </c>
      <c r="D3871" s="6" t="s">
        <v>12225</v>
      </c>
      <c r="E3871" s="7" t="s">
        <v>12226</v>
      </c>
      <c r="F3871" s="13"/>
      <c r="G3871" s="14"/>
      <c r="H3871" s="15">
        <v>250</v>
      </c>
      <c r="I3871" s="15">
        <v>25</v>
      </c>
      <c r="J3871" s="14" t="s">
        <v>144</v>
      </c>
      <c r="K3871" s="5">
        <v>250</v>
      </c>
      <c r="L3871" s="16">
        <v>10.533333333333333</v>
      </c>
      <c r="M3871" s="12"/>
      <c r="N3871" s="14">
        <f t="shared" si="174"/>
        <v>0</v>
      </c>
      <c r="O3871" s="23">
        <f>0.039*M3871</f>
        <v>0</v>
      </c>
      <c r="P3871" s="24">
        <f>0.00003*M3871</f>
        <v>0</v>
      </c>
      <c r="Q3871" s="25"/>
      <c r="R3871" s="26" t="s">
        <v>12227</v>
      </c>
      <c r="S3871" s="26" t="s">
        <v>29</v>
      </c>
      <c r="T3871" s="6" t="str">
        <f>HYPERLINK("https://kanzpp.ru/api/getInfo/image/4dff9309-df03-11e7-b2c3-5cf3fc4a2490")</f>
        <v>https://kanzpp.ru/api/getInfo/image/4dff9309-df03-11e7-b2c3-5cf3fc4a2490</v>
      </c>
      <c r="U3871" s="6"/>
      <c r="V3871" s="33" t="s">
        <v>35</v>
      </c>
    </row>
    <row r="3872" spans="2:22" ht="21" customHeight="1" outlineLevel="7" x14ac:dyDescent="0.2">
      <c r="B3872" s="69">
        <v>2909</v>
      </c>
      <c r="C3872" s="6" t="s">
        <v>12228</v>
      </c>
      <c r="D3872" s="6" t="s">
        <v>12229</v>
      </c>
      <c r="E3872" s="7" t="s">
        <v>12230</v>
      </c>
      <c r="F3872" s="13"/>
      <c r="G3872" s="14"/>
      <c r="H3872" s="15">
        <v>250</v>
      </c>
      <c r="I3872" s="15">
        <v>25</v>
      </c>
      <c r="J3872" s="17">
        <v>4450</v>
      </c>
      <c r="K3872" s="5">
        <v>250</v>
      </c>
      <c r="L3872" s="16">
        <v>3.3333333333333335</v>
      </c>
      <c r="M3872" s="12"/>
      <c r="N3872" s="14">
        <f t="shared" si="174"/>
        <v>0</v>
      </c>
      <c r="O3872" s="23">
        <f>0.039*M3872</f>
        <v>0</v>
      </c>
      <c r="P3872" s="24">
        <f>0.00003*M3872</f>
        <v>0</v>
      </c>
      <c r="Q3872" s="25"/>
      <c r="R3872" s="26" t="s">
        <v>12231</v>
      </c>
      <c r="S3872" s="26" t="s">
        <v>29</v>
      </c>
      <c r="T3872" s="6" t="str">
        <f>HYPERLINK("https://kanzpp.ru/api/getInfo/image/ddacc7b5-0f0d-11ed-a215-ac1f6b442185")</f>
        <v>https://kanzpp.ru/api/getInfo/image/ddacc7b5-0f0d-11ed-a215-ac1f6b442185</v>
      </c>
      <c r="U3872" s="6"/>
      <c r="V3872" s="33" t="s">
        <v>35</v>
      </c>
    </row>
    <row r="3873" spans="2:22" ht="21" customHeight="1" outlineLevel="7" x14ac:dyDescent="0.2">
      <c r="B3873" s="69">
        <v>2910</v>
      </c>
      <c r="C3873" s="6" t="s">
        <v>12232</v>
      </c>
      <c r="D3873" s="6" t="s">
        <v>12233</v>
      </c>
      <c r="E3873" s="7" t="s">
        <v>12234</v>
      </c>
      <c r="F3873" s="13"/>
      <c r="G3873" s="14"/>
      <c r="H3873" s="15">
        <v>250</v>
      </c>
      <c r="I3873" s="15">
        <v>25</v>
      </c>
      <c r="J3873" s="17">
        <v>16925</v>
      </c>
      <c r="K3873" s="5">
        <v>250</v>
      </c>
      <c r="L3873" s="16">
        <v>3.3333333333333335</v>
      </c>
      <c r="M3873" s="12"/>
      <c r="N3873" s="14">
        <f t="shared" si="174"/>
        <v>0</v>
      </c>
      <c r="O3873" s="23">
        <f>0.037*M3873</f>
        <v>0</v>
      </c>
      <c r="P3873" s="24">
        <f>0.00003*M3873</f>
        <v>0</v>
      </c>
      <c r="Q3873" s="25"/>
      <c r="R3873" s="26" t="s">
        <v>12235</v>
      </c>
      <c r="S3873" s="26" t="s">
        <v>29</v>
      </c>
      <c r="T3873" s="6" t="str">
        <f>HYPERLINK("https://kanzpp.ru/api/getInfo/image/16dae17b-9ffd-11ee-a257-00155d82e908")</f>
        <v>https://kanzpp.ru/api/getInfo/image/16dae17b-9ffd-11ee-a257-00155d82e908</v>
      </c>
      <c r="U3873" s="6"/>
      <c r="V3873" s="33" t="s">
        <v>35</v>
      </c>
    </row>
    <row r="3874" spans="2:22" ht="21" customHeight="1" outlineLevel="7" x14ac:dyDescent="0.2">
      <c r="B3874" s="69">
        <v>2911</v>
      </c>
      <c r="C3874" s="6" t="s">
        <v>12236</v>
      </c>
      <c r="D3874" s="6" t="s">
        <v>12237</v>
      </c>
      <c r="E3874" s="7" t="s">
        <v>12238</v>
      </c>
      <c r="F3874" s="13"/>
      <c r="G3874" s="14"/>
      <c r="H3874" s="15">
        <v>250</v>
      </c>
      <c r="I3874" s="15">
        <v>25</v>
      </c>
      <c r="J3874" s="17">
        <v>13400</v>
      </c>
      <c r="K3874" s="5">
        <v>250</v>
      </c>
      <c r="L3874" s="16">
        <v>3.3333333333333335</v>
      </c>
      <c r="M3874" s="12"/>
      <c r="N3874" s="14">
        <f t="shared" si="174"/>
        <v>0</v>
      </c>
      <c r="O3874" s="23">
        <f>0.039*M3874</f>
        <v>0</v>
      </c>
      <c r="P3874" s="24">
        <f>0.00003*M3874</f>
        <v>0</v>
      </c>
      <c r="Q3874" s="25"/>
      <c r="R3874" s="26" t="s">
        <v>12239</v>
      </c>
      <c r="S3874" s="26" t="s">
        <v>29</v>
      </c>
      <c r="T3874" s="6" t="str">
        <f>HYPERLINK("https://kanzpp.ru/api/getInfo/image/bf29991e-0f0c-11ed-a215-ac1f6b442185")</f>
        <v>https://kanzpp.ru/api/getInfo/image/bf29991e-0f0c-11ed-a215-ac1f6b442185</v>
      </c>
      <c r="U3874" s="6"/>
      <c r="V3874" s="33" t="s">
        <v>35</v>
      </c>
    </row>
    <row r="3875" spans="2:22" ht="21" customHeight="1" outlineLevel="7" x14ac:dyDescent="0.2">
      <c r="B3875" s="69">
        <v>2912</v>
      </c>
      <c r="C3875" s="6" t="s">
        <v>12240</v>
      </c>
      <c r="D3875" s="6" t="s">
        <v>12241</v>
      </c>
      <c r="E3875" s="7" t="s">
        <v>12242</v>
      </c>
      <c r="F3875" s="13"/>
      <c r="G3875" s="14"/>
      <c r="H3875" s="15">
        <v>250</v>
      </c>
      <c r="I3875" s="15">
        <v>25</v>
      </c>
      <c r="J3875" s="17">
        <v>3399</v>
      </c>
      <c r="K3875" s="5">
        <v>250</v>
      </c>
      <c r="L3875" s="16">
        <v>3.3333333333333335</v>
      </c>
      <c r="M3875" s="12"/>
      <c r="N3875" s="14">
        <f t="shared" si="174"/>
        <v>0</v>
      </c>
      <c r="O3875" s="23">
        <f>0.037*M3875</f>
        <v>0</v>
      </c>
      <c r="P3875" s="31">
        <f>0.0001*M3875</f>
        <v>0</v>
      </c>
      <c r="Q3875" s="25"/>
      <c r="R3875" s="26" t="s">
        <v>12243</v>
      </c>
      <c r="S3875" s="26" t="s">
        <v>29</v>
      </c>
      <c r="T3875" s="6" t="str">
        <f>HYPERLINK("https://kanzpp.ru/api/getInfo/image/62f1d1c1-9ffd-11ee-a257-00155d82e908")</f>
        <v>https://kanzpp.ru/api/getInfo/image/62f1d1c1-9ffd-11ee-a257-00155d82e908</v>
      </c>
      <c r="U3875" s="6"/>
      <c r="V3875" s="33" t="s">
        <v>35</v>
      </c>
    </row>
    <row r="3876" spans="2:22" ht="21" customHeight="1" outlineLevel="7" x14ac:dyDescent="0.2">
      <c r="B3876" s="69">
        <v>2913</v>
      </c>
      <c r="C3876" s="6" t="s">
        <v>12244</v>
      </c>
      <c r="D3876" s="6" t="s">
        <v>12245</v>
      </c>
      <c r="E3876" s="7" t="s">
        <v>12246</v>
      </c>
      <c r="F3876" s="13"/>
      <c r="G3876" s="14"/>
      <c r="H3876" s="15">
        <v>250</v>
      </c>
      <c r="I3876" s="15">
        <v>25</v>
      </c>
      <c r="J3876" s="17">
        <v>9250</v>
      </c>
      <c r="K3876" s="5">
        <v>250</v>
      </c>
      <c r="L3876" s="16">
        <v>10.533333333333333</v>
      </c>
      <c r="M3876" s="12"/>
      <c r="N3876" s="14">
        <f t="shared" si="174"/>
        <v>0</v>
      </c>
      <c r="O3876" s="23">
        <f>0.037*M3876</f>
        <v>0</v>
      </c>
      <c r="P3876" s="24">
        <f>0.00003*M3876</f>
        <v>0</v>
      </c>
      <c r="Q3876" s="25"/>
      <c r="R3876" s="26" t="s">
        <v>12247</v>
      </c>
      <c r="S3876" s="26" t="s">
        <v>29</v>
      </c>
      <c r="T3876" s="6" t="str">
        <f>HYPERLINK("https://kanzpp.ru/api/getInfo/image/d0fba6e8-79d5-11e2-8ed0-003048670413")</f>
        <v>https://kanzpp.ru/api/getInfo/image/d0fba6e8-79d5-11e2-8ed0-003048670413</v>
      </c>
      <c r="U3876" s="6"/>
      <c r="V3876" s="33" t="s">
        <v>35</v>
      </c>
    </row>
    <row r="3877" spans="2:22" ht="21" customHeight="1" outlineLevel="7" x14ac:dyDescent="0.2">
      <c r="B3877" s="69">
        <v>2914</v>
      </c>
      <c r="C3877" s="6" t="s">
        <v>12248</v>
      </c>
      <c r="D3877" s="6" t="s">
        <v>12249</v>
      </c>
      <c r="E3877" s="7" t="s">
        <v>12250</v>
      </c>
      <c r="F3877" s="13"/>
      <c r="G3877" s="14"/>
      <c r="H3877" s="15">
        <v>250</v>
      </c>
      <c r="I3877" s="15">
        <v>25</v>
      </c>
      <c r="J3877" s="14" t="s">
        <v>144</v>
      </c>
      <c r="K3877" s="5">
        <v>250</v>
      </c>
      <c r="L3877" s="16">
        <v>13.200000000000001</v>
      </c>
      <c r="M3877" s="12"/>
      <c r="N3877" s="14">
        <f t="shared" si="174"/>
        <v>0</v>
      </c>
      <c r="O3877" s="23">
        <f>0.037*M3877</f>
        <v>0</v>
      </c>
      <c r="P3877" s="31">
        <f>0.0001*M3877</f>
        <v>0</v>
      </c>
      <c r="Q3877" s="25"/>
      <c r="R3877" s="26" t="s">
        <v>12251</v>
      </c>
      <c r="S3877" s="26" t="s">
        <v>29</v>
      </c>
      <c r="T3877" s="6" t="str">
        <f>HYPERLINK("https://kanzpp.ru/api/getInfo/image/a8d44de3-fa15-11ed-a239-00155d82e902")</f>
        <v>https://kanzpp.ru/api/getInfo/image/a8d44de3-fa15-11ed-a239-00155d82e902</v>
      </c>
      <c r="U3877" s="6"/>
      <c r="V3877" s="33" t="s">
        <v>35</v>
      </c>
    </row>
    <row r="3878" spans="2:22" ht="21" customHeight="1" outlineLevel="7" x14ac:dyDescent="0.2">
      <c r="B3878" s="69">
        <v>2915</v>
      </c>
      <c r="C3878" s="6" t="s">
        <v>12252</v>
      </c>
      <c r="D3878" s="6" t="s">
        <v>12253</v>
      </c>
      <c r="E3878" s="7" t="s">
        <v>12254</v>
      </c>
      <c r="F3878" s="13"/>
      <c r="G3878" s="14"/>
      <c r="H3878" s="15">
        <v>250</v>
      </c>
      <c r="I3878" s="15">
        <v>25</v>
      </c>
      <c r="J3878" s="17">
        <v>2520</v>
      </c>
      <c r="K3878" s="5">
        <v>250</v>
      </c>
      <c r="L3878" s="16">
        <v>10.533333333333333</v>
      </c>
      <c r="M3878" s="12"/>
      <c r="N3878" s="14">
        <f t="shared" si="174"/>
        <v>0</v>
      </c>
      <c r="O3878" s="23">
        <f>0.035*M3878</f>
        <v>0</v>
      </c>
      <c r="P3878" s="24">
        <f>0.00014*M3878</f>
        <v>0</v>
      </c>
      <c r="Q3878" s="25"/>
      <c r="R3878" s="26" t="s">
        <v>12255</v>
      </c>
      <c r="S3878" s="26" t="s">
        <v>29</v>
      </c>
      <c r="T3878" s="6" t="str">
        <f>HYPERLINK("https://kanzpp.ru/api/getInfo/image/8f42f373-fac2-11ed-a239-00155d82e902")</f>
        <v>https://kanzpp.ru/api/getInfo/image/8f42f373-fac2-11ed-a239-00155d82e902</v>
      </c>
      <c r="U3878" s="6"/>
      <c r="V3878" s="33" t="s">
        <v>35</v>
      </c>
    </row>
    <row r="3879" spans="2:22" ht="21" customHeight="1" outlineLevel="7" x14ac:dyDescent="0.2">
      <c r="B3879" s="69">
        <v>2916</v>
      </c>
      <c r="C3879" s="6" t="s">
        <v>12256</v>
      </c>
      <c r="D3879" s="6" t="s">
        <v>12257</v>
      </c>
      <c r="E3879" s="7" t="s">
        <v>12258</v>
      </c>
      <c r="F3879" s="13"/>
      <c r="G3879" s="14"/>
      <c r="H3879" s="15">
        <v>250</v>
      </c>
      <c r="I3879" s="15">
        <v>25</v>
      </c>
      <c r="J3879" s="17">
        <v>4975</v>
      </c>
      <c r="K3879" s="5">
        <v>250</v>
      </c>
      <c r="L3879" s="16">
        <v>10.533333333333333</v>
      </c>
      <c r="M3879" s="12"/>
      <c r="N3879" s="14">
        <f t="shared" si="174"/>
        <v>0</v>
      </c>
      <c r="O3879" s="23">
        <f>0.035*M3879</f>
        <v>0</v>
      </c>
      <c r="P3879" s="24">
        <f>0.00014*M3879</f>
        <v>0</v>
      </c>
      <c r="Q3879" s="25"/>
      <c r="R3879" s="26" t="s">
        <v>12259</v>
      </c>
      <c r="S3879" s="26" t="s">
        <v>29</v>
      </c>
      <c r="T3879" s="6" t="str">
        <f>HYPERLINK("https://kanzpp.ru/api/getInfo/image/c1127b17-fac1-11ed-a239-00155d82e902")</f>
        <v>https://kanzpp.ru/api/getInfo/image/c1127b17-fac1-11ed-a239-00155d82e902</v>
      </c>
      <c r="U3879" s="6"/>
      <c r="V3879" s="33" t="s">
        <v>35</v>
      </c>
    </row>
    <row r="3880" spans="2:22" ht="21" customHeight="1" outlineLevel="7" x14ac:dyDescent="0.2">
      <c r="B3880" s="69">
        <v>2917</v>
      </c>
      <c r="C3880" s="6" t="s">
        <v>12260</v>
      </c>
      <c r="D3880" s="6" t="s">
        <v>12261</v>
      </c>
      <c r="E3880" s="7" t="s">
        <v>12262</v>
      </c>
      <c r="F3880" s="13"/>
      <c r="G3880" s="14"/>
      <c r="H3880" s="15">
        <v>250</v>
      </c>
      <c r="I3880" s="15">
        <v>25</v>
      </c>
      <c r="J3880" s="17">
        <v>1050</v>
      </c>
      <c r="K3880" s="5">
        <v>250</v>
      </c>
      <c r="L3880" s="16">
        <v>10.533333333333333</v>
      </c>
      <c r="M3880" s="12"/>
      <c r="N3880" s="14">
        <f t="shared" si="174"/>
        <v>0</v>
      </c>
      <c r="O3880" s="23">
        <f>0.035*M3880</f>
        <v>0</v>
      </c>
      <c r="P3880" s="24">
        <f>0.00014*M3880</f>
        <v>0</v>
      </c>
      <c r="Q3880" s="25"/>
      <c r="R3880" s="26" t="s">
        <v>12263</v>
      </c>
      <c r="S3880" s="26" t="s">
        <v>29</v>
      </c>
      <c r="T3880" s="6" t="str">
        <f>HYPERLINK("https://kanzpp.ru/api/getInfo/image/c8d04c5c-fac3-11ed-a239-00155d82e902")</f>
        <v>https://kanzpp.ru/api/getInfo/image/c8d04c5c-fac3-11ed-a239-00155d82e902</v>
      </c>
      <c r="U3880" s="6"/>
      <c r="V3880" s="33" t="s">
        <v>35</v>
      </c>
    </row>
    <row r="3881" spans="2:22" ht="21" customHeight="1" outlineLevel="7" x14ac:dyDescent="0.2">
      <c r="B3881" s="69">
        <v>2918</v>
      </c>
      <c r="C3881" s="6" t="s">
        <v>12264</v>
      </c>
      <c r="D3881" s="6" t="s">
        <v>12265</v>
      </c>
      <c r="E3881" s="7" t="s">
        <v>12266</v>
      </c>
      <c r="F3881" s="13"/>
      <c r="G3881" s="14"/>
      <c r="H3881" s="15">
        <v>250</v>
      </c>
      <c r="I3881" s="15">
        <v>25</v>
      </c>
      <c r="J3881" s="17">
        <v>6005</v>
      </c>
      <c r="K3881" s="5">
        <v>250</v>
      </c>
      <c r="L3881" s="16">
        <v>10.533333333333333</v>
      </c>
      <c r="M3881" s="12"/>
      <c r="N3881" s="14">
        <f t="shared" si="174"/>
        <v>0</v>
      </c>
      <c r="O3881" s="23">
        <f>0.035*M3881</f>
        <v>0</v>
      </c>
      <c r="P3881" s="24">
        <f>0.00014*M3881</f>
        <v>0</v>
      </c>
      <c r="Q3881" s="25"/>
      <c r="R3881" s="26" t="s">
        <v>12267</v>
      </c>
      <c r="S3881" s="26" t="s">
        <v>29</v>
      </c>
      <c r="T3881" s="6" t="str">
        <f>HYPERLINK("https://kanzpp.ru/api/getInfo/image/2b7f3c1b-fac2-11ed-a239-00155d82e902")</f>
        <v>https://kanzpp.ru/api/getInfo/image/2b7f3c1b-fac2-11ed-a239-00155d82e902</v>
      </c>
      <c r="U3881" s="6"/>
      <c r="V3881" s="33" t="s">
        <v>35</v>
      </c>
    </row>
    <row r="3882" spans="2:22" ht="21" customHeight="1" outlineLevel="7" x14ac:dyDescent="0.2">
      <c r="B3882" s="69">
        <v>2919</v>
      </c>
      <c r="C3882" s="6" t="s">
        <v>12268</v>
      </c>
      <c r="D3882" s="6" t="s">
        <v>12269</v>
      </c>
      <c r="E3882" s="7" t="s">
        <v>12270</v>
      </c>
      <c r="F3882" s="13"/>
      <c r="G3882" s="14"/>
      <c r="H3882" s="15">
        <v>250</v>
      </c>
      <c r="I3882" s="15">
        <v>25</v>
      </c>
      <c r="J3882" s="14" t="s">
        <v>144</v>
      </c>
      <c r="K3882" s="5">
        <v>250</v>
      </c>
      <c r="L3882" s="16">
        <v>10.533333333333333</v>
      </c>
      <c r="M3882" s="12"/>
      <c r="N3882" s="14">
        <f t="shared" si="174"/>
        <v>0</v>
      </c>
      <c r="O3882" s="23">
        <f>0.037*M3882</f>
        <v>0</v>
      </c>
      <c r="P3882" s="31">
        <f>0.0001*M3882</f>
        <v>0</v>
      </c>
      <c r="Q3882" s="25"/>
      <c r="R3882" s="26" t="s">
        <v>12271</v>
      </c>
      <c r="S3882" s="26" t="s">
        <v>29</v>
      </c>
      <c r="T3882" s="6"/>
      <c r="U3882" s="6"/>
      <c r="V3882" s="33" t="s">
        <v>35</v>
      </c>
    </row>
    <row r="3883" spans="2:22" ht="21" customHeight="1" outlineLevel="7" x14ac:dyDescent="0.2">
      <c r="B3883" s="69">
        <v>2920</v>
      </c>
      <c r="C3883" s="6" t="s">
        <v>12272</v>
      </c>
      <c r="D3883" s="6" t="s">
        <v>12273</v>
      </c>
      <c r="E3883" s="7" t="s">
        <v>12274</v>
      </c>
      <c r="F3883" s="13"/>
      <c r="G3883" s="14"/>
      <c r="H3883" s="15">
        <v>240</v>
      </c>
      <c r="I3883" s="15">
        <v>20</v>
      </c>
      <c r="J3883" s="17">
        <v>2530</v>
      </c>
      <c r="K3883" s="5">
        <v>240</v>
      </c>
      <c r="L3883" s="16">
        <v>13.200000000000001</v>
      </c>
      <c r="M3883" s="12"/>
      <c r="N3883" s="14">
        <f t="shared" si="174"/>
        <v>0</v>
      </c>
      <c r="O3883" s="23">
        <f>0.037*M3883</f>
        <v>0</v>
      </c>
      <c r="P3883" s="24">
        <f>0.00003*M3883</f>
        <v>0</v>
      </c>
      <c r="Q3883" s="25"/>
      <c r="R3883" s="26" t="s">
        <v>12275</v>
      </c>
      <c r="S3883" s="26" t="s">
        <v>29</v>
      </c>
      <c r="T3883" s="6" t="str">
        <f>HYPERLINK("https://kanzpp.ru/api/getInfo/image/f7e9e09e-ecd5-11e4-aad1-5cf3fc4a2490")</f>
        <v>https://kanzpp.ru/api/getInfo/image/f7e9e09e-ecd5-11e4-aad1-5cf3fc4a2490</v>
      </c>
      <c r="U3883" s="6"/>
      <c r="V3883" s="33" t="s">
        <v>35</v>
      </c>
    </row>
    <row r="3884" spans="2:22" ht="21" customHeight="1" outlineLevel="7" x14ac:dyDescent="0.2">
      <c r="B3884" s="69">
        <v>2921</v>
      </c>
      <c r="C3884" s="6" t="s">
        <v>12276</v>
      </c>
      <c r="D3884" s="6" t="s">
        <v>12277</v>
      </c>
      <c r="E3884" s="7" t="s">
        <v>12278</v>
      </c>
      <c r="F3884" s="13"/>
      <c r="G3884" s="14"/>
      <c r="H3884" s="15">
        <v>240</v>
      </c>
      <c r="I3884" s="15">
        <v>20</v>
      </c>
      <c r="J3884" s="17">
        <v>4560</v>
      </c>
      <c r="K3884" s="5">
        <v>240</v>
      </c>
      <c r="L3884" s="16">
        <v>10.533333333333333</v>
      </c>
      <c r="M3884" s="12"/>
      <c r="N3884" s="14">
        <f t="shared" si="174"/>
        <v>0</v>
      </c>
      <c r="O3884" s="23">
        <f>0.037*M3884</f>
        <v>0</v>
      </c>
      <c r="P3884" s="24">
        <f>0.00011*M3884</f>
        <v>0</v>
      </c>
      <c r="Q3884" s="25"/>
      <c r="R3884" s="26" t="s">
        <v>12279</v>
      </c>
      <c r="S3884" s="26" t="s">
        <v>29</v>
      </c>
      <c r="T3884" s="6" t="str">
        <f>HYPERLINK("https://kanzpp.ru/api/getInfo/image/721ff452-50d6-11ef-a262-00155d82e908")</f>
        <v>https://kanzpp.ru/api/getInfo/image/721ff452-50d6-11ef-a262-00155d82e908</v>
      </c>
      <c r="U3884" s="6"/>
      <c r="V3884" s="33" t="s">
        <v>35</v>
      </c>
    </row>
    <row r="3885" spans="2:22" ht="21" customHeight="1" outlineLevel="7" x14ac:dyDescent="0.2">
      <c r="B3885" s="69">
        <v>2922</v>
      </c>
      <c r="C3885" s="6" t="s">
        <v>12280</v>
      </c>
      <c r="D3885" s="6" t="s">
        <v>12281</v>
      </c>
      <c r="E3885" s="7" t="s">
        <v>12282</v>
      </c>
      <c r="F3885" s="13"/>
      <c r="G3885" s="14"/>
      <c r="H3885" s="15">
        <v>250</v>
      </c>
      <c r="I3885" s="15">
        <v>25</v>
      </c>
      <c r="J3885" s="17">
        <v>13830</v>
      </c>
      <c r="K3885" s="5">
        <v>250</v>
      </c>
      <c r="L3885" s="16">
        <v>10.533333333333333</v>
      </c>
      <c r="M3885" s="12"/>
      <c r="N3885" s="14">
        <f t="shared" si="174"/>
        <v>0</v>
      </c>
      <c r="O3885" s="23">
        <f>0.037*M3885</f>
        <v>0</v>
      </c>
      <c r="P3885" s="24">
        <f>0.00007*M3885</f>
        <v>0</v>
      </c>
      <c r="Q3885" s="25"/>
      <c r="R3885" s="26" t="s">
        <v>12283</v>
      </c>
      <c r="S3885" s="26" t="s">
        <v>29</v>
      </c>
      <c r="T3885" s="6"/>
      <c r="U3885" s="6"/>
      <c r="V3885" s="33" t="s">
        <v>35</v>
      </c>
    </row>
    <row r="3886" spans="2:22" ht="21" customHeight="1" outlineLevel="7" x14ac:dyDescent="0.2">
      <c r="B3886" s="71">
        <v>2923</v>
      </c>
      <c r="C3886" s="37" t="s">
        <v>12284</v>
      </c>
      <c r="D3886" s="37" t="s">
        <v>12285</v>
      </c>
      <c r="E3886" s="38" t="s">
        <v>12286</v>
      </c>
      <c r="F3886" s="39"/>
      <c r="G3886" s="40"/>
      <c r="H3886" s="41">
        <v>240</v>
      </c>
      <c r="I3886" s="41">
        <v>20</v>
      </c>
      <c r="J3886" s="50">
        <v>6967</v>
      </c>
      <c r="K3886" s="36">
        <v>240</v>
      </c>
      <c r="L3886" s="42">
        <f>(14.53*(1-O3/100))/0.75</f>
        <v>19.373333333333331</v>
      </c>
      <c r="M3886" s="12"/>
      <c r="N3886" s="40">
        <f t="shared" si="174"/>
        <v>0</v>
      </c>
      <c r="O3886" s="43">
        <f>0.036*M3886</f>
        <v>0</v>
      </c>
      <c r="P3886" s="46">
        <f>0.0001*M3886</f>
        <v>0</v>
      </c>
      <c r="Q3886" s="44"/>
      <c r="R3886" s="45" t="s">
        <v>12287</v>
      </c>
      <c r="S3886" s="45" t="s">
        <v>29</v>
      </c>
      <c r="T3886" s="37" t="str">
        <f>HYPERLINK("https://kanzpp.ru/api/getInfo/image/544edb9e-fa16-11ed-a239-00155d82e902")</f>
        <v>https://kanzpp.ru/api/getInfo/image/544edb9e-fa16-11ed-a239-00155d82e902</v>
      </c>
      <c r="U3886" s="37"/>
    </row>
    <row r="3887" spans="2:22" ht="21" customHeight="1" outlineLevel="7" x14ac:dyDescent="0.2">
      <c r="B3887" s="69">
        <v>2924</v>
      </c>
      <c r="C3887" s="6" t="s">
        <v>12288</v>
      </c>
      <c r="D3887" s="6" t="s">
        <v>12289</v>
      </c>
      <c r="E3887" s="7" t="s">
        <v>12290</v>
      </c>
      <c r="F3887" s="13"/>
      <c r="G3887" s="14"/>
      <c r="H3887" s="15">
        <v>240</v>
      </c>
      <c r="I3887" s="15">
        <v>20</v>
      </c>
      <c r="J3887" s="17">
        <v>4800</v>
      </c>
      <c r="K3887" s="5">
        <v>240</v>
      </c>
      <c r="L3887" s="16">
        <v>10.533333333333333</v>
      </c>
      <c r="M3887" s="12"/>
      <c r="N3887" s="14">
        <f t="shared" si="174"/>
        <v>0</v>
      </c>
      <c r="O3887" s="23">
        <f>0.032*M3887</f>
        <v>0</v>
      </c>
      <c r="P3887" s="24">
        <f>0.00014*M3887</f>
        <v>0</v>
      </c>
      <c r="Q3887" s="25"/>
      <c r="R3887" s="26" t="s">
        <v>12291</v>
      </c>
      <c r="S3887" s="26" t="s">
        <v>29</v>
      </c>
      <c r="T3887" s="6" t="str">
        <f>HYPERLINK("https://kanzpp.ru/api/getInfo/image/74ad1e85-faca-11ed-a239-00155d82e902")</f>
        <v>https://kanzpp.ru/api/getInfo/image/74ad1e85-faca-11ed-a239-00155d82e902</v>
      </c>
      <c r="U3887" s="6"/>
      <c r="V3887" s="33" t="s">
        <v>35</v>
      </c>
    </row>
    <row r="3888" spans="2:22" ht="21" customHeight="1" outlineLevel="7" x14ac:dyDescent="0.2">
      <c r="B3888" s="69">
        <v>2925</v>
      </c>
      <c r="C3888" s="6" t="s">
        <v>12292</v>
      </c>
      <c r="D3888" s="6" t="s">
        <v>12293</v>
      </c>
      <c r="E3888" s="7" t="s">
        <v>12294</v>
      </c>
      <c r="F3888" s="13"/>
      <c r="G3888" s="14"/>
      <c r="H3888" s="15">
        <v>240</v>
      </c>
      <c r="I3888" s="15">
        <v>20</v>
      </c>
      <c r="J3888" s="17">
        <v>2574</v>
      </c>
      <c r="K3888" s="5">
        <v>240</v>
      </c>
      <c r="L3888" s="16">
        <v>10.533333333333333</v>
      </c>
      <c r="M3888" s="12"/>
      <c r="N3888" s="14">
        <f t="shared" si="174"/>
        <v>0</v>
      </c>
      <c r="O3888" s="23">
        <f>0.032*M3888</f>
        <v>0</v>
      </c>
      <c r="P3888" s="24">
        <f>0.00014*M3888</f>
        <v>0</v>
      </c>
      <c r="Q3888" s="25"/>
      <c r="R3888" s="26" t="s">
        <v>12295</v>
      </c>
      <c r="S3888" s="26" t="s">
        <v>29</v>
      </c>
      <c r="T3888" s="6" t="str">
        <f>HYPERLINK("https://kanzpp.ru/api/getInfo/image/ce8f29da-faca-11ed-a239-00155d82e902")</f>
        <v>https://kanzpp.ru/api/getInfo/image/ce8f29da-faca-11ed-a239-00155d82e902</v>
      </c>
      <c r="U3888" s="6"/>
      <c r="V3888" s="33" t="s">
        <v>35</v>
      </c>
    </row>
    <row r="3889" spans="2:22" ht="21" customHeight="1" outlineLevel="7" x14ac:dyDescent="0.2">
      <c r="B3889" s="69">
        <v>2926</v>
      </c>
      <c r="C3889" s="6" t="s">
        <v>12296</v>
      </c>
      <c r="D3889" s="6" t="s">
        <v>12297</v>
      </c>
      <c r="E3889" s="7" t="s">
        <v>12298</v>
      </c>
      <c r="F3889" s="13"/>
      <c r="G3889" s="14"/>
      <c r="H3889" s="15">
        <v>250</v>
      </c>
      <c r="I3889" s="15">
        <v>25</v>
      </c>
      <c r="J3889" s="17">
        <v>6000</v>
      </c>
      <c r="K3889" s="5">
        <v>250</v>
      </c>
      <c r="L3889" s="16">
        <v>6.5333333333333341</v>
      </c>
      <c r="M3889" s="12"/>
      <c r="N3889" s="14">
        <f t="shared" si="174"/>
        <v>0</v>
      </c>
      <c r="O3889" s="23">
        <f>0.037*M3889</f>
        <v>0</v>
      </c>
      <c r="P3889" s="24">
        <f>0.00007*M3889</f>
        <v>0</v>
      </c>
      <c r="Q3889" s="25"/>
      <c r="R3889" s="26" t="s">
        <v>12299</v>
      </c>
      <c r="S3889" s="26" t="s">
        <v>29</v>
      </c>
      <c r="T3889" s="6" t="str">
        <f>HYPERLINK("https://kanzpp.ru/api/getInfo/image/c9be5325-dada-11ee-a25a-00155d82e908")</f>
        <v>https://kanzpp.ru/api/getInfo/image/c9be5325-dada-11ee-a25a-00155d82e908</v>
      </c>
      <c r="U3889" s="6"/>
      <c r="V3889" s="33" t="s">
        <v>35</v>
      </c>
    </row>
    <row r="3890" spans="2:22" ht="21" customHeight="1" outlineLevel="7" x14ac:dyDescent="0.2">
      <c r="B3890" s="69">
        <v>2927</v>
      </c>
      <c r="C3890" s="6" t="s">
        <v>12300</v>
      </c>
      <c r="D3890" s="6" t="s">
        <v>12301</v>
      </c>
      <c r="E3890" s="7" t="s">
        <v>12302</v>
      </c>
      <c r="F3890" s="13"/>
      <c r="G3890" s="14"/>
      <c r="H3890" s="15">
        <v>240</v>
      </c>
      <c r="I3890" s="15">
        <v>20</v>
      </c>
      <c r="J3890" s="17">
        <v>15960</v>
      </c>
      <c r="K3890" s="5">
        <v>240</v>
      </c>
      <c r="L3890" s="16">
        <v>10.533333333333333</v>
      </c>
      <c r="M3890" s="12"/>
      <c r="N3890" s="14">
        <f t="shared" si="174"/>
        <v>0</v>
      </c>
      <c r="O3890" s="23">
        <f>0.031*M3890</f>
        <v>0</v>
      </c>
      <c r="P3890" s="24">
        <f>0.00007*M3890</f>
        <v>0</v>
      </c>
      <c r="Q3890" s="25"/>
      <c r="R3890" s="26" t="s">
        <v>12303</v>
      </c>
      <c r="S3890" s="26" t="s">
        <v>29</v>
      </c>
      <c r="T3890" s="6" t="str">
        <f>HYPERLINK("https://kanzpp.ru/api/getInfo/image/ad859119-9ffc-11ee-a257-00155d82e908")</f>
        <v>https://kanzpp.ru/api/getInfo/image/ad859119-9ffc-11ee-a257-00155d82e908</v>
      </c>
      <c r="U3890" s="6"/>
      <c r="V3890" s="33" t="s">
        <v>35</v>
      </c>
    </row>
    <row r="3891" spans="2:22" ht="21" customHeight="1" outlineLevel="7" x14ac:dyDescent="0.2">
      <c r="B3891" s="69">
        <v>2928</v>
      </c>
      <c r="C3891" s="6" t="s">
        <v>12304</v>
      </c>
      <c r="D3891" s="6" t="s">
        <v>12305</v>
      </c>
      <c r="E3891" s="7" t="s">
        <v>12306</v>
      </c>
      <c r="F3891" s="13"/>
      <c r="G3891" s="14"/>
      <c r="H3891" s="15">
        <v>250</v>
      </c>
      <c r="I3891" s="15">
        <v>25</v>
      </c>
      <c r="J3891" s="17">
        <v>5226</v>
      </c>
      <c r="K3891" s="5">
        <v>250</v>
      </c>
      <c r="L3891" s="16">
        <v>10.533333333333333</v>
      </c>
      <c r="M3891" s="12"/>
      <c r="N3891" s="14">
        <f t="shared" si="174"/>
        <v>0</v>
      </c>
      <c r="O3891" s="23">
        <f>0.037*M3891</f>
        <v>0</v>
      </c>
      <c r="P3891" s="24">
        <f>0.00003*M3891</f>
        <v>0</v>
      </c>
      <c r="Q3891" s="25"/>
      <c r="R3891" s="26" t="s">
        <v>12307</v>
      </c>
      <c r="S3891" s="26" t="s">
        <v>29</v>
      </c>
      <c r="T3891" s="6" t="str">
        <f>HYPERLINK("https://kanzpp.ru/api/getInfo/image/d398e0d8-de7b-11e7-b2c3-5cf3fc4a2490")</f>
        <v>https://kanzpp.ru/api/getInfo/image/d398e0d8-de7b-11e7-b2c3-5cf3fc4a2490</v>
      </c>
      <c r="U3891" s="6"/>
      <c r="V3891" s="33" t="s">
        <v>35</v>
      </c>
    </row>
    <row r="3892" spans="2:22" ht="21" customHeight="1" outlineLevel="7" x14ac:dyDescent="0.2">
      <c r="B3892" s="69">
        <v>2929</v>
      </c>
      <c r="C3892" s="6" t="s">
        <v>12308</v>
      </c>
      <c r="D3892" s="6" t="s">
        <v>12309</v>
      </c>
      <c r="E3892" s="7" t="s">
        <v>12310</v>
      </c>
      <c r="F3892" s="13"/>
      <c r="G3892" s="14"/>
      <c r="H3892" s="15">
        <v>250</v>
      </c>
      <c r="I3892" s="15">
        <v>25</v>
      </c>
      <c r="J3892" s="17">
        <v>14612</v>
      </c>
      <c r="K3892" s="5">
        <v>250</v>
      </c>
      <c r="L3892" s="16">
        <v>10.533333333333333</v>
      </c>
      <c r="M3892" s="12"/>
      <c r="N3892" s="14">
        <f t="shared" si="174"/>
        <v>0</v>
      </c>
      <c r="O3892" s="28">
        <f>0.04*M3892</f>
        <v>0</v>
      </c>
      <c r="P3892" s="24">
        <f>0.00003*M3892</f>
        <v>0</v>
      </c>
      <c r="Q3892" s="25"/>
      <c r="R3892" s="26" t="s">
        <v>12311</v>
      </c>
      <c r="S3892" s="26" t="s">
        <v>29</v>
      </c>
      <c r="T3892" s="6" t="str">
        <f>HYPERLINK("https://kanzpp.ru/api/getInfo/image/5e823a31-0e26-11eb-a25b-ac1f6b442184")</f>
        <v>https://kanzpp.ru/api/getInfo/image/5e823a31-0e26-11eb-a25b-ac1f6b442184</v>
      </c>
      <c r="U3892" s="6"/>
      <c r="V3892" s="33" t="s">
        <v>35</v>
      </c>
    </row>
    <row r="3893" spans="2:22" ht="21" customHeight="1" outlineLevel="7" x14ac:dyDescent="0.2">
      <c r="B3893" s="69">
        <v>2930</v>
      </c>
      <c r="C3893" s="6" t="s">
        <v>12312</v>
      </c>
      <c r="D3893" s="6" t="s">
        <v>12313</v>
      </c>
      <c r="E3893" s="7" t="s">
        <v>12314</v>
      </c>
      <c r="F3893" s="13"/>
      <c r="G3893" s="14"/>
      <c r="H3893" s="15">
        <v>250</v>
      </c>
      <c r="I3893" s="15">
        <v>25</v>
      </c>
      <c r="J3893" s="14" t="s">
        <v>144</v>
      </c>
      <c r="K3893" s="5">
        <v>250</v>
      </c>
      <c r="L3893" s="16">
        <v>13.200000000000001</v>
      </c>
      <c r="M3893" s="12"/>
      <c r="N3893" s="14">
        <f t="shared" si="174"/>
        <v>0</v>
      </c>
      <c r="O3893" s="23">
        <f>0.036*M3893</f>
        <v>0</v>
      </c>
      <c r="P3893" s="31">
        <f>0.0001*M3893</f>
        <v>0</v>
      </c>
      <c r="Q3893" s="25"/>
      <c r="R3893" s="26" t="s">
        <v>12315</v>
      </c>
      <c r="S3893" s="26" t="s">
        <v>29</v>
      </c>
      <c r="T3893" s="6" t="str">
        <f>HYPERLINK("https://kanzpp.ru/api/getInfo/image/06041609-fa17-11ed-a239-00155d82e902")</f>
        <v>https://kanzpp.ru/api/getInfo/image/06041609-fa17-11ed-a239-00155d82e902</v>
      </c>
      <c r="U3893" s="6"/>
      <c r="V3893" s="33" t="s">
        <v>35</v>
      </c>
    </row>
    <row r="3894" spans="2:22" ht="21" customHeight="1" outlineLevel="7" x14ac:dyDescent="0.2">
      <c r="B3894" s="69">
        <v>2931</v>
      </c>
      <c r="C3894" s="6" t="s">
        <v>12316</v>
      </c>
      <c r="D3894" s="6" t="s">
        <v>12317</v>
      </c>
      <c r="E3894" s="7" t="s">
        <v>12318</v>
      </c>
      <c r="F3894" s="13"/>
      <c r="G3894" s="14"/>
      <c r="H3894" s="15">
        <v>250</v>
      </c>
      <c r="I3894" s="15">
        <v>25</v>
      </c>
      <c r="J3894" s="17">
        <v>1025</v>
      </c>
      <c r="K3894" s="5">
        <v>250</v>
      </c>
      <c r="L3894" s="16">
        <v>10.533333333333333</v>
      </c>
      <c r="M3894" s="12"/>
      <c r="N3894" s="14">
        <f t="shared" si="174"/>
        <v>0</v>
      </c>
      <c r="O3894" s="23">
        <f>0.039*M3894</f>
        <v>0</v>
      </c>
      <c r="P3894" s="24">
        <f>0.00007*M3894</f>
        <v>0</v>
      </c>
      <c r="Q3894" s="25"/>
      <c r="R3894" s="26" t="s">
        <v>12319</v>
      </c>
      <c r="S3894" s="26" t="s">
        <v>29</v>
      </c>
      <c r="T3894" s="6" t="str">
        <f>HYPERLINK("https://kanzpp.ru/api/getInfo/image/b3bda993-facd-11ed-a239-00155d82e902")</f>
        <v>https://kanzpp.ru/api/getInfo/image/b3bda993-facd-11ed-a239-00155d82e902</v>
      </c>
      <c r="U3894" s="6"/>
      <c r="V3894" s="33" t="s">
        <v>35</v>
      </c>
    </row>
    <row r="3895" spans="2:22" ht="21" customHeight="1" outlineLevel="7" x14ac:dyDescent="0.2">
      <c r="B3895" s="69">
        <v>2932</v>
      </c>
      <c r="C3895" s="6" t="s">
        <v>12320</v>
      </c>
      <c r="D3895" s="6" t="s">
        <v>12321</v>
      </c>
      <c r="E3895" s="7" t="s">
        <v>12322</v>
      </c>
      <c r="F3895" s="13"/>
      <c r="G3895" s="14"/>
      <c r="H3895" s="15">
        <v>250</v>
      </c>
      <c r="I3895" s="15">
        <v>25</v>
      </c>
      <c r="J3895" s="17">
        <v>8725</v>
      </c>
      <c r="K3895" s="5">
        <v>250</v>
      </c>
      <c r="L3895" s="16">
        <v>10.533333333333333</v>
      </c>
      <c r="M3895" s="12"/>
      <c r="N3895" s="14">
        <f t="shared" si="174"/>
        <v>0</v>
      </c>
      <c r="O3895" s="23">
        <f>0.032*M3895</f>
        <v>0</v>
      </c>
      <c r="P3895" s="24">
        <f>0.00014*M3895</f>
        <v>0</v>
      </c>
      <c r="Q3895" s="25"/>
      <c r="R3895" s="26" t="s">
        <v>12323</v>
      </c>
      <c r="S3895" s="26" t="s">
        <v>29</v>
      </c>
      <c r="T3895" s="6" t="str">
        <f>HYPERLINK("https://kanzpp.ru/api/getInfo/image/2ced0cb7-facc-11ed-a239-00155d82e902")</f>
        <v>https://kanzpp.ru/api/getInfo/image/2ced0cb7-facc-11ed-a239-00155d82e902</v>
      </c>
      <c r="U3895" s="6"/>
      <c r="V3895" s="33" t="s">
        <v>35</v>
      </c>
    </row>
    <row r="3896" spans="2:22" ht="21" customHeight="1" outlineLevel="7" x14ac:dyDescent="0.2">
      <c r="B3896" s="69">
        <v>2933</v>
      </c>
      <c r="C3896" s="6" t="s">
        <v>12324</v>
      </c>
      <c r="D3896" s="6" t="s">
        <v>12325</v>
      </c>
      <c r="E3896" s="7" t="s">
        <v>12326</v>
      </c>
      <c r="F3896" s="13"/>
      <c r="G3896" s="14"/>
      <c r="H3896" s="15">
        <v>250</v>
      </c>
      <c r="I3896" s="15">
        <v>25</v>
      </c>
      <c r="J3896" s="15">
        <v>800</v>
      </c>
      <c r="K3896" s="5">
        <v>250</v>
      </c>
      <c r="L3896" s="16">
        <v>10.533333333333333</v>
      </c>
      <c r="M3896" s="12"/>
      <c r="N3896" s="14">
        <f t="shared" si="174"/>
        <v>0</v>
      </c>
      <c r="O3896" s="23">
        <f>0.036*M3896</f>
        <v>0</v>
      </c>
      <c r="P3896" s="24">
        <f>0.00014*M3896</f>
        <v>0</v>
      </c>
      <c r="Q3896" s="25"/>
      <c r="R3896" s="26" t="s">
        <v>12327</v>
      </c>
      <c r="S3896" s="26" t="s">
        <v>29</v>
      </c>
      <c r="T3896" s="6" t="str">
        <f>HYPERLINK("https://kanzpp.ru/api/getInfo/image/be288723-facc-11ed-a239-00155d82e902")</f>
        <v>https://kanzpp.ru/api/getInfo/image/be288723-facc-11ed-a239-00155d82e902</v>
      </c>
      <c r="U3896" s="6"/>
      <c r="V3896" s="33" t="s">
        <v>35</v>
      </c>
    </row>
    <row r="3897" spans="2:22" ht="21" customHeight="1" outlineLevel="7" x14ac:dyDescent="0.2">
      <c r="B3897" s="69">
        <v>2934</v>
      </c>
      <c r="C3897" s="6" t="s">
        <v>12328</v>
      </c>
      <c r="D3897" s="6" t="s">
        <v>12329</v>
      </c>
      <c r="E3897" s="7" t="s">
        <v>12330</v>
      </c>
      <c r="F3897" s="13"/>
      <c r="G3897" s="14"/>
      <c r="H3897" s="15">
        <v>250</v>
      </c>
      <c r="I3897" s="15">
        <v>25</v>
      </c>
      <c r="J3897" s="14" t="s">
        <v>144</v>
      </c>
      <c r="K3897" s="5">
        <v>250</v>
      </c>
      <c r="L3897" s="16">
        <v>10.533333333333333</v>
      </c>
      <c r="M3897" s="12"/>
      <c r="N3897" s="14">
        <f t="shared" si="174"/>
        <v>0</v>
      </c>
      <c r="O3897" s="23">
        <f>0.037*M3897</f>
        <v>0</v>
      </c>
      <c r="P3897" s="24">
        <f>0.00007*M3897</f>
        <v>0</v>
      </c>
      <c r="Q3897" s="25"/>
      <c r="R3897" s="26" t="s">
        <v>12331</v>
      </c>
      <c r="S3897" s="26" t="s">
        <v>29</v>
      </c>
      <c r="T3897" s="6"/>
      <c r="U3897" s="6"/>
      <c r="V3897" s="33" t="s">
        <v>35</v>
      </c>
    </row>
    <row r="3898" spans="2:22" ht="22.95" customHeight="1" outlineLevel="5" x14ac:dyDescent="0.2">
      <c r="B3898" s="83" t="s">
        <v>12332</v>
      </c>
      <c r="C3898" s="83"/>
      <c r="D3898" s="83"/>
      <c r="L3898">
        <v>0</v>
      </c>
    </row>
    <row r="3899" spans="2:22" ht="22.95" customHeight="1" outlineLevel="6" x14ac:dyDescent="0.2">
      <c r="B3899" s="84" t="s">
        <v>12333</v>
      </c>
      <c r="C3899" s="84"/>
      <c r="D3899" s="84"/>
      <c r="L3899">
        <v>0</v>
      </c>
    </row>
    <row r="3900" spans="2:22" ht="22.95" customHeight="1" outlineLevel="7" x14ac:dyDescent="0.2">
      <c r="B3900" s="85" t="s">
        <v>12334</v>
      </c>
      <c r="C3900" s="85"/>
      <c r="D3900" s="85"/>
      <c r="L3900">
        <v>0</v>
      </c>
    </row>
    <row r="3901" spans="2:22" ht="21" customHeight="1" outlineLevel="7" x14ac:dyDescent="0.2">
      <c r="B3901" s="71">
        <v>2935</v>
      </c>
      <c r="C3901" s="37" t="s">
        <v>12335</v>
      </c>
      <c r="D3901" s="37" t="s">
        <v>12336</v>
      </c>
      <c r="E3901" s="38" t="s">
        <v>12337</v>
      </c>
      <c r="F3901" s="39"/>
      <c r="G3901" s="40"/>
      <c r="H3901" s="41">
        <v>240</v>
      </c>
      <c r="I3901" s="41">
        <v>10</v>
      </c>
      <c r="J3901" s="50">
        <v>4678</v>
      </c>
      <c r="K3901" s="36">
        <v>240</v>
      </c>
      <c r="L3901" s="42">
        <f>(16.34*(1-O3/100))/0.75</f>
        <v>21.786666666666665</v>
      </c>
      <c r="M3901" s="12"/>
      <c r="N3901" s="40">
        <f>L3901*M3901</f>
        <v>0</v>
      </c>
      <c r="O3901" s="43">
        <f>0.108*M3901</f>
        <v>0</v>
      </c>
      <c r="P3901" s="47">
        <f>0.00021*M3901</f>
        <v>0</v>
      </c>
      <c r="Q3901" s="44"/>
      <c r="R3901" s="45" t="s">
        <v>12338</v>
      </c>
      <c r="S3901" s="45" t="s">
        <v>29</v>
      </c>
      <c r="T3901" s="37" t="str">
        <f>HYPERLINK("https://kanzpp.ru/api/getInfo/image/066f224a-19a2-11ef-a25d-00155d82e908")</f>
        <v>https://kanzpp.ru/api/getInfo/image/066f224a-19a2-11ef-a25d-00155d82e908</v>
      </c>
      <c r="U3901" s="37"/>
    </row>
    <row r="3902" spans="2:22" ht="21" customHeight="1" outlineLevel="7" x14ac:dyDescent="0.2">
      <c r="B3902" s="71">
        <v>2936</v>
      </c>
      <c r="C3902" s="37" t="s">
        <v>12339</v>
      </c>
      <c r="D3902" s="37" t="s">
        <v>12340</v>
      </c>
      <c r="E3902" s="38" t="s">
        <v>12341</v>
      </c>
      <c r="F3902" s="39"/>
      <c r="G3902" s="40"/>
      <c r="H3902" s="41">
        <v>240</v>
      </c>
      <c r="I3902" s="41">
        <v>10</v>
      </c>
      <c r="J3902" s="50">
        <v>5050</v>
      </c>
      <c r="K3902" s="36">
        <v>240</v>
      </c>
      <c r="L3902" s="42">
        <f>(16.34*(1-O3/100))/0.75</f>
        <v>21.786666666666665</v>
      </c>
      <c r="M3902" s="12"/>
      <c r="N3902" s="40">
        <f>L3902*M3902</f>
        <v>0</v>
      </c>
      <c r="O3902" s="43">
        <f>0.108*M3902</f>
        <v>0</v>
      </c>
      <c r="P3902" s="47">
        <f>0.00021*M3902</f>
        <v>0</v>
      </c>
      <c r="Q3902" s="44"/>
      <c r="R3902" s="45" t="s">
        <v>12342</v>
      </c>
      <c r="S3902" s="45" t="s">
        <v>29</v>
      </c>
      <c r="T3902" s="37" t="str">
        <f>HYPERLINK("https://kanzpp.ru/api/getInfo/image/2598c5c3-19a2-11ef-a25d-00155d82e908")</f>
        <v>https://kanzpp.ru/api/getInfo/image/2598c5c3-19a2-11ef-a25d-00155d82e908</v>
      </c>
      <c r="U3902" s="37"/>
    </row>
    <row r="3903" spans="2:22" ht="22.95" customHeight="1" outlineLevel="7" x14ac:dyDescent="0.2">
      <c r="B3903" s="85" t="s">
        <v>12343</v>
      </c>
      <c r="C3903" s="85"/>
      <c r="D3903" s="85"/>
      <c r="L3903">
        <v>0</v>
      </c>
    </row>
    <row r="3904" spans="2:22" ht="21" customHeight="1" outlineLevel="7" x14ac:dyDescent="0.2">
      <c r="B3904" s="71">
        <v>2937</v>
      </c>
      <c r="C3904" s="37" t="s">
        <v>12344</v>
      </c>
      <c r="D3904" s="37" t="s">
        <v>12345</v>
      </c>
      <c r="E3904" s="38" t="s">
        <v>12346</v>
      </c>
      <c r="F3904" s="39"/>
      <c r="G3904" s="40"/>
      <c r="H3904" s="41">
        <v>240</v>
      </c>
      <c r="I3904" s="41">
        <v>10</v>
      </c>
      <c r="J3904" s="41">
        <v>710</v>
      </c>
      <c r="K3904" s="36">
        <v>240</v>
      </c>
      <c r="L3904" s="42">
        <f>(16.34*(1-O3/100))/0.75</f>
        <v>21.786666666666665</v>
      </c>
      <c r="M3904" s="12"/>
      <c r="N3904" s="40">
        <f>L3904*M3904</f>
        <v>0</v>
      </c>
      <c r="O3904" s="43">
        <f>0.034*M3904</f>
        <v>0</v>
      </c>
      <c r="P3904" s="46">
        <f>0.0001*M3904</f>
        <v>0</v>
      </c>
      <c r="Q3904" s="44"/>
      <c r="R3904" s="45" t="s">
        <v>12347</v>
      </c>
      <c r="S3904" s="45" t="s">
        <v>29</v>
      </c>
      <c r="T3904" s="37" t="str">
        <f>HYPERLINK("https://kanzpp.ru/api/getInfo/image/fc609a6d-19a3-11ef-a25d-00155d82e908")</f>
        <v>https://kanzpp.ru/api/getInfo/image/fc609a6d-19a3-11ef-a25d-00155d82e908</v>
      </c>
      <c r="U3904" s="37"/>
    </row>
    <row r="3905" spans="2:22" ht="22.95" customHeight="1" outlineLevel="7" x14ac:dyDescent="0.2">
      <c r="B3905" s="85" t="s">
        <v>12348</v>
      </c>
      <c r="C3905" s="85"/>
      <c r="D3905" s="85"/>
      <c r="L3905">
        <v>0</v>
      </c>
    </row>
    <row r="3906" spans="2:22" ht="21" customHeight="1" outlineLevel="7" x14ac:dyDescent="0.2">
      <c r="B3906" s="71">
        <v>2938</v>
      </c>
      <c r="C3906" s="37" t="s">
        <v>12349</v>
      </c>
      <c r="D3906" s="37" t="s">
        <v>12350</v>
      </c>
      <c r="E3906" s="38" t="s">
        <v>12351</v>
      </c>
      <c r="F3906" s="39"/>
      <c r="G3906" s="40"/>
      <c r="H3906" s="41">
        <v>240</v>
      </c>
      <c r="I3906" s="41">
        <v>10</v>
      </c>
      <c r="J3906" s="41">
        <v>730</v>
      </c>
      <c r="K3906" s="36">
        <v>240</v>
      </c>
      <c r="L3906" s="42">
        <f>(16.34*(1-O3/100))/0.75</f>
        <v>21.786666666666665</v>
      </c>
      <c r="M3906" s="12"/>
      <c r="N3906" s="40">
        <f>L3906*M3906</f>
        <v>0</v>
      </c>
      <c r="O3906" s="43">
        <f>0.039*M3906</f>
        <v>0</v>
      </c>
      <c r="P3906" s="47">
        <f>0.00007*M3906</f>
        <v>0</v>
      </c>
      <c r="Q3906" s="44"/>
      <c r="R3906" s="45" t="s">
        <v>12352</v>
      </c>
      <c r="S3906" s="45" t="s">
        <v>29</v>
      </c>
      <c r="T3906" s="37" t="str">
        <f>HYPERLINK("https://kanzpp.ru/api/getInfo/image/8c412d22-19a5-11ef-a25d-00155d82e908")</f>
        <v>https://kanzpp.ru/api/getInfo/image/8c412d22-19a5-11ef-a25d-00155d82e908</v>
      </c>
      <c r="U3906" s="37"/>
    </row>
    <row r="3907" spans="2:22" ht="22.95" customHeight="1" outlineLevel="6" x14ac:dyDescent="0.2">
      <c r="B3907" s="84" t="s">
        <v>12353</v>
      </c>
      <c r="C3907" s="84"/>
      <c r="D3907" s="84"/>
      <c r="L3907">
        <v>0</v>
      </c>
    </row>
    <row r="3908" spans="2:22" ht="22.95" customHeight="1" outlineLevel="7" x14ac:dyDescent="0.2">
      <c r="B3908" s="85" t="s">
        <v>12354</v>
      </c>
      <c r="C3908" s="85"/>
      <c r="D3908" s="85"/>
      <c r="L3908">
        <v>0</v>
      </c>
    </row>
    <row r="3909" spans="2:22" ht="21" customHeight="1" outlineLevel="7" x14ac:dyDescent="0.2">
      <c r="B3909" s="71">
        <v>2939</v>
      </c>
      <c r="C3909" s="37" t="s">
        <v>12355</v>
      </c>
      <c r="D3909" s="37" t="s">
        <v>12356</v>
      </c>
      <c r="E3909" s="38" t="s">
        <v>12357</v>
      </c>
      <c r="F3909" s="39"/>
      <c r="G3909" s="40"/>
      <c r="H3909" s="41">
        <v>240</v>
      </c>
      <c r="I3909" s="41">
        <v>10</v>
      </c>
      <c r="J3909" s="41">
        <v>290</v>
      </c>
      <c r="K3909" s="36">
        <v>240</v>
      </c>
      <c r="L3909" s="42">
        <f>(16.34*(1-O3/100))/0.75</f>
        <v>21.786666666666665</v>
      </c>
      <c r="M3909" s="12"/>
      <c r="N3909" s="40">
        <f>L3909*M3909</f>
        <v>0</v>
      </c>
      <c r="O3909" s="48">
        <f>0.04*M3909</f>
        <v>0</v>
      </c>
      <c r="P3909" s="46">
        <f>0.0002*M3909</f>
        <v>0</v>
      </c>
      <c r="Q3909" s="44"/>
      <c r="R3909" s="45" t="s">
        <v>12358</v>
      </c>
      <c r="S3909" s="45" t="s">
        <v>29</v>
      </c>
      <c r="T3909" s="37" t="str">
        <f>HYPERLINK("https://kanzpp.ru/api/getInfo/image/f874fb73-19a0-11ef-a25d-00155d82e908")</f>
        <v>https://kanzpp.ru/api/getInfo/image/f874fb73-19a0-11ef-a25d-00155d82e908</v>
      </c>
      <c r="U3909" s="37"/>
    </row>
    <row r="3910" spans="2:22" ht="22.95" customHeight="1" outlineLevel="5" x14ac:dyDescent="0.2">
      <c r="B3910" s="83" t="s">
        <v>12359</v>
      </c>
      <c r="C3910" s="83"/>
      <c r="D3910" s="83"/>
      <c r="L3910">
        <v>0</v>
      </c>
    </row>
    <row r="3911" spans="2:22" ht="22.95" customHeight="1" outlineLevel="6" x14ac:dyDescent="0.2">
      <c r="B3911" s="84" t="s">
        <v>12360</v>
      </c>
      <c r="C3911" s="84"/>
      <c r="D3911" s="84"/>
      <c r="L3911">
        <v>0</v>
      </c>
    </row>
    <row r="3912" spans="2:22" ht="21" customHeight="1" outlineLevel="7" x14ac:dyDescent="0.2">
      <c r="B3912" s="69">
        <v>2940</v>
      </c>
      <c r="C3912" s="6" t="s">
        <v>12361</v>
      </c>
      <c r="D3912" s="6" t="s">
        <v>12362</v>
      </c>
      <c r="E3912" s="7" t="s">
        <v>12363</v>
      </c>
      <c r="F3912" s="13"/>
      <c r="G3912" s="14"/>
      <c r="H3912" s="15">
        <v>140</v>
      </c>
      <c r="I3912" s="15">
        <v>10</v>
      </c>
      <c r="J3912" s="17">
        <v>20000</v>
      </c>
      <c r="K3912" s="5">
        <v>140</v>
      </c>
      <c r="L3912" s="16">
        <v>12.773333333333333</v>
      </c>
      <c r="M3912" s="12"/>
      <c r="N3912" s="14">
        <f t="shared" ref="N3912:N3917" si="175">L3912*M3912</f>
        <v>0</v>
      </c>
      <c r="O3912" s="23">
        <f>0.037*M3912</f>
        <v>0</v>
      </c>
      <c r="P3912" s="24">
        <f>0.00003*M3912</f>
        <v>0</v>
      </c>
      <c r="Q3912" s="25"/>
      <c r="R3912" s="26" t="s">
        <v>12364</v>
      </c>
      <c r="S3912" s="26" t="s">
        <v>29</v>
      </c>
      <c r="T3912" s="6" t="str">
        <f>HYPERLINK("https://kanzpp.ru/api/getInfo/image/181eeb9a-960a-11ec-a211-ac1f6b442185")</f>
        <v>https://kanzpp.ru/api/getInfo/image/181eeb9a-960a-11ec-a211-ac1f6b442185</v>
      </c>
      <c r="U3912" s="6"/>
      <c r="V3912" s="33" t="s">
        <v>35</v>
      </c>
    </row>
    <row r="3913" spans="2:22" ht="21" customHeight="1" outlineLevel="7" x14ac:dyDescent="0.2">
      <c r="B3913" s="69">
        <v>2941</v>
      </c>
      <c r="C3913" s="6" t="s">
        <v>12365</v>
      </c>
      <c r="D3913" s="6" t="s">
        <v>12366</v>
      </c>
      <c r="E3913" s="7" t="s">
        <v>12367</v>
      </c>
      <c r="F3913" s="13"/>
      <c r="G3913" s="14"/>
      <c r="H3913" s="15">
        <v>140</v>
      </c>
      <c r="I3913" s="15">
        <v>10</v>
      </c>
      <c r="J3913" s="17">
        <v>15130</v>
      </c>
      <c r="K3913" s="5">
        <v>140</v>
      </c>
      <c r="L3913" s="16">
        <v>12.773333333333333</v>
      </c>
      <c r="M3913" s="12"/>
      <c r="N3913" s="14">
        <f t="shared" si="175"/>
        <v>0</v>
      </c>
      <c r="O3913" s="23">
        <f>0.037*M3913</f>
        <v>0</v>
      </c>
      <c r="P3913" s="24">
        <f>0.00003*M3913</f>
        <v>0</v>
      </c>
      <c r="Q3913" s="25"/>
      <c r="R3913" s="26" t="s">
        <v>12368</v>
      </c>
      <c r="S3913" s="26" t="s">
        <v>29</v>
      </c>
      <c r="T3913" s="6" t="str">
        <f>HYPERLINK("https://kanzpp.ru/api/getInfo/image/7030013a-9609-11ec-a211-ac1f6b442185")</f>
        <v>https://kanzpp.ru/api/getInfo/image/7030013a-9609-11ec-a211-ac1f6b442185</v>
      </c>
      <c r="U3913" s="6"/>
      <c r="V3913" s="33" t="s">
        <v>35</v>
      </c>
    </row>
    <row r="3914" spans="2:22" ht="21" customHeight="1" outlineLevel="7" x14ac:dyDescent="0.2">
      <c r="B3914" s="69">
        <v>2942</v>
      </c>
      <c r="C3914" s="6" t="s">
        <v>12369</v>
      </c>
      <c r="D3914" s="6" t="s">
        <v>12370</v>
      </c>
      <c r="E3914" s="7" t="s">
        <v>12371</v>
      </c>
      <c r="F3914" s="13"/>
      <c r="G3914" s="14"/>
      <c r="H3914" s="15">
        <v>140</v>
      </c>
      <c r="I3914" s="15">
        <v>10</v>
      </c>
      <c r="J3914" s="14" t="s">
        <v>144</v>
      </c>
      <c r="K3914" s="5">
        <v>140</v>
      </c>
      <c r="L3914" s="16">
        <v>12.773333333333333</v>
      </c>
      <c r="M3914" s="12"/>
      <c r="N3914" s="14">
        <f t="shared" si="175"/>
        <v>0</v>
      </c>
      <c r="O3914" s="23">
        <f>0.037*M3914</f>
        <v>0</v>
      </c>
      <c r="P3914" s="24">
        <f>0.00003*M3914</f>
        <v>0</v>
      </c>
      <c r="Q3914" s="25"/>
      <c r="R3914" s="26" t="s">
        <v>12372</v>
      </c>
      <c r="S3914" s="26" t="s">
        <v>29</v>
      </c>
      <c r="T3914" s="6" t="str">
        <f>HYPERLINK("https://kanzpp.ru/api/getInfo/image/e87f6e62-9609-11ec-a211-ac1f6b442185")</f>
        <v>https://kanzpp.ru/api/getInfo/image/e87f6e62-9609-11ec-a211-ac1f6b442185</v>
      </c>
      <c r="U3914" s="6"/>
      <c r="V3914" s="33" t="s">
        <v>35</v>
      </c>
    </row>
    <row r="3915" spans="2:22" ht="21" customHeight="1" outlineLevel="7" x14ac:dyDescent="0.2">
      <c r="B3915" s="69">
        <v>2943</v>
      </c>
      <c r="C3915" s="6" t="s">
        <v>12373</v>
      </c>
      <c r="D3915" s="6" t="s">
        <v>12374</v>
      </c>
      <c r="E3915" s="7" t="s">
        <v>12375</v>
      </c>
      <c r="F3915" s="13"/>
      <c r="G3915" s="14"/>
      <c r="H3915" s="15">
        <v>140</v>
      </c>
      <c r="I3915" s="15">
        <v>10</v>
      </c>
      <c r="J3915" s="14" t="s">
        <v>144</v>
      </c>
      <c r="K3915" s="5">
        <v>140</v>
      </c>
      <c r="L3915" s="16">
        <v>12.773333333333333</v>
      </c>
      <c r="M3915" s="12"/>
      <c r="N3915" s="14">
        <f t="shared" si="175"/>
        <v>0</v>
      </c>
      <c r="O3915" s="23">
        <f>0.048*M3915</f>
        <v>0</v>
      </c>
      <c r="P3915" s="24">
        <f>0.00014*M3915</f>
        <v>0</v>
      </c>
      <c r="Q3915" s="25"/>
      <c r="R3915" s="26" t="s">
        <v>12376</v>
      </c>
      <c r="S3915" s="26" t="s">
        <v>29</v>
      </c>
      <c r="T3915" s="6" t="str">
        <f>HYPERLINK("https://kanzpp.ru/api/getInfo/image/461f85ad-960a-11ec-a211-ac1f6b442185")</f>
        <v>https://kanzpp.ru/api/getInfo/image/461f85ad-960a-11ec-a211-ac1f6b442185</v>
      </c>
      <c r="U3915" s="6"/>
      <c r="V3915" s="33" t="s">
        <v>35</v>
      </c>
    </row>
    <row r="3916" spans="2:22" ht="21" customHeight="1" outlineLevel="7" x14ac:dyDescent="0.2">
      <c r="B3916" s="69">
        <v>2944</v>
      </c>
      <c r="C3916" s="6" t="s">
        <v>12377</v>
      </c>
      <c r="D3916" s="6" t="s">
        <v>12378</v>
      </c>
      <c r="E3916" s="7" t="s">
        <v>12379</v>
      </c>
      <c r="F3916" s="13"/>
      <c r="G3916" s="14"/>
      <c r="H3916" s="15">
        <v>140</v>
      </c>
      <c r="I3916" s="15">
        <v>10</v>
      </c>
      <c r="J3916" s="14" t="s">
        <v>144</v>
      </c>
      <c r="K3916" s="5">
        <v>140</v>
      </c>
      <c r="L3916" s="16">
        <v>12.773333333333333</v>
      </c>
      <c r="M3916" s="12"/>
      <c r="N3916" s="14">
        <f t="shared" si="175"/>
        <v>0</v>
      </c>
      <c r="O3916" s="23">
        <f>0.048*M3916</f>
        <v>0</v>
      </c>
      <c r="P3916" s="24">
        <f>0.00014*M3916</f>
        <v>0</v>
      </c>
      <c r="Q3916" s="25"/>
      <c r="R3916" s="26" t="s">
        <v>12380</v>
      </c>
      <c r="S3916" s="26" t="s">
        <v>29</v>
      </c>
      <c r="T3916" s="6" t="str">
        <f>HYPERLINK("https://kanzpp.ru/api/getInfo/image/7044fa8c-960a-11ec-a211-ac1f6b442185")</f>
        <v>https://kanzpp.ru/api/getInfo/image/7044fa8c-960a-11ec-a211-ac1f6b442185</v>
      </c>
      <c r="U3916" s="6"/>
      <c r="V3916" s="33" t="s">
        <v>35</v>
      </c>
    </row>
    <row r="3917" spans="2:22" ht="21" customHeight="1" outlineLevel="7" x14ac:dyDescent="0.2">
      <c r="B3917" s="69">
        <v>2945</v>
      </c>
      <c r="C3917" s="6" t="s">
        <v>12381</v>
      </c>
      <c r="D3917" s="6" t="s">
        <v>12382</v>
      </c>
      <c r="E3917" s="7" t="s">
        <v>12383</v>
      </c>
      <c r="F3917" s="13"/>
      <c r="G3917" s="14"/>
      <c r="H3917" s="15">
        <v>140</v>
      </c>
      <c r="I3917" s="15">
        <v>10</v>
      </c>
      <c r="J3917" s="17">
        <v>7530</v>
      </c>
      <c r="K3917" s="5">
        <v>140</v>
      </c>
      <c r="L3917" s="16">
        <v>12.773333333333333</v>
      </c>
      <c r="M3917" s="12"/>
      <c r="N3917" s="14">
        <f t="shared" si="175"/>
        <v>0</v>
      </c>
      <c r="O3917" s="23">
        <f>0.044*M3917</f>
        <v>0</v>
      </c>
      <c r="P3917" s="31">
        <f>0.0001*M3917</f>
        <v>0</v>
      </c>
      <c r="Q3917" s="25"/>
      <c r="R3917" s="26" t="s">
        <v>12384</v>
      </c>
      <c r="S3917" s="26" t="s">
        <v>29</v>
      </c>
      <c r="T3917" s="6" t="str">
        <f>HYPERLINK("https://kanzpp.ru/api/getInfo/image/3d62cc84-4e12-11ee-a244-00155d82e902")</f>
        <v>https://kanzpp.ru/api/getInfo/image/3d62cc84-4e12-11ee-a244-00155d82e902</v>
      </c>
      <c r="U3917" s="6"/>
      <c r="V3917" s="33" t="s">
        <v>35</v>
      </c>
    </row>
    <row r="3918" spans="2:22" ht="22.95" customHeight="1" outlineLevel="6" x14ac:dyDescent="0.2">
      <c r="B3918" s="84" t="s">
        <v>12385</v>
      </c>
      <c r="C3918" s="84"/>
      <c r="D3918" s="84"/>
      <c r="L3918">
        <v>0</v>
      </c>
    </row>
    <row r="3919" spans="2:22" ht="21" customHeight="1" outlineLevel="7" x14ac:dyDescent="0.2">
      <c r="B3919" s="69">
        <v>2946</v>
      </c>
      <c r="C3919" s="6" t="s">
        <v>12386</v>
      </c>
      <c r="D3919" s="6" t="s">
        <v>12387</v>
      </c>
      <c r="E3919" s="7" t="s">
        <v>12388</v>
      </c>
      <c r="F3919" s="13"/>
      <c r="G3919" s="14"/>
      <c r="H3919" s="15">
        <v>140</v>
      </c>
      <c r="I3919" s="15">
        <v>10</v>
      </c>
      <c r="J3919" s="17">
        <v>13430</v>
      </c>
      <c r="K3919" s="5">
        <v>140</v>
      </c>
      <c r="L3919" s="16">
        <v>12.773333333333333</v>
      </c>
      <c r="M3919" s="12"/>
      <c r="N3919" s="14">
        <f t="shared" ref="N3919:N3924" si="176">L3919*M3919</f>
        <v>0</v>
      </c>
      <c r="O3919" s="23">
        <f>0.044*M3919</f>
        <v>0</v>
      </c>
      <c r="P3919" s="31">
        <f>0.0001*M3919</f>
        <v>0</v>
      </c>
      <c r="Q3919" s="25"/>
      <c r="R3919" s="26" t="s">
        <v>12389</v>
      </c>
      <c r="S3919" s="26" t="s">
        <v>29</v>
      </c>
      <c r="T3919" s="6" t="str">
        <f>HYPERLINK("https://kanzpp.ru/api/getInfo/image/49dd91db-960b-11ec-a211-ac1f6b442185")</f>
        <v>https://kanzpp.ru/api/getInfo/image/49dd91db-960b-11ec-a211-ac1f6b442185</v>
      </c>
      <c r="U3919" s="6"/>
      <c r="V3919" s="33" t="s">
        <v>35</v>
      </c>
    </row>
    <row r="3920" spans="2:22" ht="21" customHeight="1" outlineLevel="7" x14ac:dyDescent="0.2">
      <c r="B3920" s="69">
        <v>2947</v>
      </c>
      <c r="C3920" s="6" t="s">
        <v>12390</v>
      </c>
      <c r="D3920" s="6" t="s">
        <v>12391</v>
      </c>
      <c r="E3920" s="7" t="s">
        <v>12392</v>
      </c>
      <c r="F3920" s="13"/>
      <c r="G3920" s="14"/>
      <c r="H3920" s="15">
        <v>140</v>
      </c>
      <c r="I3920" s="15">
        <v>10</v>
      </c>
      <c r="J3920" s="17">
        <v>16810</v>
      </c>
      <c r="K3920" s="5">
        <v>140</v>
      </c>
      <c r="L3920" s="16">
        <v>12.773333333333333</v>
      </c>
      <c r="M3920" s="12"/>
      <c r="N3920" s="14">
        <f t="shared" si="176"/>
        <v>0</v>
      </c>
      <c r="O3920" s="23">
        <f>0.044*M3920</f>
        <v>0</v>
      </c>
      <c r="P3920" s="31">
        <f>0.0001*M3920</f>
        <v>0</v>
      </c>
      <c r="Q3920" s="25"/>
      <c r="R3920" s="26" t="s">
        <v>12393</v>
      </c>
      <c r="S3920" s="26" t="s">
        <v>29</v>
      </c>
      <c r="T3920" s="6" t="str">
        <f>HYPERLINK("https://kanzpp.ru/api/getInfo/image/ea334ae2-960a-11ec-a211-ac1f6b442185")</f>
        <v>https://kanzpp.ru/api/getInfo/image/ea334ae2-960a-11ec-a211-ac1f6b442185</v>
      </c>
      <c r="U3920" s="6"/>
      <c r="V3920" s="33" t="s">
        <v>35</v>
      </c>
    </row>
    <row r="3921" spans="2:22" ht="21" customHeight="1" outlineLevel="7" x14ac:dyDescent="0.2">
      <c r="B3921" s="69">
        <v>2948</v>
      </c>
      <c r="C3921" s="6" t="s">
        <v>12394</v>
      </c>
      <c r="D3921" s="6" t="s">
        <v>12395</v>
      </c>
      <c r="E3921" s="7" t="s">
        <v>12396</v>
      </c>
      <c r="F3921" s="13"/>
      <c r="G3921" s="14"/>
      <c r="H3921" s="15">
        <v>140</v>
      </c>
      <c r="I3921" s="15">
        <v>10</v>
      </c>
      <c r="J3921" s="17">
        <v>17170</v>
      </c>
      <c r="K3921" s="5">
        <v>140</v>
      </c>
      <c r="L3921" s="16">
        <v>12.773333333333333</v>
      </c>
      <c r="M3921" s="12"/>
      <c r="N3921" s="14">
        <f t="shared" si="176"/>
        <v>0</v>
      </c>
      <c r="O3921" s="23">
        <f>0.044*M3921</f>
        <v>0</v>
      </c>
      <c r="P3921" s="31">
        <f>0.0001*M3921</f>
        <v>0</v>
      </c>
      <c r="Q3921" s="25"/>
      <c r="R3921" s="26" t="s">
        <v>12397</v>
      </c>
      <c r="S3921" s="26" t="s">
        <v>29</v>
      </c>
      <c r="T3921" s="6" t="str">
        <f>HYPERLINK("https://kanzpp.ru/api/getInfo/image/19a57a80-960b-11ec-a211-ac1f6b442185")</f>
        <v>https://kanzpp.ru/api/getInfo/image/19a57a80-960b-11ec-a211-ac1f6b442185</v>
      </c>
      <c r="U3921" s="6"/>
      <c r="V3921" s="33" t="s">
        <v>35</v>
      </c>
    </row>
    <row r="3922" spans="2:22" ht="21" customHeight="1" outlineLevel="7" x14ac:dyDescent="0.2">
      <c r="B3922" s="69">
        <v>2949</v>
      </c>
      <c r="C3922" s="6" t="s">
        <v>12398</v>
      </c>
      <c r="D3922" s="6" t="s">
        <v>12399</v>
      </c>
      <c r="E3922" s="7" t="s">
        <v>12400</v>
      </c>
      <c r="F3922" s="13"/>
      <c r="G3922" s="14"/>
      <c r="H3922" s="15">
        <v>140</v>
      </c>
      <c r="I3922" s="15">
        <v>10</v>
      </c>
      <c r="J3922" s="15">
        <v>540</v>
      </c>
      <c r="K3922" s="5">
        <v>140</v>
      </c>
      <c r="L3922" s="16">
        <v>12.773333333333333</v>
      </c>
      <c r="M3922" s="12"/>
      <c r="N3922" s="14">
        <f t="shared" si="176"/>
        <v>0</v>
      </c>
      <c r="O3922" s="23">
        <f>0.044*M3922</f>
        <v>0</v>
      </c>
      <c r="P3922" s="31">
        <f>0.0001*M3922</f>
        <v>0</v>
      </c>
      <c r="Q3922" s="25"/>
      <c r="R3922" s="26" t="s">
        <v>12401</v>
      </c>
      <c r="S3922" s="26" t="s">
        <v>29</v>
      </c>
      <c r="T3922" s="6" t="str">
        <f>HYPERLINK("https://kanzpp.ru/api/getInfo/image/69e58e82-960b-11ec-a211-ac1f6b442185")</f>
        <v>https://kanzpp.ru/api/getInfo/image/69e58e82-960b-11ec-a211-ac1f6b442185</v>
      </c>
      <c r="U3922" s="6"/>
      <c r="V3922" s="33" t="s">
        <v>35</v>
      </c>
    </row>
    <row r="3923" spans="2:22" ht="21" customHeight="1" outlineLevel="7" x14ac:dyDescent="0.2">
      <c r="B3923" s="69">
        <v>2950</v>
      </c>
      <c r="C3923" s="6" t="s">
        <v>12402</v>
      </c>
      <c r="D3923" s="6" t="s">
        <v>12403</v>
      </c>
      <c r="E3923" s="7" t="s">
        <v>12404</v>
      </c>
      <c r="F3923" s="13"/>
      <c r="G3923" s="14"/>
      <c r="H3923" s="15">
        <v>140</v>
      </c>
      <c r="I3923" s="15">
        <v>10</v>
      </c>
      <c r="J3923" s="17">
        <v>14680</v>
      </c>
      <c r="K3923" s="5">
        <v>140</v>
      </c>
      <c r="L3923" s="16">
        <v>12.773333333333333</v>
      </c>
      <c r="M3923" s="12"/>
      <c r="N3923" s="14">
        <f t="shared" si="176"/>
        <v>0</v>
      </c>
      <c r="O3923" s="23">
        <f>0.044*M3923</f>
        <v>0</v>
      </c>
      <c r="P3923" s="31">
        <f>0.0001*M3923</f>
        <v>0</v>
      </c>
      <c r="Q3923" s="25"/>
      <c r="R3923" s="26" t="s">
        <v>12405</v>
      </c>
      <c r="S3923" s="26" t="s">
        <v>29</v>
      </c>
      <c r="T3923" s="6" t="str">
        <f>HYPERLINK("https://kanzpp.ru/api/getInfo/image/95306a20-960b-11ec-a211-ac1f6b442185")</f>
        <v>https://kanzpp.ru/api/getInfo/image/95306a20-960b-11ec-a211-ac1f6b442185</v>
      </c>
      <c r="U3923" s="6"/>
      <c r="V3923" s="33" t="s">
        <v>35</v>
      </c>
    </row>
    <row r="3924" spans="2:22" ht="21" customHeight="1" outlineLevel="7" x14ac:dyDescent="0.2">
      <c r="B3924" s="69">
        <v>2951</v>
      </c>
      <c r="C3924" s="6" t="s">
        <v>12406</v>
      </c>
      <c r="D3924" s="6" t="s">
        <v>12407</v>
      </c>
      <c r="E3924" s="7" t="s">
        <v>12408</v>
      </c>
      <c r="F3924" s="13"/>
      <c r="G3924" s="14"/>
      <c r="H3924" s="15">
        <v>140</v>
      </c>
      <c r="I3924" s="15">
        <v>10</v>
      </c>
      <c r="J3924" s="17">
        <v>32430</v>
      </c>
      <c r="K3924" s="5">
        <v>140</v>
      </c>
      <c r="L3924" s="16">
        <v>12.773333333333333</v>
      </c>
      <c r="M3924" s="12"/>
      <c r="N3924" s="14">
        <f t="shared" si="176"/>
        <v>0</v>
      </c>
      <c r="O3924" s="23">
        <f>0.051*M3924</f>
        <v>0</v>
      </c>
      <c r="P3924" s="24">
        <f>0.00007*M3924</f>
        <v>0</v>
      </c>
      <c r="Q3924" s="25"/>
      <c r="R3924" s="26" t="s">
        <v>12409</v>
      </c>
      <c r="S3924" s="26" t="s">
        <v>29</v>
      </c>
      <c r="T3924" s="6"/>
      <c r="U3924" s="6"/>
      <c r="V3924" s="33" t="s">
        <v>35</v>
      </c>
    </row>
    <row r="3925" spans="2:22" ht="22.95" customHeight="1" outlineLevel="6" x14ac:dyDescent="0.2">
      <c r="B3925" s="84" t="s">
        <v>12410</v>
      </c>
      <c r="C3925" s="84"/>
      <c r="D3925" s="84"/>
      <c r="L3925">
        <v>0</v>
      </c>
    </row>
    <row r="3926" spans="2:22" ht="21" customHeight="1" outlineLevel="7" x14ac:dyDescent="0.2">
      <c r="B3926" s="69">
        <v>2952</v>
      </c>
      <c r="C3926" s="6" t="s">
        <v>12411</v>
      </c>
      <c r="D3926" s="6" t="s">
        <v>12412</v>
      </c>
      <c r="E3926" s="7" t="s">
        <v>12413</v>
      </c>
      <c r="F3926" s="13"/>
      <c r="G3926" s="14"/>
      <c r="H3926" s="15">
        <v>140</v>
      </c>
      <c r="I3926" s="15">
        <v>10</v>
      </c>
      <c r="J3926" s="17">
        <v>7130</v>
      </c>
      <c r="K3926" s="5">
        <v>140</v>
      </c>
      <c r="L3926" s="16">
        <v>12.773333333333333</v>
      </c>
      <c r="M3926" s="12"/>
      <c r="N3926" s="14">
        <f>L3926*M3926</f>
        <v>0</v>
      </c>
      <c r="O3926" s="23">
        <f>0.042*M3926</f>
        <v>0</v>
      </c>
      <c r="P3926" s="24">
        <f>0.00007*M3926</f>
        <v>0</v>
      </c>
      <c r="Q3926" s="25"/>
      <c r="R3926" s="26" t="s">
        <v>12414</v>
      </c>
      <c r="S3926" s="26" t="s">
        <v>29</v>
      </c>
      <c r="T3926" s="6" t="str">
        <f>HYPERLINK("https://kanzpp.ru/api/getInfo/image/ae6da5f1-960c-11ec-a211-ac1f6b442185")</f>
        <v>https://kanzpp.ru/api/getInfo/image/ae6da5f1-960c-11ec-a211-ac1f6b442185</v>
      </c>
      <c r="U3926" s="6"/>
      <c r="V3926" s="33" t="s">
        <v>35</v>
      </c>
    </row>
    <row r="3927" spans="2:22" ht="21" customHeight="1" outlineLevel="7" x14ac:dyDescent="0.2">
      <c r="B3927" s="69">
        <v>2953</v>
      </c>
      <c r="C3927" s="6" t="s">
        <v>12415</v>
      </c>
      <c r="D3927" s="6" t="s">
        <v>12416</v>
      </c>
      <c r="E3927" s="7" t="s">
        <v>12417</v>
      </c>
      <c r="F3927" s="13"/>
      <c r="G3927" s="14"/>
      <c r="H3927" s="15">
        <v>140</v>
      </c>
      <c r="I3927" s="15">
        <v>10</v>
      </c>
      <c r="J3927" s="17">
        <v>1110</v>
      </c>
      <c r="K3927" s="5">
        <v>140</v>
      </c>
      <c r="L3927" s="16">
        <v>12.773333333333333</v>
      </c>
      <c r="M3927" s="12"/>
      <c r="N3927" s="14">
        <f>L3927*M3927</f>
        <v>0</v>
      </c>
      <c r="O3927" s="28">
        <f>0.05*M3927</f>
        <v>0</v>
      </c>
      <c r="P3927" s="24">
        <f>0.00003*M3927</f>
        <v>0</v>
      </c>
      <c r="Q3927" s="25"/>
      <c r="R3927" s="26" t="s">
        <v>12418</v>
      </c>
      <c r="S3927" s="26" t="s">
        <v>29</v>
      </c>
      <c r="T3927" s="6" t="str">
        <f>HYPERLINK("https://kanzpp.ru/api/getInfo/image/16c1eb47-960c-11ec-a211-ac1f6b442185")</f>
        <v>https://kanzpp.ru/api/getInfo/image/16c1eb47-960c-11ec-a211-ac1f6b442185</v>
      </c>
      <c r="U3927" s="6"/>
      <c r="V3927" s="33" t="s">
        <v>35</v>
      </c>
    </row>
    <row r="3928" spans="2:22" ht="21" customHeight="1" outlineLevel="7" x14ac:dyDescent="0.2">
      <c r="B3928" s="69">
        <v>2954</v>
      </c>
      <c r="C3928" s="6" t="s">
        <v>12419</v>
      </c>
      <c r="D3928" s="6" t="s">
        <v>12420</v>
      </c>
      <c r="E3928" s="7" t="s">
        <v>12421</v>
      </c>
      <c r="F3928" s="13"/>
      <c r="G3928" s="14"/>
      <c r="H3928" s="15">
        <v>140</v>
      </c>
      <c r="I3928" s="15">
        <v>10</v>
      </c>
      <c r="J3928" s="17">
        <v>16090</v>
      </c>
      <c r="K3928" s="5">
        <v>140</v>
      </c>
      <c r="L3928" s="16">
        <v>12.773333333333333</v>
      </c>
      <c r="M3928" s="12"/>
      <c r="N3928" s="14">
        <f>L3928*M3928</f>
        <v>0</v>
      </c>
      <c r="O3928" s="28">
        <f>0.05*M3928</f>
        <v>0</v>
      </c>
      <c r="P3928" s="24">
        <f>0.00003*M3928</f>
        <v>0</v>
      </c>
      <c r="Q3928" s="25"/>
      <c r="R3928" s="26" t="s">
        <v>12422</v>
      </c>
      <c r="S3928" s="26" t="s">
        <v>29</v>
      </c>
      <c r="T3928" s="6" t="str">
        <f>HYPERLINK("https://kanzpp.ru/api/getInfo/image/679f5d51-960c-11ec-a211-ac1f6b442185")</f>
        <v>https://kanzpp.ru/api/getInfo/image/679f5d51-960c-11ec-a211-ac1f6b442185</v>
      </c>
      <c r="U3928" s="6"/>
      <c r="V3928" s="33" t="s">
        <v>35</v>
      </c>
    </row>
    <row r="3929" spans="2:22" ht="21" customHeight="1" outlineLevel="7" x14ac:dyDescent="0.2">
      <c r="B3929" s="69">
        <v>2955</v>
      </c>
      <c r="C3929" s="6" t="s">
        <v>12423</v>
      </c>
      <c r="D3929" s="6" t="s">
        <v>12424</v>
      </c>
      <c r="E3929" s="7" t="s">
        <v>12425</v>
      </c>
      <c r="F3929" s="13"/>
      <c r="G3929" s="14"/>
      <c r="H3929" s="15">
        <v>140</v>
      </c>
      <c r="I3929" s="15">
        <v>10</v>
      </c>
      <c r="J3929" s="15">
        <v>830</v>
      </c>
      <c r="K3929" s="5">
        <v>140</v>
      </c>
      <c r="L3929" s="16">
        <v>12.773333333333333</v>
      </c>
      <c r="M3929" s="12"/>
      <c r="N3929" s="14">
        <f>L3929*M3929</f>
        <v>0</v>
      </c>
      <c r="O3929" s="23">
        <f>0.042*M3929</f>
        <v>0</v>
      </c>
      <c r="P3929" s="24">
        <f>0.00007*M3929</f>
        <v>0</v>
      </c>
      <c r="Q3929" s="25"/>
      <c r="R3929" s="26" t="s">
        <v>12426</v>
      </c>
      <c r="S3929" s="26" t="s">
        <v>29</v>
      </c>
      <c r="T3929" s="6" t="str">
        <f>HYPERLINK("https://kanzpp.ru/api/getInfo/image/d4f12ec1-960c-11ec-a211-ac1f6b442185")</f>
        <v>https://kanzpp.ru/api/getInfo/image/d4f12ec1-960c-11ec-a211-ac1f6b442185</v>
      </c>
      <c r="U3929" s="6"/>
      <c r="V3929" s="33" t="s">
        <v>35</v>
      </c>
    </row>
    <row r="3930" spans="2:22" ht="21" customHeight="1" outlineLevel="7" x14ac:dyDescent="0.2">
      <c r="B3930" s="69">
        <v>2956</v>
      </c>
      <c r="C3930" s="6" t="s">
        <v>12427</v>
      </c>
      <c r="D3930" s="6" t="s">
        <v>12428</v>
      </c>
      <c r="E3930" s="7" t="s">
        <v>12429</v>
      </c>
      <c r="F3930" s="13"/>
      <c r="G3930" s="14"/>
      <c r="H3930" s="15">
        <v>140</v>
      </c>
      <c r="I3930" s="15">
        <v>10</v>
      </c>
      <c r="J3930" s="17">
        <v>4610</v>
      </c>
      <c r="K3930" s="5">
        <v>140</v>
      </c>
      <c r="L3930" s="16">
        <v>12.773333333333333</v>
      </c>
      <c r="M3930" s="12"/>
      <c r="N3930" s="14">
        <f>L3930*M3930</f>
        <v>0</v>
      </c>
      <c r="O3930" s="23">
        <f>0.042*M3930</f>
        <v>0</v>
      </c>
      <c r="P3930" s="24">
        <f>0.00007*M3930</f>
        <v>0</v>
      </c>
      <c r="Q3930" s="25"/>
      <c r="R3930" s="26" t="s">
        <v>12430</v>
      </c>
      <c r="S3930" s="26" t="s">
        <v>29</v>
      </c>
      <c r="T3930" s="6" t="str">
        <f>HYPERLINK("https://kanzpp.ru/api/getInfo/image/fc468b96-960c-11ec-a211-ac1f6b442185")</f>
        <v>https://kanzpp.ru/api/getInfo/image/fc468b96-960c-11ec-a211-ac1f6b442185</v>
      </c>
      <c r="U3930" s="6"/>
      <c r="V3930" s="33" t="s">
        <v>35</v>
      </c>
    </row>
    <row r="3931" spans="2:22" ht="22.95" customHeight="1" outlineLevel="5" x14ac:dyDescent="0.2">
      <c r="B3931" s="83" t="s">
        <v>12431</v>
      </c>
      <c r="C3931" s="83"/>
      <c r="D3931" s="83"/>
      <c r="L3931">
        <v>0</v>
      </c>
    </row>
    <row r="3932" spans="2:22" ht="21" customHeight="1" outlineLevel="6" x14ac:dyDescent="0.2">
      <c r="B3932" s="69">
        <v>2957</v>
      </c>
      <c r="C3932" s="6" t="s">
        <v>12432</v>
      </c>
      <c r="D3932" s="6" t="s">
        <v>12433</v>
      </c>
      <c r="E3932" s="7" t="s">
        <v>12434</v>
      </c>
      <c r="F3932" s="13"/>
      <c r="G3932" s="14"/>
      <c r="H3932" s="15">
        <v>250</v>
      </c>
      <c r="I3932" s="15">
        <v>25</v>
      </c>
      <c r="J3932" s="17">
        <v>1075</v>
      </c>
      <c r="K3932" s="5">
        <v>250</v>
      </c>
      <c r="L3932" s="16">
        <v>13.200000000000001</v>
      </c>
      <c r="M3932" s="12"/>
      <c r="N3932" s="14">
        <f>L3932*M3932</f>
        <v>0</v>
      </c>
      <c r="O3932" s="23">
        <f>0.036*M3932</f>
        <v>0</v>
      </c>
      <c r="P3932" s="31">
        <f>0.0001*M3932</f>
        <v>0</v>
      </c>
      <c r="Q3932" s="25"/>
      <c r="R3932" s="26" t="s">
        <v>12435</v>
      </c>
      <c r="S3932" s="26" t="s">
        <v>29</v>
      </c>
      <c r="T3932" s="6" t="str">
        <f>HYPERLINK("https://kanzpp.ru/api/getInfo/image/95595e8d-4a62-11ef-a262-00155d82e908")</f>
        <v>https://kanzpp.ru/api/getInfo/image/95595e8d-4a62-11ef-a262-00155d82e908</v>
      </c>
      <c r="U3932" s="6"/>
      <c r="V3932" s="33" t="s">
        <v>35</v>
      </c>
    </row>
    <row r="3933" spans="2:22" ht="21" customHeight="1" outlineLevel="6" x14ac:dyDescent="0.2">
      <c r="B3933" s="69">
        <v>2958</v>
      </c>
      <c r="C3933" s="6" t="s">
        <v>12436</v>
      </c>
      <c r="D3933" s="6" t="s">
        <v>12437</v>
      </c>
      <c r="E3933" s="7" t="s">
        <v>12438</v>
      </c>
      <c r="F3933" s="13"/>
      <c r="G3933" s="14"/>
      <c r="H3933" s="15">
        <v>250</v>
      </c>
      <c r="I3933" s="15">
        <v>25</v>
      </c>
      <c r="J3933" s="17">
        <v>4226</v>
      </c>
      <c r="K3933" s="5">
        <v>250</v>
      </c>
      <c r="L3933" s="16">
        <v>3.3333333333333335</v>
      </c>
      <c r="M3933" s="12"/>
      <c r="N3933" s="14">
        <f>L3933*M3933</f>
        <v>0</v>
      </c>
      <c r="O3933" s="23">
        <f>0.035*M3933</f>
        <v>0</v>
      </c>
      <c r="P3933" s="24">
        <f>0.00007*M3933</f>
        <v>0</v>
      </c>
      <c r="Q3933" s="25"/>
      <c r="R3933" s="26" t="s">
        <v>12439</v>
      </c>
      <c r="S3933" s="26" t="s">
        <v>29</v>
      </c>
      <c r="T3933" s="6" t="str">
        <f>HYPERLINK("https://kanzpp.ru/api/getInfo/image/904ee781-17bd-11ed-a215-ac1f6b442185")</f>
        <v>https://kanzpp.ru/api/getInfo/image/904ee781-17bd-11ed-a215-ac1f6b442185</v>
      </c>
      <c r="U3933" s="6"/>
      <c r="V3933" s="33" t="s">
        <v>35</v>
      </c>
    </row>
    <row r="3934" spans="2:22" ht="21" customHeight="1" outlineLevel="6" x14ac:dyDescent="0.2">
      <c r="B3934" s="69">
        <v>2959</v>
      </c>
      <c r="C3934" s="6" t="s">
        <v>12440</v>
      </c>
      <c r="D3934" s="6" t="s">
        <v>12441</v>
      </c>
      <c r="E3934" s="7" t="s">
        <v>12442</v>
      </c>
      <c r="F3934" s="13"/>
      <c r="G3934" s="14"/>
      <c r="H3934" s="15">
        <v>250</v>
      </c>
      <c r="I3934" s="15">
        <v>25</v>
      </c>
      <c r="J3934" s="17">
        <v>1957</v>
      </c>
      <c r="K3934" s="5">
        <v>250</v>
      </c>
      <c r="L3934" s="16">
        <v>13.200000000000001</v>
      </c>
      <c r="M3934" s="12"/>
      <c r="N3934" s="14">
        <f>L3934*M3934</f>
        <v>0</v>
      </c>
      <c r="O3934" s="23">
        <f>0.035*M3934</f>
        <v>0</v>
      </c>
      <c r="P3934" s="24">
        <f>0.00007*M3934</f>
        <v>0</v>
      </c>
      <c r="Q3934" s="25"/>
      <c r="R3934" s="26" t="s">
        <v>12443</v>
      </c>
      <c r="S3934" s="26" t="s">
        <v>29</v>
      </c>
      <c r="T3934" s="6" t="str">
        <f>HYPERLINK("https://kanzpp.ru/api/getInfo/image/befef237-17bd-11ed-a215-ac1f6b442185")</f>
        <v>https://kanzpp.ru/api/getInfo/image/befef237-17bd-11ed-a215-ac1f6b442185</v>
      </c>
      <c r="U3934" s="6"/>
      <c r="V3934" s="33" t="s">
        <v>35</v>
      </c>
    </row>
    <row r="3935" spans="2:22" ht="21" customHeight="1" outlineLevel="6" x14ac:dyDescent="0.2">
      <c r="B3935" s="69">
        <v>2960</v>
      </c>
      <c r="C3935" s="6" t="s">
        <v>12444</v>
      </c>
      <c r="D3935" s="6" t="s">
        <v>12445</v>
      </c>
      <c r="E3935" s="7" t="s">
        <v>12446</v>
      </c>
      <c r="F3935" s="13"/>
      <c r="G3935" s="14"/>
      <c r="H3935" s="15">
        <v>250</v>
      </c>
      <c r="I3935" s="15">
        <v>25</v>
      </c>
      <c r="J3935" s="17">
        <v>1325</v>
      </c>
      <c r="K3935" s="5">
        <v>250</v>
      </c>
      <c r="L3935" s="16">
        <v>13.200000000000001</v>
      </c>
      <c r="M3935" s="12"/>
      <c r="N3935" s="14">
        <f>L3935*M3935</f>
        <v>0</v>
      </c>
      <c r="O3935" s="23">
        <f>0.041*M3935</f>
        <v>0</v>
      </c>
      <c r="P3935" s="24">
        <f>0.00003*M3935</f>
        <v>0</v>
      </c>
      <c r="Q3935" s="25"/>
      <c r="R3935" s="26" t="s">
        <v>12447</v>
      </c>
      <c r="S3935" s="26" t="s">
        <v>29</v>
      </c>
      <c r="T3935" s="6" t="str">
        <f>HYPERLINK("https://kanzpp.ru/api/getInfo/image/7c09beb7-a000-11ee-a257-00155d82e908")</f>
        <v>https://kanzpp.ru/api/getInfo/image/7c09beb7-a000-11ee-a257-00155d82e908</v>
      </c>
      <c r="U3935" s="6"/>
      <c r="V3935" s="33" t="s">
        <v>35</v>
      </c>
    </row>
    <row r="3936" spans="2:22" ht="21" customHeight="1" outlineLevel="6" x14ac:dyDescent="0.2">
      <c r="B3936" s="69">
        <v>2961</v>
      </c>
      <c r="C3936" s="6" t="s">
        <v>12448</v>
      </c>
      <c r="D3936" s="6" t="s">
        <v>12449</v>
      </c>
      <c r="E3936" s="7" t="s">
        <v>12450</v>
      </c>
      <c r="F3936" s="13"/>
      <c r="G3936" s="14"/>
      <c r="H3936" s="15">
        <v>250</v>
      </c>
      <c r="I3936" s="15">
        <v>25</v>
      </c>
      <c r="J3936" s="17">
        <v>15245</v>
      </c>
      <c r="K3936" s="5">
        <v>250</v>
      </c>
      <c r="L3936" s="16">
        <v>3.3333333333333335</v>
      </c>
      <c r="M3936" s="12"/>
      <c r="N3936" s="14">
        <f>L3936*M3936</f>
        <v>0</v>
      </c>
      <c r="O3936" s="23">
        <f>0.035*M3936</f>
        <v>0</v>
      </c>
      <c r="P3936" s="24">
        <f>0.00007*M3936</f>
        <v>0</v>
      </c>
      <c r="Q3936" s="25"/>
      <c r="R3936" s="26" t="s">
        <v>12451</v>
      </c>
      <c r="S3936" s="26" t="s">
        <v>29</v>
      </c>
      <c r="T3936" s="6" t="str">
        <f>HYPERLINK("https://kanzpp.ru/api/getInfo/image/1f59fab3-17be-11ed-a215-ac1f6b442185")</f>
        <v>https://kanzpp.ru/api/getInfo/image/1f59fab3-17be-11ed-a215-ac1f6b442185</v>
      </c>
      <c r="U3936" s="6"/>
      <c r="V3936" s="33" t="s">
        <v>35</v>
      </c>
    </row>
    <row r="3937" spans="2:22" ht="22.95" customHeight="1" outlineLevel="5" x14ac:dyDescent="0.2">
      <c r="B3937" s="83" t="s">
        <v>12452</v>
      </c>
      <c r="C3937" s="83"/>
      <c r="D3937" s="83"/>
      <c r="L3937">
        <v>0</v>
      </c>
    </row>
    <row r="3938" spans="2:22" ht="21" customHeight="1" outlineLevel="6" x14ac:dyDescent="0.2">
      <c r="B3938" s="69">
        <v>2962</v>
      </c>
      <c r="C3938" s="6" t="s">
        <v>12453</v>
      </c>
      <c r="D3938" s="6" t="s">
        <v>12454</v>
      </c>
      <c r="E3938" s="7" t="s">
        <v>12455</v>
      </c>
      <c r="F3938" s="13"/>
      <c r="G3938" s="14"/>
      <c r="H3938" s="15">
        <v>250</v>
      </c>
      <c r="I3938" s="15">
        <v>25</v>
      </c>
      <c r="J3938" s="17">
        <v>4178</v>
      </c>
      <c r="K3938" s="5">
        <v>250</v>
      </c>
      <c r="L3938" s="16">
        <v>13.200000000000001</v>
      </c>
      <c r="M3938" s="12"/>
      <c r="N3938" s="14">
        <f>L3938*M3938</f>
        <v>0</v>
      </c>
      <c r="O3938" s="23">
        <f>0.041*M3938</f>
        <v>0</v>
      </c>
      <c r="P3938" s="24">
        <f>0.00017*M3938</f>
        <v>0</v>
      </c>
      <c r="Q3938" s="25"/>
      <c r="R3938" s="26" t="s">
        <v>12456</v>
      </c>
      <c r="S3938" s="26" t="s">
        <v>29</v>
      </c>
      <c r="T3938" s="6" t="str">
        <f>HYPERLINK("https://kanzpp.ru/api/getInfo/image/b2cb9830-619d-11ec-a20f-ac1f6b442185")</f>
        <v>https://kanzpp.ru/api/getInfo/image/b2cb9830-619d-11ec-a20f-ac1f6b442185</v>
      </c>
      <c r="U3938" s="6"/>
      <c r="V3938" s="33" t="s">
        <v>35</v>
      </c>
    </row>
    <row r="3939" spans="2:22" ht="22.95" customHeight="1" outlineLevel="4" x14ac:dyDescent="0.2">
      <c r="B3939" s="82" t="s">
        <v>12457</v>
      </c>
      <c r="C3939" s="82"/>
      <c r="D3939" s="82"/>
      <c r="L3939">
        <v>0</v>
      </c>
    </row>
    <row r="3940" spans="2:22" ht="22.95" customHeight="1" outlineLevel="5" x14ac:dyDescent="0.2">
      <c r="B3940" s="83" t="s">
        <v>12458</v>
      </c>
      <c r="C3940" s="83"/>
      <c r="D3940" s="83"/>
      <c r="L3940">
        <v>0</v>
      </c>
    </row>
    <row r="3941" spans="2:22" ht="22.95" customHeight="1" outlineLevel="6" x14ac:dyDescent="0.2">
      <c r="B3941" s="84" t="s">
        <v>12459</v>
      </c>
      <c r="C3941" s="84"/>
      <c r="D3941" s="84"/>
      <c r="L3941">
        <v>0</v>
      </c>
    </row>
    <row r="3942" spans="2:22" ht="21" customHeight="1" outlineLevel="7" x14ac:dyDescent="0.2">
      <c r="B3942" s="69">
        <v>2963</v>
      </c>
      <c r="C3942" s="6" t="s">
        <v>12460</v>
      </c>
      <c r="D3942" s="6" t="s">
        <v>12461</v>
      </c>
      <c r="E3942" s="7" t="s">
        <v>956</v>
      </c>
      <c r="F3942" s="13"/>
      <c r="G3942" s="14"/>
      <c r="H3942" s="15">
        <v>140</v>
      </c>
      <c r="I3942" s="14"/>
      <c r="J3942" s="14" t="s">
        <v>144</v>
      </c>
      <c r="K3942" s="5">
        <v>140</v>
      </c>
      <c r="L3942" s="16">
        <v>5.2</v>
      </c>
      <c r="M3942" s="12"/>
      <c r="N3942" s="14">
        <f>L3942*M3942</f>
        <v>0</v>
      </c>
      <c r="O3942" s="23">
        <f>0.053*M3942</f>
        <v>0</v>
      </c>
      <c r="P3942" s="24">
        <f>0.00059*M3942</f>
        <v>0</v>
      </c>
      <c r="Q3942" s="25"/>
      <c r="R3942" s="26" t="s">
        <v>12462</v>
      </c>
      <c r="S3942" s="26" t="s">
        <v>29</v>
      </c>
      <c r="T3942" s="6" t="str">
        <f>HYPERLINK("https://kanzpp.ru/api/getInfo/image/ab256771-b900-11ed-a230-00155d82e902")</f>
        <v>https://kanzpp.ru/api/getInfo/image/ab256771-b900-11ed-a230-00155d82e902</v>
      </c>
      <c r="U3942" s="6"/>
      <c r="V3942" s="33" t="s">
        <v>35</v>
      </c>
    </row>
    <row r="3943" spans="2:22" ht="21" customHeight="1" outlineLevel="7" x14ac:dyDescent="0.2">
      <c r="B3943" s="69">
        <v>2964</v>
      </c>
      <c r="C3943" s="6" t="s">
        <v>12463</v>
      </c>
      <c r="D3943" s="6" t="s">
        <v>12464</v>
      </c>
      <c r="E3943" s="7" t="s">
        <v>12465</v>
      </c>
      <c r="F3943" s="13"/>
      <c r="G3943" s="14"/>
      <c r="H3943" s="15">
        <v>140</v>
      </c>
      <c r="I3943" s="14"/>
      <c r="J3943" s="14" t="s">
        <v>144</v>
      </c>
      <c r="K3943" s="5">
        <v>140</v>
      </c>
      <c r="L3943" s="16">
        <v>5.2</v>
      </c>
      <c r="M3943" s="12"/>
      <c r="N3943" s="14">
        <f>L3943*M3943</f>
        <v>0</v>
      </c>
      <c r="O3943" s="23">
        <f>0.049*M3943</f>
        <v>0</v>
      </c>
      <c r="P3943" s="24">
        <f>0.00042*M3943</f>
        <v>0</v>
      </c>
      <c r="Q3943" s="25"/>
      <c r="R3943" s="26" t="s">
        <v>12466</v>
      </c>
      <c r="S3943" s="26" t="s">
        <v>29</v>
      </c>
      <c r="T3943" s="6" t="str">
        <f>HYPERLINK("https://kanzpp.ru/api/getInfo/image/c9169b3f-b900-11ed-a230-00155d82e902")</f>
        <v>https://kanzpp.ru/api/getInfo/image/c9169b3f-b900-11ed-a230-00155d82e902</v>
      </c>
      <c r="U3943" s="6"/>
      <c r="V3943" s="33" t="s">
        <v>35</v>
      </c>
    </row>
    <row r="3944" spans="2:22" ht="21" customHeight="1" outlineLevel="7" x14ac:dyDescent="0.2">
      <c r="B3944" s="69">
        <v>2965</v>
      </c>
      <c r="C3944" s="6" t="s">
        <v>12467</v>
      </c>
      <c r="D3944" s="6" t="s">
        <v>12468</v>
      </c>
      <c r="E3944" s="7" t="s">
        <v>959</v>
      </c>
      <c r="F3944" s="13"/>
      <c r="G3944" s="14"/>
      <c r="H3944" s="15">
        <v>140</v>
      </c>
      <c r="I3944" s="14"/>
      <c r="J3944" s="14" t="s">
        <v>144</v>
      </c>
      <c r="K3944" s="5">
        <v>140</v>
      </c>
      <c r="L3944" s="16">
        <v>5.2</v>
      </c>
      <c r="M3944" s="12"/>
      <c r="N3944" s="14">
        <f>L3944*M3944</f>
        <v>0</v>
      </c>
      <c r="O3944" s="23">
        <f>0.046*M3944</f>
        <v>0</v>
      </c>
      <c r="P3944" s="24">
        <f>0.00022*M3944</f>
        <v>0</v>
      </c>
      <c r="Q3944" s="25"/>
      <c r="R3944" s="26" t="s">
        <v>12469</v>
      </c>
      <c r="S3944" s="26" t="s">
        <v>29</v>
      </c>
      <c r="T3944" s="6" t="str">
        <f>HYPERLINK("https://kanzpp.ru/api/getInfo/image/5cec928f-b900-11ed-a230-00155d82e902")</f>
        <v>https://kanzpp.ru/api/getInfo/image/5cec928f-b900-11ed-a230-00155d82e902</v>
      </c>
      <c r="U3944" s="6"/>
      <c r="V3944" s="33" t="s">
        <v>35</v>
      </c>
    </row>
    <row r="3945" spans="2:22" ht="21" customHeight="1" outlineLevel="7" x14ac:dyDescent="0.2">
      <c r="B3945" s="69">
        <v>2966</v>
      </c>
      <c r="C3945" s="6" t="s">
        <v>12470</v>
      </c>
      <c r="D3945" s="6" t="s">
        <v>12471</v>
      </c>
      <c r="E3945" s="7" t="s">
        <v>12472</v>
      </c>
      <c r="F3945" s="13"/>
      <c r="G3945" s="14"/>
      <c r="H3945" s="15">
        <v>140</v>
      </c>
      <c r="I3945" s="14"/>
      <c r="J3945" s="17">
        <v>9340</v>
      </c>
      <c r="K3945" s="5">
        <v>140</v>
      </c>
      <c r="L3945" s="16">
        <v>5.2</v>
      </c>
      <c r="M3945" s="12"/>
      <c r="N3945" s="14">
        <f>L3945*M3945</f>
        <v>0</v>
      </c>
      <c r="O3945" s="23">
        <f>0.049*M3945</f>
        <v>0</v>
      </c>
      <c r="P3945" s="24">
        <f>0.00021*M3945</f>
        <v>0</v>
      </c>
      <c r="Q3945" s="25"/>
      <c r="R3945" s="26" t="s">
        <v>12473</v>
      </c>
      <c r="S3945" s="26" t="s">
        <v>29</v>
      </c>
      <c r="T3945" s="6" t="str">
        <f>HYPERLINK("https://kanzpp.ru/api/getInfo/image/ee2ee147-b900-11ed-a230-00155d82e902")</f>
        <v>https://kanzpp.ru/api/getInfo/image/ee2ee147-b900-11ed-a230-00155d82e902</v>
      </c>
      <c r="U3945" s="6"/>
      <c r="V3945" s="33" t="s">
        <v>35</v>
      </c>
    </row>
    <row r="3946" spans="2:22" ht="22.95" customHeight="1" outlineLevel="6" x14ac:dyDescent="0.2">
      <c r="B3946" s="84" t="s">
        <v>12474</v>
      </c>
      <c r="C3946" s="84"/>
      <c r="D3946" s="84"/>
      <c r="L3946">
        <v>0</v>
      </c>
    </row>
    <row r="3947" spans="2:22" ht="21" customHeight="1" outlineLevel="7" x14ac:dyDescent="0.2">
      <c r="B3947" s="69">
        <v>2967</v>
      </c>
      <c r="C3947" s="6" t="s">
        <v>12475</v>
      </c>
      <c r="D3947" s="6" t="s">
        <v>12476</v>
      </c>
      <c r="E3947" s="7" t="s">
        <v>12477</v>
      </c>
      <c r="F3947" s="13"/>
      <c r="G3947" s="14"/>
      <c r="H3947" s="15">
        <v>140</v>
      </c>
      <c r="I3947" s="14"/>
      <c r="J3947" s="14" t="s">
        <v>144</v>
      </c>
      <c r="K3947" s="5">
        <v>140</v>
      </c>
      <c r="L3947" s="16">
        <v>5.2</v>
      </c>
      <c r="M3947" s="12"/>
      <c r="N3947" s="14">
        <f>L3947*M3947</f>
        <v>0</v>
      </c>
      <c r="O3947" s="23">
        <f>0.048*M3947</f>
        <v>0</v>
      </c>
      <c r="P3947" s="24">
        <f>0.00025*M3947</f>
        <v>0</v>
      </c>
      <c r="Q3947" s="25"/>
      <c r="R3947" s="26" t="s">
        <v>12478</v>
      </c>
      <c r="S3947" s="26" t="s">
        <v>29</v>
      </c>
      <c r="T3947" s="6" t="str">
        <f>HYPERLINK("https://kanzpp.ru/api/getInfo/image/1b210986-b901-11ed-a230-00155d82e902")</f>
        <v>https://kanzpp.ru/api/getInfo/image/1b210986-b901-11ed-a230-00155d82e902</v>
      </c>
      <c r="U3947" s="6"/>
      <c r="V3947" s="33" t="s">
        <v>35</v>
      </c>
    </row>
    <row r="3948" spans="2:22" ht="21" customHeight="1" outlineLevel="7" x14ac:dyDescent="0.2">
      <c r="B3948" s="69">
        <v>2968</v>
      </c>
      <c r="C3948" s="6" t="s">
        <v>12479</v>
      </c>
      <c r="D3948" s="6" t="s">
        <v>12480</v>
      </c>
      <c r="E3948" s="7" t="s">
        <v>12481</v>
      </c>
      <c r="F3948" s="13"/>
      <c r="G3948" s="14"/>
      <c r="H3948" s="15">
        <v>140</v>
      </c>
      <c r="I3948" s="14"/>
      <c r="J3948" s="17">
        <v>3315</v>
      </c>
      <c r="K3948" s="5">
        <v>140</v>
      </c>
      <c r="L3948" s="16">
        <v>5.2</v>
      </c>
      <c r="M3948" s="12"/>
      <c r="N3948" s="14">
        <f>L3948*M3948</f>
        <v>0</v>
      </c>
      <c r="O3948" s="23">
        <f>0.053*M3948</f>
        <v>0</v>
      </c>
      <c r="P3948" s="24">
        <f>0.00011*M3948</f>
        <v>0</v>
      </c>
      <c r="Q3948" s="25"/>
      <c r="R3948" s="26" t="s">
        <v>12482</v>
      </c>
      <c r="S3948" s="26" t="s">
        <v>29</v>
      </c>
      <c r="T3948" s="6" t="str">
        <f>HYPERLINK("https://kanzpp.ru/api/getInfo/image/3e318cb5-b901-11ed-a230-00155d82e902")</f>
        <v>https://kanzpp.ru/api/getInfo/image/3e318cb5-b901-11ed-a230-00155d82e902</v>
      </c>
      <c r="U3948" s="6"/>
      <c r="V3948" s="33" t="s">
        <v>35</v>
      </c>
    </row>
    <row r="3949" spans="2:22" ht="21" customHeight="1" outlineLevel="7" x14ac:dyDescent="0.2">
      <c r="B3949" s="69">
        <v>2969</v>
      </c>
      <c r="C3949" s="6" t="s">
        <v>12483</v>
      </c>
      <c r="D3949" s="6" t="s">
        <v>12484</v>
      </c>
      <c r="E3949" s="7" t="s">
        <v>12485</v>
      </c>
      <c r="F3949" s="13"/>
      <c r="G3949" s="14"/>
      <c r="H3949" s="15">
        <v>140</v>
      </c>
      <c r="I3949" s="14"/>
      <c r="J3949" s="14" t="s">
        <v>144</v>
      </c>
      <c r="K3949" s="5">
        <v>140</v>
      </c>
      <c r="L3949" s="16">
        <v>5.2</v>
      </c>
      <c r="M3949" s="12"/>
      <c r="N3949" s="14">
        <f>L3949*M3949</f>
        <v>0</v>
      </c>
      <c r="O3949" s="23">
        <f>0.053*M3949</f>
        <v>0</v>
      </c>
      <c r="P3949" s="24">
        <f>0.00011*M3949</f>
        <v>0</v>
      </c>
      <c r="Q3949" s="25"/>
      <c r="R3949" s="26" t="s">
        <v>12486</v>
      </c>
      <c r="S3949" s="26" t="s">
        <v>29</v>
      </c>
      <c r="T3949" s="6" t="str">
        <f>HYPERLINK("https://kanzpp.ru/api/getInfo/image/5d2b68ed-b901-11ed-a230-00155d82e902")</f>
        <v>https://kanzpp.ru/api/getInfo/image/5d2b68ed-b901-11ed-a230-00155d82e902</v>
      </c>
      <c r="U3949" s="6"/>
      <c r="V3949" s="33" t="s">
        <v>35</v>
      </c>
    </row>
    <row r="3950" spans="2:22" ht="21" customHeight="1" outlineLevel="7" x14ac:dyDescent="0.2">
      <c r="B3950" s="69">
        <v>2970</v>
      </c>
      <c r="C3950" s="6" t="s">
        <v>12487</v>
      </c>
      <c r="D3950" s="6" t="s">
        <v>12488</v>
      </c>
      <c r="E3950" s="7" t="s">
        <v>12489</v>
      </c>
      <c r="F3950" s="13"/>
      <c r="G3950" s="14"/>
      <c r="H3950" s="15">
        <v>140</v>
      </c>
      <c r="I3950" s="14"/>
      <c r="J3950" s="17">
        <v>2160</v>
      </c>
      <c r="K3950" s="5">
        <v>140</v>
      </c>
      <c r="L3950" s="16">
        <v>5.2</v>
      </c>
      <c r="M3950" s="12"/>
      <c r="N3950" s="14">
        <f>L3950*M3950</f>
        <v>0</v>
      </c>
      <c r="O3950" s="23">
        <f>0.053*M3950</f>
        <v>0</v>
      </c>
      <c r="P3950" s="24">
        <f>0.00011*M3950</f>
        <v>0</v>
      </c>
      <c r="Q3950" s="25"/>
      <c r="R3950" s="26" t="s">
        <v>12490</v>
      </c>
      <c r="S3950" s="26" t="s">
        <v>29</v>
      </c>
      <c r="T3950" s="6" t="str">
        <f>HYPERLINK("https://kanzpp.ru/api/getInfo/image/81bbc6db-b901-11ed-a230-00155d82e902")</f>
        <v>https://kanzpp.ru/api/getInfo/image/81bbc6db-b901-11ed-a230-00155d82e902</v>
      </c>
      <c r="U3950" s="6"/>
      <c r="V3950" s="33" t="s">
        <v>35</v>
      </c>
    </row>
    <row r="3951" spans="2:22" ht="22.95" customHeight="1" outlineLevel="5" x14ac:dyDescent="0.2">
      <c r="B3951" s="83" t="s">
        <v>12491</v>
      </c>
      <c r="C3951" s="83"/>
      <c r="D3951" s="83"/>
      <c r="L3951">
        <v>0</v>
      </c>
    </row>
    <row r="3952" spans="2:22" ht="22.95" customHeight="1" outlineLevel="6" x14ac:dyDescent="0.2">
      <c r="B3952" s="84" t="s">
        <v>12492</v>
      </c>
      <c r="C3952" s="84"/>
      <c r="D3952" s="84"/>
      <c r="L3952">
        <v>0</v>
      </c>
    </row>
    <row r="3953" spans="2:22" ht="21" customHeight="1" outlineLevel="7" x14ac:dyDescent="0.2">
      <c r="B3953" s="71">
        <v>2971</v>
      </c>
      <c r="C3953" s="37" t="s">
        <v>12493</v>
      </c>
      <c r="D3953" s="37" t="s">
        <v>12494</v>
      </c>
      <c r="E3953" s="38" t="s">
        <v>12495</v>
      </c>
      <c r="F3953" s="39"/>
      <c r="G3953" s="40"/>
      <c r="H3953" s="41">
        <v>160</v>
      </c>
      <c r="I3953" s="41">
        <v>20</v>
      </c>
      <c r="J3953" s="50">
        <v>7680</v>
      </c>
      <c r="K3953" s="36">
        <v>160</v>
      </c>
      <c r="L3953" s="42">
        <f>(15.33*(1-O3/100))/0.75</f>
        <v>20.440000000000001</v>
      </c>
      <c r="M3953" s="12"/>
      <c r="N3953" s="40">
        <f t="shared" ref="N3953:N3963" si="177">L3953*M3953</f>
        <v>0</v>
      </c>
      <c r="O3953" s="48">
        <f>0.04*M3953</f>
        <v>0</v>
      </c>
      <c r="P3953" s="47">
        <f>0.00007*M3953</f>
        <v>0</v>
      </c>
      <c r="Q3953" s="44"/>
      <c r="R3953" s="45" t="s">
        <v>12496</v>
      </c>
      <c r="S3953" s="45" t="s">
        <v>29</v>
      </c>
      <c r="T3953" s="37" t="str">
        <f>HYPERLINK("https://kanzpp.ru/api/getInfo/image/49b91122-9b4a-11ee-a256-00155d82e908")</f>
        <v>https://kanzpp.ru/api/getInfo/image/49b91122-9b4a-11ee-a256-00155d82e908</v>
      </c>
      <c r="U3953" s="37"/>
    </row>
    <row r="3954" spans="2:22" ht="21" customHeight="1" outlineLevel="7" x14ac:dyDescent="0.2">
      <c r="B3954" s="69">
        <v>2972</v>
      </c>
      <c r="C3954" s="6" t="s">
        <v>12497</v>
      </c>
      <c r="D3954" s="6" t="s">
        <v>12498</v>
      </c>
      <c r="E3954" s="7" t="s">
        <v>12499</v>
      </c>
      <c r="F3954" s="13"/>
      <c r="G3954" s="14"/>
      <c r="H3954" s="15">
        <v>150</v>
      </c>
      <c r="I3954" s="15">
        <v>25</v>
      </c>
      <c r="J3954" s="15">
        <v>855</v>
      </c>
      <c r="K3954" s="5">
        <v>150</v>
      </c>
      <c r="L3954" s="16">
        <v>10.533333333333333</v>
      </c>
      <c r="M3954" s="12"/>
      <c r="N3954" s="14">
        <f t="shared" si="177"/>
        <v>0</v>
      </c>
      <c r="O3954" s="23">
        <f>0.047*M3954</f>
        <v>0</v>
      </c>
      <c r="P3954" s="31">
        <f>0.0001*M3954</f>
        <v>0</v>
      </c>
      <c r="Q3954" s="25"/>
      <c r="R3954" s="26" t="s">
        <v>12500</v>
      </c>
      <c r="S3954" s="26" t="s">
        <v>29</v>
      </c>
      <c r="T3954" s="6" t="str">
        <f>HYPERLINK("https://kanzpp.ru/api/getInfo/image/7ed5b2ce-8057-11ed-a22a-00155d82e902")</f>
        <v>https://kanzpp.ru/api/getInfo/image/7ed5b2ce-8057-11ed-a22a-00155d82e902</v>
      </c>
      <c r="U3954" s="6"/>
      <c r="V3954" s="33" t="s">
        <v>35</v>
      </c>
    </row>
    <row r="3955" spans="2:22" ht="21" customHeight="1" outlineLevel="7" x14ac:dyDescent="0.2">
      <c r="B3955" s="71">
        <v>2973</v>
      </c>
      <c r="C3955" s="37" t="s">
        <v>12501</v>
      </c>
      <c r="D3955" s="37" t="s">
        <v>12502</v>
      </c>
      <c r="E3955" s="38" t="s">
        <v>12503</v>
      </c>
      <c r="F3955" s="39"/>
      <c r="G3955" s="40"/>
      <c r="H3955" s="41">
        <v>160</v>
      </c>
      <c r="I3955" s="41">
        <v>20</v>
      </c>
      <c r="J3955" s="50">
        <v>1194</v>
      </c>
      <c r="K3955" s="36">
        <v>160</v>
      </c>
      <c r="L3955" s="42">
        <f>(15.33*(1-O3/100))/0.75</f>
        <v>20.440000000000001</v>
      </c>
      <c r="M3955" s="12"/>
      <c r="N3955" s="40">
        <f t="shared" si="177"/>
        <v>0</v>
      </c>
      <c r="O3955" s="48">
        <f>0.47*M3955</f>
        <v>0</v>
      </c>
      <c r="P3955" s="47">
        <f>0.00017*M3955</f>
        <v>0</v>
      </c>
      <c r="Q3955" s="44"/>
      <c r="R3955" s="45" t="s">
        <v>12504</v>
      </c>
      <c r="S3955" s="45" t="s">
        <v>29</v>
      </c>
      <c r="T3955" s="37" t="str">
        <f>HYPERLINK("https://kanzpp.ru/api/getInfo/image/c3a5745b-fc40-11f0-a28e-00155d82e908")</f>
        <v>https://kanzpp.ru/api/getInfo/image/c3a5745b-fc40-11f0-a28e-00155d82e908</v>
      </c>
      <c r="U3955" s="37"/>
    </row>
    <row r="3956" spans="2:22" ht="21" customHeight="1" outlineLevel="7" x14ac:dyDescent="0.2">
      <c r="B3956" s="71">
        <v>2974</v>
      </c>
      <c r="C3956" s="37" t="s">
        <v>12505</v>
      </c>
      <c r="D3956" s="37" t="s">
        <v>12506</v>
      </c>
      <c r="E3956" s="38" t="s">
        <v>12507</v>
      </c>
      <c r="F3956" s="39"/>
      <c r="G3956" s="40"/>
      <c r="H3956" s="41">
        <v>160</v>
      </c>
      <c r="I3956" s="41">
        <v>20</v>
      </c>
      <c r="J3956" s="50">
        <v>9600</v>
      </c>
      <c r="K3956" s="36">
        <v>160</v>
      </c>
      <c r="L3956" s="42">
        <f>(15.33*(1-O3/100))/0.75</f>
        <v>20.440000000000001</v>
      </c>
      <c r="M3956" s="12"/>
      <c r="N3956" s="40">
        <f t="shared" si="177"/>
        <v>0</v>
      </c>
      <c r="O3956" s="48">
        <f>0.47*M3956</f>
        <v>0</v>
      </c>
      <c r="P3956" s="47">
        <f>0.00017*M3956</f>
        <v>0</v>
      </c>
      <c r="Q3956" s="44"/>
      <c r="R3956" s="45" t="s">
        <v>12508</v>
      </c>
      <c r="S3956" s="45" t="s">
        <v>29</v>
      </c>
      <c r="T3956" s="37" t="str">
        <f>HYPERLINK("https://kanzpp.ru/api/getInfo/image/be1f07b5-fc3f-11f0-a28e-00155d82e908")</f>
        <v>https://kanzpp.ru/api/getInfo/image/be1f07b5-fc3f-11f0-a28e-00155d82e908</v>
      </c>
      <c r="U3956" s="37"/>
    </row>
    <row r="3957" spans="2:22" ht="21" customHeight="1" outlineLevel="7" x14ac:dyDescent="0.2">
      <c r="B3957" s="71">
        <v>2975</v>
      </c>
      <c r="C3957" s="37" t="s">
        <v>12509</v>
      </c>
      <c r="D3957" s="37" t="s">
        <v>12510</v>
      </c>
      <c r="E3957" s="38" t="s">
        <v>12511</v>
      </c>
      <c r="F3957" s="39"/>
      <c r="G3957" s="40"/>
      <c r="H3957" s="41">
        <v>160</v>
      </c>
      <c r="I3957" s="41">
        <v>20</v>
      </c>
      <c r="J3957" s="50">
        <v>4500</v>
      </c>
      <c r="K3957" s="36">
        <v>160</v>
      </c>
      <c r="L3957" s="42">
        <f>(15.33*(1-O3/100))/0.75</f>
        <v>20.440000000000001</v>
      </c>
      <c r="M3957" s="12"/>
      <c r="N3957" s="40">
        <f t="shared" si="177"/>
        <v>0</v>
      </c>
      <c r="O3957" s="43">
        <f>0.108*M3957</f>
        <v>0</v>
      </c>
      <c r="P3957" s="47">
        <f>0.00021*M3957</f>
        <v>0</v>
      </c>
      <c r="Q3957" s="44"/>
      <c r="R3957" s="45" t="s">
        <v>12512</v>
      </c>
      <c r="S3957" s="45" t="s">
        <v>29</v>
      </c>
      <c r="T3957" s="37" t="str">
        <f>HYPERLINK("https://kanzpp.ru/api/getInfo/image/2f232b61-fc41-11f0-a28e-00155d82e908")</f>
        <v>https://kanzpp.ru/api/getInfo/image/2f232b61-fc41-11f0-a28e-00155d82e908</v>
      </c>
      <c r="U3957" s="37"/>
    </row>
    <row r="3958" spans="2:22" ht="21" customHeight="1" outlineLevel="7" x14ac:dyDescent="0.2">
      <c r="B3958" s="71">
        <v>2976</v>
      </c>
      <c r="C3958" s="37" t="s">
        <v>12513</v>
      </c>
      <c r="D3958" s="37" t="s">
        <v>12514</v>
      </c>
      <c r="E3958" s="38" t="s">
        <v>12515</v>
      </c>
      <c r="F3958" s="39"/>
      <c r="G3958" s="40"/>
      <c r="H3958" s="41">
        <v>160</v>
      </c>
      <c r="I3958" s="41">
        <v>20</v>
      </c>
      <c r="J3958" s="50">
        <v>12115</v>
      </c>
      <c r="K3958" s="36">
        <v>160</v>
      </c>
      <c r="L3958" s="42">
        <f>(15.33*(1-O3/100))/0.75</f>
        <v>20.440000000000001</v>
      </c>
      <c r="M3958" s="12"/>
      <c r="N3958" s="40">
        <f t="shared" si="177"/>
        <v>0</v>
      </c>
      <c r="O3958" s="48">
        <f>0.47*M3958</f>
        <v>0</v>
      </c>
      <c r="P3958" s="47">
        <f>0.00017*M3958</f>
        <v>0</v>
      </c>
      <c r="Q3958" s="44"/>
      <c r="R3958" s="45" t="s">
        <v>12516</v>
      </c>
      <c r="S3958" s="45" t="s">
        <v>29</v>
      </c>
      <c r="T3958" s="37" t="str">
        <f>HYPERLINK("https://kanzpp.ru/api/getInfo/image/f57eec47-fc3f-11f0-a28e-00155d82e908")</f>
        <v>https://kanzpp.ru/api/getInfo/image/f57eec47-fc3f-11f0-a28e-00155d82e908</v>
      </c>
      <c r="U3958" s="37"/>
    </row>
    <row r="3959" spans="2:22" ht="21" customHeight="1" outlineLevel="7" x14ac:dyDescent="0.2">
      <c r="B3959" s="71">
        <v>2977</v>
      </c>
      <c r="C3959" s="37" t="s">
        <v>12517</v>
      </c>
      <c r="D3959" s="37" t="s">
        <v>12518</v>
      </c>
      <c r="E3959" s="38" t="s">
        <v>12519</v>
      </c>
      <c r="F3959" s="39"/>
      <c r="G3959" s="40"/>
      <c r="H3959" s="41">
        <v>160</v>
      </c>
      <c r="I3959" s="41">
        <v>20</v>
      </c>
      <c r="J3959" s="41">
        <v>180</v>
      </c>
      <c r="K3959" s="36">
        <v>160</v>
      </c>
      <c r="L3959" s="42">
        <f>(15.33*(1-O3/100))/0.75</f>
        <v>20.440000000000001</v>
      </c>
      <c r="M3959" s="12"/>
      <c r="N3959" s="40">
        <f t="shared" si="177"/>
        <v>0</v>
      </c>
      <c r="O3959" s="48">
        <f>0.05*M3959</f>
        <v>0</v>
      </c>
      <c r="P3959" s="47">
        <f>0.00017*M3959</f>
        <v>0</v>
      </c>
      <c r="Q3959" s="44"/>
      <c r="R3959" s="45" t="s">
        <v>12520</v>
      </c>
      <c r="S3959" s="45" t="s">
        <v>29</v>
      </c>
      <c r="T3959" s="37" t="str">
        <f>HYPERLINK("https://kanzpp.ru/api/getInfo/image/acc5eefd-7ccd-11ef-a265-00155d82e908")</f>
        <v>https://kanzpp.ru/api/getInfo/image/acc5eefd-7ccd-11ef-a265-00155d82e908</v>
      </c>
      <c r="U3959" s="37"/>
    </row>
    <row r="3960" spans="2:22" ht="21" customHeight="1" outlineLevel="7" x14ac:dyDescent="0.2">
      <c r="B3960" s="69">
        <v>2978</v>
      </c>
      <c r="C3960" s="6" t="s">
        <v>12521</v>
      </c>
      <c r="D3960" s="6" t="s">
        <v>12522</v>
      </c>
      <c r="E3960" s="7" t="s">
        <v>974</v>
      </c>
      <c r="F3960" s="13"/>
      <c r="G3960" s="14"/>
      <c r="H3960" s="15">
        <v>160</v>
      </c>
      <c r="I3960" s="15">
        <v>20</v>
      </c>
      <c r="J3960" s="17">
        <v>9260</v>
      </c>
      <c r="K3960" s="5">
        <v>160</v>
      </c>
      <c r="L3960" s="16">
        <v>10.533333333333333</v>
      </c>
      <c r="M3960" s="12"/>
      <c r="N3960" s="14">
        <f t="shared" si="177"/>
        <v>0</v>
      </c>
      <c r="O3960" s="23">
        <f>0.064*M3960</f>
        <v>0</v>
      </c>
      <c r="P3960" s="24">
        <f>0.00007*M3960</f>
        <v>0</v>
      </c>
      <c r="Q3960" s="25"/>
      <c r="R3960" s="26" t="s">
        <v>12523</v>
      </c>
      <c r="S3960" s="26" t="s">
        <v>29</v>
      </c>
      <c r="T3960" s="6" t="str">
        <f>HYPERLINK("https://kanzpp.ru/api/getInfo/image/f9d37c1c-0046-11e8-951c-5cf3fc4a2490")</f>
        <v>https://kanzpp.ru/api/getInfo/image/f9d37c1c-0046-11e8-951c-5cf3fc4a2490</v>
      </c>
      <c r="U3960" s="6"/>
      <c r="V3960" s="33" t="s">
        <v>35</v>
      </c>
    </row>
    <row r="3961" spans="2:22" ht="21" customHeight="1" outlineLevel="7" x14ac:dyDescent="0.2">
      <c r="B3961" s="71">
        <v>2979</v>
      </c>
      <c r="C3961" s="37" t="s">
        <v>12524</v>
      </c>
      <c r="D3961" s="37" t="s">
        <v>12525</v>
      </c>
      <c r="E3961" s="38" t="s">
        <v>12526</v>
      </c>
      <c r="F3961" s="39"/>
      <c r="G3961" s="40"/>
      <c r="H3961" s="41">
        <v>160</v>
      </c>
      <c r="I3961" s="41">
        <v>20</v>
      </c>
      <c r="J3961" s="50">
        <v>9231</v>
      </c>
      <c r="K3961" s="36">
        <v>160</v>
      </c>
      <c r="L3961" s="42">
        <f>(15.33*(1-O3/100))/0.75</f>
        <v>20.440000000000001</v>
      </c>
      <c r="M3961" s="12"/>
      <c r="N3961" s="40">
        <f t="shared" si="177"/>
        <v>0</v>
      </c>
      <c r="O3961" s="48">
        <f>0.05*M3961</f>
        <v>0</v>
      </c>
      <c r="P3961" s="47">
        <f>0.00007*M3961</f>
        <v>0</v>
      </c>
      <c r="Q3961" s="44"/>
      <c r="R3961" s="45" t="s">
        <v>12527</v>
      </c>
      <c r="S3961" s="45" t="s">
        <v>29</v>
      </c>
      <c r="T3961" s="37" t="str">
        <f>HYPERLINK("https://kanzpp.ru/api/getInfo/image/a82c8eb1-67ae-11e3-b9ef-5cf3fc4a2490")</f>
        <v>https://kanzpp.ru/api/getInfo/image/a82c8eb1-67ae-11e3-b9ef-5cf3fc4a2490</v>
      </c>
      <c r="U3961" s="37"/>
    </row>
    <row r="3962" spans="2:22" ht="21" customHeight="1" outlineLevel="7" x14ac:dyDescent="0.2">
      <c r="B3962" s="69">
        <v>2980</v>
      </c>
      <c r="C3962" s="6" t="s">
        <v>12528</v>
      </c>
      <c r="D3962" s="6" t="s">
        <v>12529</v>
      </c>
      <c r="E3962" s="7" t="s">
        <v>12530</v>
      </c>
      <c r="F3962" s="13"/>
      <c r="G3962" s="14"/>
      <c r="H3962" s="15">
        <v>160</v>
      </c>
      <c r="I3962" s="15">
        <v>20</v>
      </c>
      <c r="J3962" s="17">
        <v>2200</v>
      </c>
      <c r="K3962" s="5">
        <v>160</v>
      </c>
      <c r="L3962" s="16">
        <v>10.533333333333333</v>
      </c>
      <c r="M3962" s="12"/>
      <c r="N3962" s="14">
        <f t="shared" si="177"/>
        <v>0</v>
      </c>
      <c r="O3962" s="28">
        <f>0.05*M3962</f>
        <v>0</v>
      </c>
      <c r="P3962" s="24">
        <f>0.00007*M3962</f>
        <v>0</v>
      </c>
      <c r="Q3962" s="25"/>
      <c r="R3962" s="26" t="s">
        <v>12531</v>
      </c>
      <c r="S3962" s="26" t="s">
        <v>29</v>
      </c>
      <c r="T3962" s="6" t="str">
        <f>HYPERLINK("https://kanzpp.ru/api/getInfo/image/49f515de-929b-11e5-b0ae-5cf3fc4a2490")</f>
        <v>https://kanzpp.ru/api/getInfo/image/49f515de-929b-11e5-b0ae-5cf3fc4a2490</v>
      </c>
      <c r="U3962" s="6"/>
      <c r="V3962" s="33" t="s">
        <v>35</v>
      </c>
    </row>
    <row r="3963" spans="2:22" ht="21" customHeight="1" outlineLevel="7" x14ac:dyDescent="0.2">
      <c r="B3963" s="71">
        <v>2981</v>
      </c>
      <c r="C3963" s="37" t="s">
        <v>12532</v>
      </c>
      <c r="D3963" s="37" t="s">
        <v>12533</v>
      </c>
      <c r="E3963" s="38" t="s">
        <v>12534</v>
      </c>
      <c r="F3963" s="39"/>
      <c r="G3963" s="40"/>
      <c r="H3963" s="41">
        <v>160</v>
      </c>
      <c r="I3963" s="41">
        <v>20</v>
      </c>
      <c r="J3963" s="50">
        <v>1600</v>
      </c>
      <c r="K3963" s="36">
        <v>160</v>
      </c>
      <c r="L3963" s="42">
        <f>(15.33*(1-O3/100))/0.75</f>
        <v>20.440000000000001</v>
      </c>
      <c r="M3963" s="12"/>
      <c r="N3963" s="40">
        <f t="shared" si="177"/>
        <v>0</v>
      </c>
      <c r="O3963" s="48">
        <f>0.47*M3963</f>
        <v>0</v>
      </c>
      <c r="P3963" s="47">
        <f>0.00017*M3963</f>
        <v>0</v>
      </c>
      <c r="Q3963" s="44"/>
      <c r="R3963" s="45" t="s">
        <v>12535</v>
      </c>
      <c r="S3963" s="45" t="s">
        <v>29</v>
      </c>
      <c r="T3963" s="37" t="str">
        <f>HYPERLINK("https://kanzpp.ru/api/getInfo/image/7eb4a48b-fc3f-11f0-a28e-00155d82e908")</f>
        <v>https://kanzpp.ru/api/getInfo/image/7eb4a48b-fc3f-11f0-a28e-00155d82e908</v>
      </c>
      <c r="U3963" s="37"/>
    </row>
    <row r="3964" spans="2:22" ht="22.95" customHeight="1" outlineLevel="6" x14ac:dyDescent="0.2">
      <c r="B3964" s="84" t="s">
        <v>12536</v>
      </c>
      <c r="C3964" s="84"/>
      <c r="D3964" s="84"/>
      <c r="L3964">
        <v>0</v>
      </c>
    </row>
    <row r="3965" spans="2:22" ht="21" customHeight="1" outlineLevel="7" x14ac:dyDescent="0.2">
      <c r="B3965" s="69">
        <v>2982</v>
      </c>
      <c r="C3965" s="6" t="s">
        <v>12537</v>
      </c>
      <c r="D3965" s="6" t="s">
        <v>12538</v>
      </c>
      <c r="E3965" s="7" t="s">
        <v>12539</v>
      </c>
      <c r="F3965" s="13"/>
      <c r="G3965" s="14"/>
      <c r="H3965" s="15">
        <v>150</v>
      </c>
      <c r="I3965" s="15">
        <v>25</v>
      </c>
      <c r="J3965" s="17">
        <v>1275</v>
      </c>
      <c r="K3965" s="5">
        <v>150</v>
      </c>
      <c r="L3965" s="16">
        <v>9.2000000000000011</v>
      </c>
      <c r="M3965" s="12"/>
      <c r="N3965" s="14">
        <f>L3965*M3965</f>
        <v>0</v>
      </c>
      <c r="O3965" s="23">
        <f>0.047*M3965</f>
        <v>0</v>
      </c>
      <c r="P3965" s="24">
        <f>0.00014*M3965</f>
        <v>0</v>
      </c>
      <c r="Q3965" s="25"/>
      <c r="R3965" s="26" t="s">
        <v>12540</v>
      </c>
      <c r="S3965" s="26" t="s">
        <v>29</v>
      </c>
      <c r="T3965" s="6" t="str">
        <f>HYPERLINK("https://kanzpp.ru/api/getInfo/image/cd4d46be-8058-11ed-a22a-00155d82e902")</f>
        <v>https://kanzpp.ru/api/getInfo/image/cd4d46be-8058-11ed-a22a-00155d82e902</v>
      </c>
      <c r="U3965" s="6"/>
      <c r="V3965" s="33" t="s">
        <v>35</v>
      </c>
    </row>
    <row r="3966" spans="2:22" ht="21" customHeight="1" outlineLevel="7" x14ac:dyDescent="0.2">
      <c r="B3966" s="69">
        <v>2983</v>
      </c>
      <c r="C3966" s="6" t="s">
        <v>12541</v>
      </c>
      <c r="D3966" s="6" t="s">
        <v>12542</v>
      </c>
      <c r="E3966" s="7" t="s">
        <v>12543</v>
      </c>
      <c r="F3966" s="13"/>
      <c r="G3966" s="14"/>
      <c r="H3966" s="15">
        <v>160</v>
      </c>
      <c r="I3966" s="15">
        <v>20</v>
      </c>
      <c r="J3966" s="17">
        <v>4180</v>
      </c>
      <c r="K3966" s="5">
        <v>160</v>
      </c>
      <c r="L3966" s="16">
        <v>10.533333333333333</v>
      </c>
      <c r="M3966" s="12"/>
      <c r="N3966" s="14">
        <f>L3966*M3966</f>
        <v>0</v>
      </c>
      <c r="O3966" s="28">
        <f>0.05*M3966</f>
        <v>0</v>
      </c>
      <c r="P3966" s="24">
        <f>0.00007*M3966</f>
        <v>0</v>
      </c>
      <c r="Q3966" s="25"/>
      <c r="R3966" s="26" t="s">
        <v>12544</v>
      </c>
      <c r="S3966" s="26" t="s">
        <v>29</v>
      </c>
      <c r="T3966" s="6" t="str">
        <f>HYPERLINK("https://kanzpp.ru/api/getInfo/image/6c900faf-7902-11e3-b9ef-5cf3fc4a2490")</f>
        <v>https://kanzpp.ru/api/getInfo/image/6c900faf-7902-11e3-b9ef-5cf3fc4a2490</v>
      </c>
      <c r="U3966" s="6"/>
      <c r="V3966" s="33" t="s">
        <v>35</v>
      </c>
    </row>
    <row r="3967" spans="2:22" ht="21" customHeight="1" outlineLevel="7" x14ac:dyDescent="0.2">
      <c r="B3967" s="69">
        <v>2984</v>
      </c>
      <c r="C3967" s="6" t="s">
        <v>12545</v>
      </c>
      <c r="D3967" s="6" t="s">
        <v>12546</v>
      </c>
      <c r="E3967" s="7" t="s">
        <v>12543</v>
      </c>
      <c r="F3967" s="13"/>
      <c r="G3967" s="14"/>
      <c r="H3967" s="15">
        <v>150</v>
      </c>
      <c r="I3967" s="15">
        <v>15</v>
      </c>
      <c r="J3967" s="17">
        <v>1225</v>
      </c>
      <c r="K3967" s="5">
        <v>45</v>
      </c>
      <c r="L3967" s="16">
        <v>9.2000000000000011</v>
      </c>
      <c r="M3967" s="12"/>
      <c r="N3967" s="14">
        <f>L3967*M3967</f>
        <v>0</v>
      </c>
      <c r="O3967" s="28">
        <f>0.05*M3967</f>
        <v>0</v>
      </c>
      <c r="P3967" s="24">
        <f>0.00007*M3967</f>
        <v>0</v>
      </c>
      <c r="Q3967" s="25"/>
      <c r="R3967" s="26"/>
      <c r="S3967" s="26" t="s">
        <v>29</v>
      </c>
      <c r="T3967" s="6" t="str">
        <f>HYPERLINK("https://kanzpp.ru/api/getInfo/image/15e4c82c-b20f-11ea-a249-ac1f6b442184")</f>
        <v>https://kanzpp.ru/api/getInfo/image/15e4c82c-b20f-11ea-a249-ac1f6b442184</v>
      </c>
      <c r="U3967" s="6"/>
      <c r="V3967" s="33" t="s">
        <v>35</v>
      </c>
    </row>
    <row r="3968" spans="2:22" ht="21" customHeight="1" outlineLevel="7" x14ac:dyDescent="0.2">
      <c r="B3968" s="69">
        <v>2985</v>
      </c>
      <c r="C3968" s="6" t="s">
        <v>12547</v>
      </c>
      <c r="D3968" s="6" t="s">
        <v>12548</v>
      </c>
      <c r="E3968" s="7" t="s">
        <v>12549</v>
      </c>
      <c r="F3968" s="13"/>
      <c r="G3968" s="14"/>
      <c r="H3968" s="15">
        <v>160</v>
      </c>
      <c r="I3968" s="15">
        <v>20</v>
      </c>
      <c r="J3968" s="17">
        <v>14967</v>
      </c>
      <c r="K3968" s="5">
        <v>160</v>
      </c>
      <c r="L3968" s="16">
        <v>10.533333333333333</v>
      </c>
      <c r="M3968" s="12"/>
      <c r="N3968" s="14">
        <f>L3968*M3968</f>
        <v>0</v>
      </c>
      <c r="O3968" s="27">
        <f>0.1*M3968</f>
        <v>0</v>
      </c>
      <c r="P3968" s="24">
        <f>0.00014*M3968</f>
        <v>0</v>
      </c>
      <c r="Q3968" s="25"/>
      <c r="R3968" s="26" t="s">
        <v>12550</v>
      </c>
      <c r="S3968" s="26" t="s">
        <v>29</v>
      </c>
      <c r="T3968" s="6" t="str">
        <f>HYPERLINK("https://kanzpp.ru/api/getInfo/image/5596e91b-929b-11e5-b0ae-5cf3fc4a2490")</f>
        <v>https://kanzpp.ru/api/getInfo/image/5596e91b-929b-11e5-b0ae-5cf3fc4a2490</v>
      </c>
      <c r="U3968" s="6"/>
      <c r="V3968" s="33" t="s">
        <v>35</v>
      </c>
    </row>
    <row r="3969" spans="2:22" ht="21" customHeight="1" outlineLevel="7" x14ac:dyDescent="0.2">
      <c r="B3969" s="69">
        <v>2986</v>
      </c>
      <c r="C3969" s="6" t="s">
        <v>12551</v>
      </c>
      <c r="D3969" s="6" t="s">
        <v>12552</v>
      </c>
      <c r="E3969" s="7" t="s">
        <v>12549</v>
      </c>
      <c r="F3969" s="13"/>
      <c r="G3969" s="14"/>
      <c r="H3969" s="15">
        <v>150</v>
      </c>
      <c r="I3969" s="15">
        <v>15</v>
      </c>
      <c r="J3969" s="15">
        <v>370</v>
      </c>
      <c r="K3969" s="5">
        <v>45</v>
      </c>
      <c r="L3969" s="16">
        <v>15.866666666666667</v>
      </c>
      <c r="M3969" s="12"/>
      <c r="N3969" s="14">
        <f>L3969*M3969</f>
        <v>0</v>
      </c>
      <c r="O3969" s="28">
        <f>0.05*M3969</f>
        <v>0</v>
      </c>
      <c r="P3969" s="24">
        <f>0.00007*M3969</f>
        <v>0</v>
      </c>
      <c r="Q3969" s="25"/>
      <c r="R3969" s="26"/>
      <c r="S3969" s="26" t="s">
        <v>29</v>
      </c>
      <c r="T3969" s="6" t="str">
        <f>HYPERLINK("https://kanzpp.ru/api/getInfo/image/8a2e245b-b20f-11ea-a249-ac1f6b442184")</f>
        <v>https://kanzpp.ru/api/getInfo/image/8a2e245b-b20f-11ea-a249-ac1f6b442184</v>
      </c>
      <c r="U3969" s="6"/>
      <c r="V3969" s="33" t="s">
        <v>35</v>
      </c>
    </row>
    <row r="3970" spans="2:22" ht="22.95" customHeight="1" outlineLevel="5" x14ac:dyDescent="0.2">
      <c r="B3970" s="83" t="s">
        <v>12553</v>
      </c>
      <c r="C3970" s="83"/>
      <c r="D3970" s="83"/>
      <c r="L3970">
        <v>0</v>
      </c>
    </row>
    <row r="3971" spans="2:22" ht="22.95" customHeight="1" outlineLevel="6" x14ac:dyDescent="0.2">
      <c r="B3971" s="84" t="s">
        <v>12554</v>
      </c>
      <c r="C3971" s="84"/>
      <c r="D3971" s="84"/>
      <c r="L3971">
        <v>0</v>
      </c>
    </row>
    <row r="3972" spans="2:22" ht="21" customHeight="1" outlineLevel="7" x14ac:dyDescent="0.2">
      <c r="B3972" s="69">
        <v>2987</v>
      </c>
      <c r="C3972" s="6" t="s">
        <v>12555</v>
      </c>
      <c r="D3972" s="6" t="s">
        <v>12556</v>
      </c>
      <c r="E3972" s="7" t="s">
        <v>12557</v>
      </c>
      <c r="F3972" s="13"/>
      <c r="G3972" s="14"/>
      <c r="H3972" s="15">
        <v>160</v>
      </c>
      <c r="I3972" s="15">
        <v>20</v>
      </c>
      <c r="J3972" s="17">
        <v>13019</v>
      </c>
      <c r="K3972" s="5">
        <v>160</v>
      </c>
      <c r="L3972" s="16">
        <v>10.533333333333333</v>
      </c>
      <c r="M3972" s="12"/>
      <c r="N3972" s="14">
        <f t="shared" ref="N3972:N3989" si="178">L3972*M3972</f>
        <v>0</v>
      </c>
      <c r="O3972" s="23">
        <f>0.059*M3972</f>
        <v>0</v>
      </c>
      <c r="P3972" s="24">
        <f>0.00014*M3972</f>
        <v>0</v>
      </c>
      <c r="Q3972" s="25"/>
      <c r="R3972" s="26" t="s">
        <v>12558</v>
      </c>
      <c r="S3972" s="26" t="s">
        <v>29</v>
      </c>
      <c r="T3972" s="6" t="str">
        <f>HYPERLINK("https://kanzpp.ru/api/getInfo/image/10805659-218c-11ef-a25f-00155d82e908")</f>
        <v>https://kanzpp.ru/api/getInfo/image/10805659-218c-11ef-a25f-00155d82e908</v>
      </c>
      <c r="U3972" s="6"/>
      <c r="V3972" s="33" t="s">
        <v>35</v>
      </c>
    </row>
    <row r="3973" spans="2:22" ht="21" customHeight="1" outlineLevel="7" x14ac:dyDescent="0.2">
      <c r="B3973" s="69">
        <v>2988</v>
      </c>
      <c r="C3973" s="6" t="s">
        <v>12559</v>
      </c>
      <c r="D3973" s="6" t="s">
        <v>12560</v>
      </c>
      <c r="E3973" s="7" t="s">
        <v>12561</v>
      </c>
      <c r="F3973" s="13"/>
      <c r="G3973" s="14"/>
      <c r="H3973" s="15">
        <v>150</v>
      </c>
      <c r="I3973" s="15">
        <v>25</v>
      </c>
      <c r="J3973" s="14" t="s">
        <v>144</v>
      </c>
      <c r="K3973" s="5">
        <v>150</v>
      </c>
      <c r="L3973" s="16">
        <v>10.533333333333333</v>
      </c>
      <c r="M3973" s="12"/>
      <c r="N3973" s="14">
        <f t="shared" si="178"/>
        <v>0</v>
      </c>
      <c r="O3973" s="28">
        <f>0.04*M3973</f>
        <v>0</v>
      </c>
      <c r="P3973" s="24">
        <f>0.00007*M3973</f>
        <v>0</v>
      </c>
      <c r="Q3973" s="25"/>
      <c r="R3973" s="26" t="s">
        <v>12562</v>
      </c>
      <c r="S3973" s="26" t="s">
        <v>29</v>
      </c>
      <c r="T3973" s="6" t="str">
        <f>HYPERLINK("https://kanzpp.ru/api/getInfo/image/3b7feef5-9b50-11ee-a256-00155d82e908")</f>
        <v>https://kanzpp.ru/api/getInfo/image/3b7feef5-9b50-11ee-a256-00155d82e908</v>
      </c>
      <c r="U3973" s="6"/>
      <c r="V3973" s="33" t="s">
        <v>35</v>
      </c>
    </row>
    <row r="3974" spans="2:22" ht="21" customHeight="1" outlineLevel="7" x14ac:dyDescent="0.2">
      <c r="B3974" s="69">
        <v>2989</v>
      </c>
      <c r="C3974" s="6" t="s">
        <v>12563</v>
      </c>
      <c r="D3974" s="6" t="s">
        <v>12564</v>
      </c>
      <c r="E3974" s="7" t="s">
        <v>12565</v>
      </c>
      <c r="F3974" s="13"/>
      <c r="G3974" s="14"/>
      <c r="H3974" s="15">
        <v>150</v>
      </c>
      <c r="I3974" s="15">
        <v>25</v>
      </c>
      <c r="J3974" s="14" t="s">
        <v>144</v>
      </c>
      <c r="K3974" s="5">
        <v>150</v>
      </c>
      <c r="L3974" s="16">
        <v>10.533333333333333</v>
      </c>
      <c r="M3974" s="12"/>
      <c r="N3974" s="14">
        <f t="shared" si="178"/>
        <v>0</v>
      </c>
      <c r="O3974" s="23">
        <f>0.053*M3974</f>
        <v>0</v>
      </c>
      <c r="P3974" s="24">
        <f>0.00016*M3974</f>
        <v>0</v>
      </c>
      <c r="Q3974" s="25"/>
      <c r="R3974" s="26" t="s">
        <v>12566</v>
      </c>
      <c r="S3974" s="26" t="s">
        <v>29</v>
      </c>
      <c r="T3974" s="6" t="str">
        <f>HYPERLINK("https://kanzpp.ru/api/getInfo/image/b1c12dce-c686-11e1-81d3-5ef3fc502493")</f>
        <v>https://kanzpp.ru/api/getInfo/image/b1c12dce-c686-11e1-81d3-5ef3fc502493</v>
      </c>
      <c r="U3974" s="6"/>
      <c r="V3974" s="33" t="s">
        <v>35</v>
      </c>
    </row>
    <row r="3975" spans="2:22" ht="21" customHeight="1" outlineLevel="7" x14ac:dyDescent="0.2">
      <c r="B3975" s="69">
        <v>2990</v>
      </c>
      <c r="C3975" s="6" t="s">
        <v>12567</v>
      </c>
      <c r="D3975" s="6" t="s">
        <v>12568</v>
      </c>
      <c r="E3975" s="7" t="s">
        <v>12565</v>
      </c>
      <c r="F3975" s="13"/>
      <c r="G3975" s="14"/>
      <c r="H3975" s="15">
        <v>150</v>
      </c>
      <c r="I3975" s="15">
        <v>15</v>
      </c>
      <c r="J3975" s="15">
        <v>45</v>
      </c>
      <c r="K3975" s="5">
        <v>45</v>
      </c>
      <c r="L3975" s="16">
        <v>10.533333333333333</v>
      </c>
      <c r="M3975" s="12"/>
      <c r="N3975" s="14">
        <f t="shared" si="178"/>
        <v>0</v>
      </c>
      <c r="O3975" s="23">
        <f>0.053*M3975</f>
        <v>0</v>
      </c>
      <c r="P3975" s="24">
        <f>0.00016*M3975</f>
        <v>0</v>
      </c>
      <c r="Q3975" s="25"/>
      <c r="R3975" s="26"/>
      <c r="S3975" s="26" t="s">
        <v>29</v>
      </c>
      <c r="T3975" s="6" t="str">
        <f>HYPERLINK("https://kanzpp.ru/api/getInfo/image/2dcc6c1a-5a50-11eb-a26d-ac1f6b442184")</f>
        <v>https://kanzpp.ru/api/getInfo/image/2dcc6c1a-5a50-11eb-a26d-ac1f6b442184</v>
      </c>
      <c r="U3975" s="6"/>
      <c r="V3975" s="33" t="s">
        <v>35</v>
      </c>
    </row>
    <row r="3976" spans="2:22" ht="21" customHeight="1" outlineLevel="7" x14ac:dyDescent="0.2">
      <c r="B3976" s="69">
        <v>2991</v>
      </c>
      <c r="C3976" s="6" t="s">
        <v>12569</v>
      </c>
      <c r="D3976" s="6" t="s">
        <v>12570</v>
      </c>
      <c r="E3976" s="7" t="s">
        <v>12571</v>
      </c>
      <c r="F3976" s="13"/>
      <c r="G3976" s="14"/>
      <c r="H3976" s="15">
        <v>160</v>
      </c>
      <c r="I3976" s="15">
        <v>20</v>
      </c>
      <c r="J3976" s="17">
        <v>3122</v>
      </c>
      <c r="K3976" s="5">
        <v>160</v>
      </c>
      <c r="L3976" s="16">
        <v>10.533333333333333</v>
      </c>
      <c r="M3976" s="12"/>
      <c r="N3976" s="14">
        <f t="shared" si="178"/>
        <v>0</v>
      </c>
      <c r="O3976" s="23">
        <f>0.053*M3976</f>
        <v>0</v>
      </c>
      <c r="P3976" s="24">
        <f>0.00007*M3976</f>
        <v>0</v>
      </c>
      <c r="Q3976" s="25"/>
      <c r="R3976" s="26" t="s">
        <v>12572</v>
      </c>
      <c r="S3976" s="26" t="s">
        <v>29</v>
      </c>
      <c r="T3976" s="6" t="str">
        <f>HYPERLINK("https://kanzpp.ru/api/getInfo/image/4ed2e32c-ec65-11e6-abaf-5cf3fc4a2490")</f>
        <v>https://kanzpp.ru/api/getInfo/image/4ed2e32c-ec65-11e6-abaf-5cf3fc4a2490</v>
      </c>
      <c r="U3976" s="6"/>
      <c r="V3976" s="33" t="s">
        <v>35</v>
      </c>
    </row>
    <row r="3977" spans="2:22" ht="21" customHeight="1" outlineLevel="7" x14ac:dyDescent="0.2">
      <c r="B3977" s="69">
        <v>2992</v>
      </c>
      <c r="C3977" s="6" t="s">
        <v>12573</v>
      </c>
      <c r="D3977" s="6" t="s">
        <v>12574</v>
      </c>
      <c r="E3977" s="7" t="s">
        <v>12571</v>
      </c>
      <c r="F3977" s="13"/>
      <c r="G3977" s="14"/>
      <c r="H3977" s="15">
        <v>150</v>
      </c>
      <c r="I3977" s="15">
        <v>10</v>
      </c>
      <c r="J3977" s="17">
        <v>3810</v>
      </c>
      <c r="K3977" s="5">
        <v>40</v>
      </c>
      <c r="L3977" s="16">
        <v>10.533333333333333</v>
      </c>
      <c r="M3977" s="12"/>
      <c r="N3977" s="14">
        <f t="shared" si="178"/>
        <v>0</v>
      </c>
      <c r="O3977" s="23">
        <f>0.064*M3977</f>
        <v>0</v>
      </c>
      <c r="P3977" s="24">
        <f>0.00007*M3977</f>
        <v>0</v>
      </c>
      <c r="Q3977" s="25"/>
      <c r="R3977" s="26"/>
      <c r="S3977" s="26" t="s">
        <v>29</v>
      </c>
      <c r="T3977" s="6" t="str">
        <f>HYPERLINK("https://kanzpp.ru/api/getInfo/image/fe7421f6-68ab-11ec-a20f-ac1f6b442185")</f>
        <v>https://kanzpp.ru/api/getInfo/image/fe7421f6-68ab-11ec-a20f-ac1f6b442185</v>
      </c>
      <c r="U3977" s="6"/>
      <c r="V3977" s="33" t="s">
        <v>35</v>
      </c>
    </row>
    <row r="3978" spans="2:22" ht="21" customHeight="1" outlineLevel="7" x14ac:dyDescent="0.2">
      <c r="B3978" s="69">
        <v>2993</v>
      </c>
      <c r="C3978" s="6" t="s">
        <v>12575</v>
      </c>
      <c r="D3978" s="6" t="s">
        <v>12576</v>
      </c>
      <c r="E3978" s="7" t="s">
        <v>12577</v>
      </c>
      <c r="F3978" s="13"/>
      <c r="G3978" s="14"/>
      <c r="H3978" s="15">
        <v>160</v>
      </c>
      <c r="I3978" s="15">
        <v>20</v>
      </c>
      <c r="J3978" s="15">
        <v>380</v>
      </c>
      <c r="K3978" s="5">
        <v>160</v>
      </c>
      <c r="L3978" s="16">
        <v>10.533333333333333</v>
      </c>
      <c r="M3978" s="12"/>
      <c r="N3978" s="14">
        <f t="shared" si="178"/>
        <v>0</v>
      </c>
      <c r="O3978" s="23">
        <f>0.059*M3978</f>
        <v>0</v>
      </c>
      <c r="P3978" s="24">
        <f>0.00014*M3978</f>
        <v>0</v>
      </c>
      <c r="Q3978" s="25"/>
      <c r="R3978" s="26" t="s">
        <v>12578</v>
      </c>
      <c r="S3978" s="26" t="s">
        <v>29</v>
      </c>
      <c r="T3978" s="6" t="str">
        <f>HYPERLINK("https://kanzpp.ru/api/getInfo/image/c8e1079d-530b-11ef-a262-00155d82e908")</f>
        <v>https://kanzpp.ru/api/getInfo/image/c8e1079d-530b-11ef-a262-00155d82e908</v>
      </c>
      <c r="U3978" s="6"/>
      <c r="V3978" s="33" t="s">
        <v>35</v>
      </c>
    </row>
    <row r="3979" spans="2:22" ht="21" customHeight="1" outlineLevel="7" x14ac:dyDescent="0.2">
      <c r="B3979" s="71">
        <v>2994</v>
      </c>
      <c r="C3979" s="37" t="s">
        <v>12579</v>
      </c>
      <c r="D3979" s="37" t="s">
        <v>12580</v>
      </c>
      <c r="E3979" s="38" t="s">
        <v>12581</v>
      </c>
      <c r="F3979" s="39"/>
      <c r="G3979" s="40"/>
      <c r="H3979" s="41">
        <v>160</v>
      </c>
      <c r="I3979" s="41">
        <v>20</v>
      </c>
      <c r="J3979" s="50">
        <v>13180</v>
      </c>
      <c r="K3979" s="36">
        <v>160</v>
      </c>
      <c r="L3979" s="42">
        <f>(17.47*(1-O3/100))/0.75</f>
        <v>23.293333333333333</v>
      </c>
      <c r="M3979" s="12"/>
      <c r="N3979" s="40">
        <f t="shared" si="178"/>
        <v>0</v>
      </c>
      <c r="O3979" s="43">
        <f>0.044*M3979</f>
        <v>0</v>
      </c>
      <c r="P3979" s="46">
        <f>0.0001*M3979</f>
        <v>0</v>
      </c>
      <c r="Q3979" s="44"/>
      <c r="R3979" s="45" t="s">
        <v>12582</v>
      </c>
      <c r="S3979" s="45" t="s">
        <v>29</v>
      </c>
      <c r="T3979" s="37" t="str">
        <f>HYPERLINK("https://kanzpp.ru/api/getInfo/image/ff6e771a-facf-11ed-a239-00155d82e902")</f>
        <v>https://kanzpp.ru/api/getInfo/image/ff6e771a-facf-11ed-a239-00155d82e902</v>
      </c>
      <c r="U3979" s="37"/>
    </row>
    <row r="3980" spans="2:22" ht="21" customHeight="1" outlineLevel="7" x14ac:dyDescent="0.2">
      <c r="B3980" s="71">
        <v>2995</v>
      </c>
      <c r="C3980" s="37" t="s">
        <v>12583</v>
      </c>
      <c r="D3980" s="37" t="s">
        <v>12584</v>
      </c>
      <c r="E3980" s="38" t="s">
        <v>12585</v>
      </c>
      <c r="F3980" s="39"/>
      <c r="G3980" s="40"/>
      <c r="H3980" s="41">
        <v>160</v>
      </c>
      <c r="I3980" s="41">
        <v>20</v>
      </c>
      <c r="J3980" s="50">
        <v>4990</v>
      </c>
      <c r="K3980" s="36">
        <v>160</v>
      </c>
      <c r="L3980" s="42">
        <f>(17.47*(1-O3/100))/0.75</f>
        <v>23.293333333333333</v>
      </c>
      <c r="M3980" s="12"/>
      <c r="N3980" s="40">
        <f t="shared" si="178"/>
        <v>0</v>
      </c>
      <c r="O3980" s="43">
        <f>0.046*M3980</f>
        <v>0</v>
      </c>
      <c r="P3980" s="46">
        <f>0.0001*M3980</f>
        <v>0</v>
      </c>
      <c r="Q3980" s="44"/>
      <c r="R3980" s="45" t="s">
        <v>12586</v>
      </c>
      <c r="S3980" s="45" t="s">
        <v>29</v>
      </c>
      <c r="T3980" s="37" t="str">
        <f>HYPERLINK("https://kanzpp.ru/api/getInfo/image/9902f5df-facf-11ed-a239-00155d82e902")</f>
        <v>https://kanzpp.ru/api/getInfo/image/9902f5df-facf-11ed-a239-00155d82e902</v>
      </c>
      <c r="U3980" s="37"/>
    </row>
    <row r="3981" spans="2:22" ht="21" customHeight="1" outlineLevel="7" x14ac:dyDescent="0.2">
      <c r="B3981" s="71">
        <v>2996</v>
      </c>
      <c r="C3981" s="37" t="s">
        <v>12587</v>
      </c>
      <c r="D3981" s="37" t="s">
        <v>12588</v>
      </c>
      <c r="E3981" s="38" t="s">
        <v>12589</v>
      </c>
      <c r="F3981" s="39"/>
      <c r="G3981" s="40"/>
      <c r="H3981" s="41">
        <v>160</v>
      </c>
      <c r="I3981" s="41">
        <v>20</v>
      </c>
      <c r="J3981" s="50">
        <v>2320</v>
      </c>
      <c r="K3981" s="36">
        <v>160</v>
      </c>
      <c r="L3981" s="42">
        <f>(17.47*(1-O3/100))/0.75</f>
        <v>23.293333333333333</v>
      </c>
      <c r="M3981" s="12"/>
      <c r="N3981" s="40">
        <f t="shared" si="178"/>
        <v>0</v>
      </c>
      <c r="O3981" s="43">
        <f>0.051*M3981</f>
        <v>0</v>
      </c>
      <c r="P3981" s="46">
        <f>0.0001*M3981</f>
        <v>0</v>
      </c>
      <c r="Q3981" s="44"/>
      <c r="R3981" s="45" t="s">
        <v>12590</v>
      </c>
      <c r="S3981" s="45" t="s">
        <v>29</v>
      </c>
      <c r="T3981" s="37" t="str">
        <f>HYPERLINK("https://kanzpp.ru/api/getInfo/image/6bf0f9ed-fad0-11ed-a239-00155d82e902")</f>
        <v>https://kanzpp.ru/api/getInfo/image/6bf0f9ed-fad0-11ed-a239-00155d82e902</v>
      </c>
      <c r="U3981" s="37"/>
    </row>
    <row r="3982" spans="2:22" ht="21" customHeight="1" outlineLevel="7" x14ac:dyDescent="0.2">
      <c r="B3982" s="71">
        <v>2997</v>
      </c>
      <c r="C3982" s="37" t="s">
        <v>12591</v>
      </c>
      <c r="D3982" s="37" t="s">
        <v>12592</v>
      </c>
      <c r="E3982" s="38" t="s">
        <v>12593</v>
      </c>
      <c r="F3982" s="39"/>
      <c r="G3982" s="40"/>
      <c r="H3982" s="41">
        <v>160</v>
      </c>
      <c r="I3982" s="41">
        <v>20</v>
      </c>
      <c r="J3982" s="40" t="s">
        <v>144</v>
      </c>
      <c r="K3982" s="36">
        <v>160</v>
      </c>
      <c r="L3982" s="42">
        <f>(17.47*(1-O3/100))/0.75</f>
        <v>23.293333333333333</v>
      </c>
      <c r="M3982" s="12"/>
      <c r="N3982" s="40">
        <f t="shared" si="178"/>
        <v>0</v>
      </c>
      <c r="O3982" s="43">
        <f>0.049*M3982</f>
        <v>0</v>
      </c>
      <c r="P3982" s="47">
        <f>0.00013*M3982</f>
        <v>0</v>
      </c>
      <c r="Q3982" s="44"/>
      <c r="R3982" s="45" t="s">
        <v>12594</v>
      </c>
      <c r="S3982" s="45" t="s">
        <v>29</v>
      </c>
      <c r="T3982" s="37" t="str">
        <f>HYPERLINK("https://kanzpp.ru/api/getInfo/image/9334d2dd-fad0-11ed-a239-00155d82e902")</f>
        <v>https://kanzpp.ru/api/getInfo/image/9334d2dd-fad0-11ed-a239-00155d82e902</v>
      </c>
      <c r="U3982" s="37"/>
    </row>
    <row r="3983" spans="2:22" ht="21" customHeight="1" outlineLevel="7" x14ac:dyDescent="0.2">
      <c r="B3983" s="71">
        <v>2998</v>
      </c>
      <c r="C3983" s="37" t="s">
        <v>12595</v>
      </c>
      <c r="D3983" s="37" t="s">
        <v>12596</v>
      </c>
      <c r="E3983" s="38" t="s">
        <v>1037</v>
      </c>
      <c r="F3983" s="39"/>
      <c r="G3983" s="40"/>
      <c r="H3983" s="41">
        <v>160</v>
      </c>
      <c r="I3983" s="41">
        <v>20</v>
      </c>
      <c r="J3983" s="50">
        <v>13130</v>
      </c>
      <c r="K3983" s="36">
        <v>160</v>
      </c>
      <c r="L3983" s="42">
        <f>(17.47*(1-O3/100))/0.75</f>
        <v>23.293333333333333</v>
      </c>
      <c r="M3983" s="12"/>
      <c r="N3983" s="40">
        <f t="shared" si="178"/>
        <v>0</v>
      </c>
      <c r="O3983" s="43">
        <f>0.048*M3983</f>
        <v>0</v>
      </c>
      <c r="P3983" s="46">
        <f>0.0001*M3983</f>
        <v>0</v>
      </c>
      <c r="Q3983" s="44"/>
      <c r="R3983" s="45" t="s">
        <v>12597</v>
      </c>
      <c r="S3983" s="45" t="s">
        <v>29</v>
      </c>
      <c r="T3983" s="37" t="str">
        <f>HYPERLINK("https://kanzpp.ru/api/getInfo/image/e272cc68-facf-11ed-a239-00155d82e902")</f>
        <v>https://kanzpp.ru/api/getInfo/image/e272cc68-facf-11ed-a239-00155d82e902</v>
      </c>
      <c r="U3983" s="37"/>
    </row>
    <row r="3984" spans="2:22" ht="21" customHeight="1" outlineLevel="7" x14ac:dyDescent="0.2">
      <c r="B3984" s="69">
        <v>2999</v>
      </c>
      <c r="C3984" s="6" t="s">
        <v>12598</v>
      </c>
      <c r="D3984" s="6" t="s">
        <v>12599</v>
      </c>
      <c r="E3984" s="7" t="s">
        <v>12600</v>
      </c>
      <c r="F3984" s="13"/>
      <c r="G3984" s="14"/>
      <c r="H3984" s="15">
        <v>150</v>
      </c>
      <c r="I3984" s="15">
        <v>20</v>
      </c>
      <c r="J3984" s="14" t="s">
        <v>144</v>
      </c>
      <c r="K3984" s="5">
        <v>150</v>
      </c>
      <c r="L3984" s="16">
        <v>17.2</v>
      </c>
      <c r="M3984" s="12"/>
      <c r="N3984" s="14">
        <f t="shared" si="178"/>
        <v>0</v>
      </c>
      <c r="O3984" s="23">
        <f>0.054*M3984</f>
        <v>0</v>
      </c>
      <c r="P3984" s="31">
        <f>0.0001*M3984</f>
        <v>0</v>
      </c>
      <c r="Q3984" s="25"/>
      <c r="R3984" s="26" t="s">
        <v>12601</v>
      </c>
      <c r="S3984" s="26" t="s">
        <v>29</v>
      </c>
      <c r="T3984" s="6" t="str">
        <f>HYPERLINK("https://kanzpp.ru/api/getInfo/image/cbbe8360-aa89-11e8-a208-ac1f6b442184")</f>
        <v>https://kanzpp.ru/api/getInfo/image/cbbe8360-aa89-11e8-a208-ac1f6b442184</v>
      </c>
      <c r="U3984" s="6" t="s">
        <v>12601</v>
      </c>
      <c r="V3984" s="33" t="s">
        <v>35</v>
      </c>
    </row>
    <row r="3985" spans="2:22" ht="21" customHeight="1" outlineLevel="7" x14ac:dyDescent="0.2">
      <c r="B3985" s="69">
        <v>3000</v>
      </c>
      <c r="C3985" s="6" t="s">
        <v>12602</v>
      </c>
      <c r="D3985" s="6" t="s">
        <v>12603</v>
      </c>
      <c r="E3985" s="7" t="s">
        <v>12604</v>
      </c>
      <c r="F3985" s="13"/>
      <c r="G3985" s="14"/>
      <c r="H3985" s="15">
        <v>150</v>
      </c>
      <c r="I3985" s="15">
        <v>25</v>
      </c>
      <c r="J3985" s="17">
        <v>18065</v>
      </c>
      <c r="K3985" s="5">
        <v>150</v>
      </c>
      <c r="L3985" s="16">
        <v>5.2</v>
      </c>
      <c r="M3985" s="12"/>
      <c r="N3985" s="14">
        <f t="shared" si="178"/>
        <v>0</v>
      </c>
      <c r="O3985" s="23">
        <f>0.052*M3985</f>
        <v>0</v>
      </c>
      <c r="P3985" s="24">
        <f>0.00014*M3985</f>
        <v>0</v>
      </c>
      <c r="Q3985" s="25"/>
      <c r="R3985" s="26" t="s">
        <v>12605</v>
      </c>
      <c r="S3985" s="26" t="s">
        <v>29</v>
      </c>
      <c r="T3985" s="6" t="str">
        <f>HYPERLINK("https://kanzpp.ru/api/getInfo/image/379991b7-6fb7-11ed-a22a-00155d82e902")</f>
        <v>https://kanzpp.ru/api/getInfo/image/379991b7-6fb7-11ed-a22a-00155d82e902</v>
      </c>
      <c r="U3985" s="6"/>
      <c r="V3985" s="33" t="s">
        <v>35</v>
      </c>
    </row>
    <row r="3986" spans="2:22" ht="21" customHeight="1" outlineLevel="7" x14ac:dyDescent="0.2">
      <c r="B3986" s="69">
        <v>3001</v>
      </c>
      <c r="C3986" s="6" t="s">
        <v>12606</v>
      </c>
      <c r="D3986" s="6" t="s">
        <v>12607</v>
      </c>
      <c r="E3986" s="7" t="s">
        <v>12608</v>
      </c>
      <c r="F3986" s="13"/>
      <c r="G3986" s="14"/>
      <c r="H3986" s="15">
        <v>160</v>
      </c>
      <c r="I3986" s="15">
        <v>20</v>
      </c>
      <c r="J3986" s="17">
        <v>3510</v>
      </c>
      <c r="K3986" s="5">
        <v>160</v>
      </c>
      <c r="L3986" s="16">
        <v>10.533333333333333</v>
      </c>
      <c r="M3986" s="12"/>
      <c r="N3986" s="14">
        <f t="shared" si="178"/>
        <v>0</v>
      </c>
      <c r="O3986" s="28">
        <f>0.05*M3986</f>
        <v>0</v>
      </c>
      <c r="P3986" s="31">
        <f>0.0001*M3986</f>
        <v>0</v>
      </c>
      <c r="Q3986" s="25"/>
      <c r="R3986" s="26" t="s">
        <v>12609</v>
      </c>
      <c r="S3986" s="26" t="s">
        <v>29</v>
      </c>
      <c r="T3986" s="6" t="str">
        <f>HYPERLINK("https://kanzpp.ru/api/getInfo/image/9fee1dd1-6fb5-11ed-a22a-00155d82e902")</f>
        <v>https://kanzpp.ru/api/getInfo/image/9fee1dd1-6fb5-11ed-a22a-00155d82e902</v>
      </c>
      <c r="U3986" s="6"/>
      <c r="V3986" s="33" t="s">
        <v>35</v>
      </c>
    </row>
    <row r="3987" spans="2:22" ht="21" customHeight="1" outlineLevel="7" x14ac:dyDescent="0.2">
      <c r="B3987" s="69">
        <v>3002</v>
      </c>
      <c r="C3987" s="6" t="s">
        <v>12610</v>
      </c>
      <c r="D3987" s="6" t="s">
        <v>12611</v>
      </c>
      <c r="E3987" s="7" t="s">
        <v>12612</v>
      </c>
      <c r="F3987" s="13"/>
      <c r="G3987" s="14"/>
      <c r="H3987" s="15">
        <v>160</v>
      </c>
      <c r="I3987" s="15">
        <v>20</v>
      </c>
      <c r="J3987" s="17">
        <v>13380</v>
      </c>
      <c r="K3987" s="5">
        <v>160</v>
      </c>
      <c r="L3987" s="16">
        <v>10.533333333333333</v>
      </c>
      <c r="M3987" s="12"/>
      <c r="N3987" s="14">
        <f t="shared" si="178"/>
        <v>0</v>
      </c>
      <c r="O3987" s="23">
        <f>8.161*M3987</f>
        <v>0</v>
      </c>
      <c r="P3987" s="31">
        <f>0.0172*M3987</f>
        <v>0</v>
      </c>
      <c r="Q3987" s="25"/>
      <c r="R3987" s="26" t="s">
        <v>12613</v>
      </c>
      <c r="S3987" s="26" t="s">
        <v>29</v>
      </c>
      <c r="T3987" s="6" t="str">
        <f>HYPERLINK("https://kanzpp.ru/api/getInfo/image/1864c1e4-6fb8-11ed-a22a-00155d82e902")</f>
        <v>https://kanzpp.ru/api/getInfo/image/1864c1e4-6fb8-11ed-a22a-00155d82e902</v>
      </c>
      <c r="U3987" s="6"/>
      <c r="V3987" s="33" t="s">
        <v>35</v>
      </c>
    </row>
    <row r="3988" spans="2:22" ht="21" customHeight="1" outlineLevel="7" x14ac:dyDescent="0.2">
      <c r="B3988" s="71">
        <v>3003</v>
      </c>
      <c r="C3988" s="37" t="s">
        <v>12614</v>
      </c>
      <c r="D3988" s="37" t="s">
        <v>12615</v>
      </c>
      <c r="E3988" s="38" t="s">
        <v>12616</v>
      </c>
      <c r="F3988" s="39"/>
      <c r="G3988" s="40"/>
      <c r="H3988" s="41">
        <v>160</v>
      </c>
      <c r="I3988" s="41">
        <v>20</v>
      </c>
      <c r="J3988" s="50">
        <v>6020</v>
      </c>
      <c r="K3988" s="36">
        <v>160</v>
      </c>
      <c r="L3988" s="42">
        <f>(17.47*(1-O3/100))/0.75</f>
        <v>23.293333333333333</v>
      </c>
      <c r="M3988" s="12"/>
      <c r="N3988" s="40">
        <f t="shared" si="178"/>
        <v>0</v>
      </c>
      <c r="O3988" s="43">
        <f>0.044*M3988</f>
        <v>0</v>
      </c>
      <c r="P3988" s="47">
        <f>0.00007*M3988</f>
        <v>0</v>
      </c>
      <c r="Q3988" s="44"/>
      <c r="R3988" s="45" t="s">
        <v>12617</v>
      </c>
      <c r="S3988" s="45" t="s">
        <v>29</v>
      </c>
      <c r="T3988" s="37" t="str">
        <f>HYPERLINK("https://kanzpp.ru/api/getInfo/image/e16e054a-9b4f-11ee-a256-00155d82e908")</f>
        <v>https://kanzpp.ru/api/getInfo/image/e16e054a-9b4f-11ee-a256-00155d82e908</v>
      </c>
      <c r="U3988" s="37"/>
    </row>
    <row r="3989" spans="2:22" ht="21" customHeight="1" outlineLevel="7" x14ac:dyDescent="0.2">
      <c r="B3989" s="71">
        <v>3004</v>
      </c>
      <c r="C3989" s="37" t="s">
        <v>12618</v>
      </c>
      <c r="D3989" s="37" t="s">
        <v>12619</v>
      </c>
      <c r="E3989" s="38" t="s">
        <v>12620</v>
      </c>
      <c r="F3989" s="39"/>
      <c r="G3989" s="40"/>
      <c r="H3989" s="41">
        <v>160</v>
      </c>
      <c r="I3989" s="41">
        <v>20</v>
      </c>
      <c r="J3989" s="50">
        <v>6315</v>
      </c>
      <c r="K3989" s="36">
        <v>160</v>
      </c>
      <c r="L3989" s="42">
        <f>(17.47*(1-O3/100))/0.75</f>
        <v>23.293333333333333</v>
      </c>
      <c r="M3989" s="12"/>
      <c r="N3989" s="40">
        <f t="shared" si="178"/>
        <v>0</v>
      </c>
      <c r="O3989" s="43">
        <f>0.052*M3989</f>
        <v>0</v>
      </c>
      <c r="P3989" s="47">
        <f>0.00024*M3989</f>
        <v>0</v>
      </c>
      <c r="Q3989" s="44"/>
      <c r="R3989" s="45" t="s">
        <v>12621</v>
      </c>
      <c r="S3989" s="45" t="s">
        <v>29</v>
      </c>
      <c r="T3989" s="37" t="str">
        <f>HYPERLINK("https://kanzpp.ru/api/getInfo/image/20e93318-4a5c-11ef-a262-00155d82e908")</f>
        <v>https://kanzpp.ru/api/getInfo/image/20e93318-4a5c-11ef-a262-00155d82e908</v>
      </c>
      <c r="U3989" s="37"/>
    </row>
    <row r="3990" spans="2:22" ht="22.95" customHeight="1" outlineLevel="6" x14ac:dyDescent="0.2">
      <c r="B3990" s="84" t="s">
        <v>12622</v>
      </c>
      <c r="C3990" s="84"/>
      <c r="D3990" s="84"/>
      <c r="L3990">
        <v>0</v>
      </c>
    </row>
    <row r="3991" spans="2:22" ht="21" customHeight="1" outlineLevel="7" x14ac:dyDescent="0.2">
      <c r="B3991" s="69">
        <v>3005</v>
      </c>
      <c r="C3991" s="6" t="s">
        <v>12623</v>
      </c>
      <c r="D3991" s="6" t="s">
        <v>12624</v>
      </c>
      <c r="E3991" s="7" t="s">
        <v>12625</v>
      </c>
      <c r="F3991" s="13"/>
      <c r="G3991" s="14"/>
      <c r="H3991" s="15">
        <v>150</v>
      </c>
      <c r="I3991" s="15">
        <v>15</v>
      </c>
      <c r="J3991" s="14" t="s">
        <v>144</v>
      </c>
      <c r="K3991" s="5">
        <v>150</v>
      </c>
      <c r="L3991" s="16">
        <v>10.533333333333333</v>
      </c>
      <c r="M3991" s="12"/>
      <c r="N3991" s="14">
        <f t="shared" ref="N3991:N3998" si="179">L3991*M3991</f>
        <v>0</v>
      </c>
      <c r="O3991" s="23">
        <f>0.048*M3991</f>
        <v>0</v>
      </c>
      <c r="P3991" s="24">
        <f>0.00017*M3991</f>
        <v>0</v>
      </c>
      <c r="Q3991" s="25"/>
      <c r="R3991" s="26" t="s">
        <v>12626</v>
      </c>
      <c r="S3991" s="26" t="s">
        <v>29</v>
      </c>
      <c r="T3991" s="6" t="str">
        <f>HYPERLINK("https://kanzpp.ru/api/getInfo/image/b9b093e6-c686-11e1-81d3-5ef3fc502493")</f>
        <v>https://kanzpp.ru/api/getInfo/image/b9b093e6-c686-11e1-81d3-5ef3fc502493</v>
      </c>
      <c r="U3991" s="6"/>
      <c r="V3991" s="33" t="s">
        <v>35</v>
      </c>
    </row>
    <row r="3992" spans="2:22" ht="21" customHeight="1" outlineLevel="7" x14ac:dyDescent="0.2">
      <c r="B3992" s="71">
        <v>3006</v>
      </c>
      <c r="C3992" s="37" t="s">
        <v>12627</v>
      </c>
      <c r="D3992" s="37" t="s">
        <v>12628</v>
      </c>
      <c r="E3992" s="38" t="s">
        <v>12629</v>
      </c>
      <c r="F3992" s="39"/>
      <c r="G3992" s="40"/>
      <c r="H3992" s="41">
        <v>160</v>
      </c>
      <c r="I3992" s="41">
        <v>20</v>
      </c>
      <c r="J3992" s="50">
        <v>3360</v>
      </c>
      <c r="K3992" s="36">
        <v>160</v>
      </c>
      <c r="L3992" s="42">
        <f>(17.47*(1-O3/100))/0.75</f>
        <v>23.293333333333333</v>
      </c>
      <c r="M3992" s="12"/>
      <c r="N3992" s="40">
        <f t="shared" si="179"/>
        <v>0</v>
      </c>
      <c r="O3992" s="43">
        <f>0.048*M3992</f>
        <v>0</v>
      </c>
      <c r="P3992" s="47">
        <f>0.00007*M3992</f>
        <v>0</v>
      </c>
      <c r="Q3992" s="44"/>
      <c r="R3992" s="45" t="s">
        <v>12630</v>
      </c>
      <c r="S3992" s="45" t="s">
        <v>29</v>
      </c>
      <c r="T3992" s="37" t="str">
        <f>HYPERLINK("https://kanzpp.ru/api/getInfo/image/34e1e572-fad4-11ed-a239-00155d82e902")</f>
        <v>https://kanzpp.ru/api/getInfo/image/34e1e572-fad4-11ed-a239-00155d82e902</v>
      </c>
      <c r="U3992" s="37"/>
    </row>
    <row r="3993" spans="2:22" ht="21" customHeight="1" outlineLevel="7" x14ac:dyDescent="0.2">
      <c r="B3993" s="71">
        <v>3007</v>
      </c>
      <c r="C3993" s="37" t="s">
        <v>12631</v>
      </c>
      <c r="D3993" s="37" t="s">
        <v>12632</v>
      </c>
      <c r="E3993" s="38" t="s">
        <v>12633</v>
      </c>
      <c r="F3993" s="39"/>
      <c r="G3993" s="40"/>
      <c r="H3993" s="41">
        <v>160</v>
      </c>
      <c r="I3993" s="41">
        <v>20</v>
      </c>
      <c r="J3993" s="50">
        <v>8980</v>
      </c>
      <c r="K3993" s="36">
        <v>160</v>
      </c>
      <c r="L3993" s="42">
        <f>(17.47*(1-O3/100))/0.75</f>
        <v>23.293333333333333</v>
      </c>
      <c r="M3993" s="12"/>
      <c r="N3993" s="40">
        <f t="shared" si="179"/>
        <v>0</v>
      </c>
      <c r="O3993" s="43">
        <f>0.046*M3993</f>
        <v>0</v>
      </c>
      <c r="P3993" s="47">
        <f>0.00007*M3993</f>
        <v>0</v>
      </c>
      <c r="Q3993" s="44"/>
      <c r="R3993" s="45" t="s">
        <v>12634</v>
      </c>
      <c r="S3993" s="45" t="s">
        <v>29</v>
      </c>
      <c r="T3993" s="37" t="str">
        <f>HYPERLINK("https://kanzpp.ru/api/getInfo/image/4e3802a2-fad3-11ed-a239-00155d82e902")</f>
        <v>https://kanzpp.ru/api/getInfo/image/4e3802a2-fad3-11ed-a239-00155d82e902</v>
      </c>
      <c r="U3993" s="37"/>
    </row>
    <row r="3994" spans="2:22" ht="21" customHeight="1" outlineLevel="7" x14ac:dyDescent="0.2">
      <c r="B3994" s="71">
        <v>3008</v>
      </c>
      <c r="C3994" s="37" t="s">
        <v>12635</v>
      </c>
      <c r="D3994" s="37" t="s">
        <v>12636</v>
      </c>
      <c r="E3994" s="38" t="s">
        <v>12637</v>
      </c>
      <c r="F3994" s="39"/>
      <c r="G3994" s="40"/>
      <c r="H3994" s="41">
        <v>160</v>
      </c>
      <c r="I3994" s="41">
        <v>20</v>
      </c>
      <c r="J3994" s="50">
        <v>16680</v>
      </c>
      <c r="K3994" s="36">
        <v>160</v>
      </c>
      <c r="L3994" s="42">
        <f>(17.47*(1-O3/100))/0.75</f>
        <v>23.293333333333333</v>
      </c>
      <c r="M3994" s="12"/>
      <c r="N3994" s="40">
        <f t="shared" si="179"/>
        <v>0</v>
      </c>
      <c r="O3994" s="48">
        <f>0.05*M3994</f>
        <v>0</v>
      </c>
      <c r="P3994" s="47">
        <f>0.00007*M3994</f>
        <v>0</v>
      </c>
      <c r="Q3994" s="44"/>
      <c r="R3994" s="45" t="s">
        <v>12638</v>
      </c>
      <c r="S3994" s="45" t="s">
        <v>29</v>
      </c>
      <c r="T3994" s="37" t="str">
        <f>HYPERLINK("https://kanzpp.ru/api/getInfo/image/7cb75c70-fad4-11ed-a239-00155d82e902")</f>
        <v>https://kanzpp.ru/api/getInfo/image/7cb75c70-fad4-11ed-a239-00155d82e902</v>
      </c>
      <c r="U3994" s="37"/>
    </row>
    <row r="3995" spans="2:22" ht="21" customHeight="1" outlineLevel="7" x14ac:dyDescent="0.2">
      <c r="B3995" s="71">
        <v>3009</v>
      </c>
      <c r="C3995" s="37" t="s">
        <v>12639</v>
      </c>
      <c r="D3995" s="37" t="s">
        <v>12640</v>
      </c>
      <c r="E3995" s="38" t="s">
        <v>12641</v>
      </c>
      <c r="F3995" s="39"/>
      <c r="G3995" s="40"/>
      <c r="H3995" s="41">
        <v>160</v>
      </c>
      <c r="I3995" s="41">
        <v>20</v>
      </c>
      <c r="J3995" s="50">
        <v>8000</v>
      </c>
      <c r="K3995" s="36">
        <v>160</v>
      </c>
      <c r="L3995" s="42">
        <f>(17.47*(1-O3/100))/0.75</f>
        <v>23.293333333333333</v>
      </c>
      <c r="M3995" s="12"/>
      <c r="N3995" s="40">
        <f t="shared" si="179"/>
        <v>0</v>
      </c>
      <c r="O3995" s="43">
        <f>0.047*M3995</f>
        <v>0</v>
      </c>
      <c r="P3995" s="47">
        <f>0.00014*M3995</f>
        <v>0</v>
      </c>
      <c r="Q3995" s="44"/>
      <c r="R3995" s="45" t="s">
        <v>12642</v>
      </c>
      <c r="S3995" s="45" t="s">
        <v>29</v>
      </c>
      <c r="T3995" s="37" t="str">
        <f>HYPERLINK("https://kanzpp.ru/api/getInfo/image/fd64bd6c-fad3-11ed-a239-00155d82e902")</f>
        <v>https://kanzpp.ru/api/getInfo/image/fd64bd6c-fad3-11ed-a239-00155d82e902</v>
      </c>
      <c r="U3995" s="37"/>
    </row>
    <row r="3996" spans="2:22" ht="21" customHeight="1" outlineLevel="7" x14ac:dyDescent="0.2">
      <c r="B3996" s="69">
        <v>3010</v>
      </c>
      <c r="C3996" s="6" t="s">
        <v>12643</v>
      </c>
      <c r="D3996" s="6" t="s">
        <v>12644</v>
      </c>
      <c r="E3996" s="7" t="s">
        <v>12645</v>
      </c>
      <c r="F3996" s="13"/>
      <c r="G3996" s="14"/>
      <c r="H3996" s="15">
        <v>150</v>
      </c>
      <c r="I3996" s="15">
        <v>10</v>
      </c>
      <c r="J3996" s="15">
        <v>30</v>
      </c>
      <c r="K3996" s="5">
        <v>30</v>
      </c>
      <c r="L3996" s="16">
        <v>10.533333333333333</v>
      </c>
      <c r="M3996" s="12"/>
      <c r="N3996" s="14">
        <f t="shared" si="179"/>
        <v>0</v>
      </c>
      <c r="O3996" s="23">
        <f>0.474*M3996</f>
        <v>0</v>
      </c>
      <c r="P3996" s="24">
        <f>0.00102*M3996</f>
        <v>0</v>
      </c>
      <c r="Q3996" s="25"/>
      <c r="R3996" s="26"/>
      <c r="S3996" s="26" t="s">
        <v>29</v>
      </c>
      <c r="T3996" s="6" t="str">
        <f>HYPERLINK("https://kanzpp.ru/api/getInfo/image/01c79ae1-68aa-11ec-a20f-ac1f6b442185")</f>
        <v>https://kanzpp.ru/api/getInfo/image/01c79ae1-68aa-11ec-a20f-ac1f6b442185</v>
      </c>
      <c r="U3996" s="6" t="s">
        <v>12646</v>
      </c>
      <c r="V3996" s="33" t="s">
        <v>35</v>
      </c>
    </row>
    <row r="3997" spans="2:22" ht="21" customHeight="1" outlineLevel="7" x14ac:dyDescent="0.2">
      <c r="B3997" s="69">
        <v>3011</v>
      </c>
      <c r="C3997" s="6" t="s">
        <v>12647</v>
      </c>
      <c r="D3997" s="6" t="s">
        <v>12648</v>
      </c>
      <c r="E3997" s="7" t="s">
        <v>12645</v>
      </c>
      <c r="F3997" s="13"/>
      <c r="G3997" s="14"/>
      <c r="H3997" s="15">
        <v>160</v>
      </c>
      <c r="I3997" s="15">
        <v>20</v>
      </c>
      <c r="J3997" s="17">
        <v>7536</v>
      </c>
      <c r="K3997" s="5">
        <v>160</v>
      </c>
      <c r="L3997" s="16">
        <v>15.866666666666667</v>
      </c>
      <c r="M3997" s="12"/>
      <c r="N3997" s="14">
        <f t="shared" si="179"/>
        <v>0</v>
      </c>
      <c r="O3997" s="23">
        <f>0.054*M3997</f>
        <v>0</v>
      </c>
      <c r="P3997" s="31">
        <f>0.0001*M3997</f>
        <v>0</v>
      </c>
      <c r="Q3997" s="25"/>
      <c r="R3997" s="26" t="s">
        <v>12646</v>
      </c>
      <c r="S3997" s="26" t="s">
        <v>29</v>
      </c>
      <c r="T3997" s="6" t="str">
        <f>HYPERLINK("https://kanzpp.ru/api/getInfo/image/10feb629-aa9a-11e8-a208-ac1f6b442184")</f>
        <v>https://kanzpp.ru/api/getInfo/image/10feb629-aa9a-11e8-a208-ac1f6b442184</v>
      </c>
      <c r="U3997" s="6" t="s">
        <v>12646</v>
      </c>
      <c r="V3997" s="33" t="s">
        <v>35</v>
      </c>
    </row>
    <row r="3998" spans="2:22" ht="21" customHeight="1" outlineLevel="7" x14ac:dyDescent="0.2">
      <c r="B3998" s="69">
        <v>3012</v>
      </c>
      <c r="C3998" s="6" t="s">
        <v>12649</v>
      </c>
      <c r="D3998" s="6" t="s">
        <v>12650</v>
      </c>
      <c r="E3998" s="7" t="s">
        <v>12651</v>
      </c>
      <c r="F3998" s="13"/>
      <c r="G3998" s="14"/>
      <c r="H3998" s="15">
        <v>160</v>
      </c>
      <c r="I3998" s="15">
        <v>20</v>
      </c>
      <c r="J3998" s="17">
        <v>12480</v>
      </c>
      <c r="K3998" s="5">
        <v>160</v>
      </c>
      <c r="L3998" s="16">
        <v>5.2</v>
      </c>
      <c r="M3998" s="12"/>
      <c r="N3998" s="14">
        <f t="shared" si="179"/>
        <v>0</v>
      </c>
      <c r="O3998" s="23">
        <f>0.053*M3998</f>
        <v>0</v>
      </c>
      <c r="P3998" s="24">
        <f>0.00006*M3998</f>
        <v>0</v>
      </c>
      <c r="Q3998" s="25"/>
      <c r="R3998" s="26" t="s">
        <v>12652</v>
      </c>
      <c r="S3998" s="26" t="s">
        <v>29</v>
      </c>
      <c r="T3998" s="6" t="str">
        <f>HYPERLINK("https://kanzpp.ru/api/getInfo/image/8fcbfdbf-8e30-11eb-a278-ac1f6b442184")</f>
        <v>https://kanzpp.ru/api/getInfo/image/8fcbfdbf-8e30-11eb-a278-ac1f6b442184</v>
      </c>
      <c r="U3998" s="6"/>
      <c r="V3998" s="33" t="s">
        <v>35</v>
      </c>
    </row>
    <row r="3999" spans="2:22" ht="22.95" customHeight="1" outlineLevel="5" x14ac:dyDescent="0.2">
      <c r="B3999" s="83" t="s">
        <v>12653</v>
      </c>
      <c r="C3999" s="83"/>
      <c r="D3999" s="83"/>
      <c r="L3999">
        <v>0</v>
      </c>
    </row>
    <row r="4000" spans="2:22" ht="22.95" customHeight="1" outlineLevel="6" x14ac:dyDescent="0.2">
      <c r="B4000" s="84" t="s">
        <v>12654</v>
      </c>
      <c r="C4000" s="84"/>
      <c r="D4000" s="84"/>
      <c r="L4000">
        <v>0</v>
      </c>
    </row>
    <row r="4001" spans="2:21" ht="22.95" customHeight="1" outlineLevel="7" x14ac:dyDescent="0.2">
      <c r="B4001" s="85" t="s">
        <v>12655</v>
      </c>
      <c r="C4001" s="85"/>
      <c r="D4001" s="85"/>
      <c r="L4001">
        <v>0</v>
      </c>
    </row>
    <row r="4002" spans="2:21" ht="21" customHeight="1" outlineLevel="7" x14ac:dyDescent="0.2">
      <c r="B4002" s="71">
        <v>3013</v>
      </c>
      <c r="C4002" s="37" t="s">
        <v>12656</v>
      </c>
      <c r="D4002" s="37" t="s">
        <v>12657</v>
      </c>
      <c r="E4002" s="38" t="s">
        <v>12658</v>
      </c>
      <c r="F4002" s="39"/>
      <c r="G4002" s="40"/>
      <c r="H4002" s="41">
        <v>140</v>
      </c>
      <c r="I4002" s="41">
        <v>10</v>
      </c>
      <c r="J4002" s="50">
        <v>1540</v>
      </c>
      <c r="K4002" s="36">
        <v>140</v>
      </c>
      <c r="L4002" s="42">
        <f>(20.2*(1-O3/100))/0.75</f>
        <v>26.933333333333334</v>
      </c>
      <c r="M4002" s="12"/>
      <c r="N4002" s="40">
        <f>L4002*M4002</f>
        <v>0</v>
      </c>
      <c r="O4002" s="43">
        <f>0.052*M4002</f>
        <v>0</v>
      </c>
      <c r="P4002" s="47">
        <f>0.00031*M4002</f>
        <v>0</v>
      </c>
      <c r="Q4002" s="44"/>
      <c r="R4002" s="45" t="s">
        <v>12659</v>
      </c>
      <c r="S4002" s="45" t="s">
        <v>29</v>
      </c>
      <c r="T4002" s="37" t="str">
        <f>HYPERLINK("https://kanzpp.ru/api/getInfo/image/814dd5b7-19ae-11ef-a25d-00155d82e908")</f>
        <v>https://kanzpp.ru/api/getInfo/image/814dd5b7-19ae-11ef-a25d-00155d82e908</v>
      </c>
      <c r="U4002" s="37"/>
    </row>
    <row r="4003" spans="2:21" ht="21" customHeight="1" outlineLevel="7" x14ac:dyDescent="0.2">
      <c r="B4003" s="71">
        <v>3014</v>
      </c>
      <c r="C4003" s="37" t="s">
        <v>12660</v>
      </c>
      <c r="D4003" s="37" t="s">
        <v>12661</v>
      </c>
      <c r="E4003" s="38" t="s">
        <v>12662</v>
      </c>
      <c r="F4003" s="39"/>
      <c r="G4003" s="40"/>
      <c r="H4003" s="41">
        <v>140</v>
      </c>
      <c r="I4003" s="41">
        <v>10</v>
      </c>
      <c r="J4003" s="41">
        <v>630</v>
      </c>
      <c r="K4003" s="36">
        <v>140</v>
      </c>
      <c r="L4003" s="42">
        <f>(20.2*(1-O3/100))/0.75</f>
        <v>26.933333333333334</v>
      </c>
      <c r="M4003" s="12"/>
      <c r="N4003" s="40">
        <f>L4003*M4003</f>
        <v>0</v>
      </c>
      <c r="O4003" s="43">
        <f>0.052*M4003</f>
        <v>0</v>
      </c>
      <c r="P4003" s="47">
        <f>0.00031*M4003</f>
        <v>0</v>
      </c>
      <c r="Q4003" s="44"/>
      <c r="R4003" s="45" t="s">
        <v>12663</v>
      </c>
      <c r="S4003" s="45" t="s">
        <v>29</v>
      </c>
      <c r="T4003" s="37" t="str">
        <f>HYPERLINK("https://kanzpp.ru/api/getInfo/image/a790318e-19ae-11ef-a25d-00155d82e908")</f>
        <v>https://kanzpp.ru/api/getInfo/image/a790318e-19ae-11ef-a25d-00155d82e908</v>
      </c>
      <c r="U4003" s="37"/>
    </row>
    <row r="4004" spans="2:21" ht="21" customHeight="1" outlineLevel="7" x14ac:dyDescent="0.2">
      <c r="B4004" s="71">
        <v>3015</v>
      </c>
      <c r="C4004" s="37" t="s">
        <v>12664</v>
      </c>
      <c r="D4004" s="37" t="s">
        <v>12665</v>
      </c>
      <c r="E4004" s="38" t="s">
        <v>12666</v>
      </c>
      <c r="F4004" s="39"/>
      <c r="G4004" s="40"/>
      <c r="H4004" s="41">
        <v>140</v>
      </c>
      <c r="I4004" s="41">
        <v>10</v>
      </c>
      <c r="J4004" s="50">
        <v>3560</v>
      </c>
      <c r="K4004" s="36">
        <v>140</v>
      </c>
      <c r="L4004" s="42">
        <f>(20.2*(1-O3/100))/0.75</f>
        <v>26.933333333333334</v>
      </c>
      <c r="M4004" s="12"/>
      <c r="N4004" s="40">
        <f>L4004*M4004</f>
        <v>0</v>
      </c>
      <c r="O4004" s="43">
        <f>0.052*M4004</f>
        <v>0</v>
      </c>
      <c r="P4004" s="47">
        <f>0.00031*M4004</f>
        <v>0</v>
      </c>
      <c r="Q4004" s="44"/>
      <c r="R4004" s="45" t="s">
        <v>12667</v>
      </c>
      <c r="S4004" s="45" t="s">
        <v>29</v>
      </c>
      <c r="T4004" s="37" t="str">
        <f>HYPERLINK("https://kanzpp.ru/api/getInfo/image/c54a9c6e-19ae-11ef-a25d-00155d82e908")</f>
        <v>https://kanzpp.ru/api/getInfo/image/c54a9c6e-19ae-11ef-a25d-00155d82e908</v>
      </c>
      <c r="U4004" s="37"/>
    </row>
    <row r="4005" spans="2:21" ht="21" customHeight="1" outlineLevel="7" x14ac:dyDescent="0.2">
      <c r="B4005" s="71">
        <v>3016</v>
      </c>
      <c r="C4005" s="37" t="s">
        <v>12668</v>
      </c>
      <c r="D4005" s="37" t="s">
        <v>12669</v>
      </c>
      <c r="E4005" s="38" t="s">
        <v>12670</v>
      </c>
      <c r="F4005" s="39"/>
      <c r="G4005" s="40"/>
      <c r="H4005" s="41">
        <v>140</v>
      </c>
      <c r="I4005" s="41">
        <v>10</v>
      </c>
      <c r="J4005" s="50">
        <v>2330</v>
      </c>
      <c r="K4005" s="36">
        <v>140</v>
      </c>
      <c r="L4005" s="42">
        <f>(20.2*(1-O3/100))/0.75</f>
        <v>26.933333333333334</v>
      </c>
      <c r="M4005" s="12"/>
      <c r="N4005" s="40">
        <f>L4005*M4005</f>
        <v>0</v>
      </c>
      <c r="O4005" s="43">
        <f>0.052*M4005</f>
        <v>0</v>
      </c>
      <c r="P4005" s="47">
        <f>0.00031*M4005</f>
        <v>0</v>
      </c>
      <c r="Q4005" s="44"/>
      <c r="R4005" s="45" t="s">
        <v>12671</v>
      </c>
      <c r="S4005" s="45" t="s">
        <v>29</v>
      </c>
      <c r="T4005" s="37" t="str">
        <f>HYPERLINK("https://kanzpp.ru/api/getInfo/image/ddde8ea9-19ae-11ef-a25d-00155d82e908")</f>
        <v>https://kanzpp.ru/api/getInfo/image/ddde8ea9-19ae-11ef-a25d-00155d82e908</v>
      </c>
      <c r="U4005" s="37"/>
    </row>
    <row r="4006" spans="2:21" ht="22.95" customHeight="1" outlineLevel="7" x14ac:dyDescent="0.2">
      <c r="B4006" s="85" t="s">
        <v>12672</v>
      </c>
      <c r="C4006" s="85"/>
      <c r="D4006" s="85"/>
      <c r="L4006">
        <v>0</v>
      </c>
    </row>
    <row r="4007" spans="2:21" ht="21" customHeight="1" outlineLevel="7" x14ac:dyDescent="0.2">
      <c r="B4007" s="71">
        <v>3017</v>
      </c>
      <c r="C4007" s="37" t="s">
        <v>12673</v>
      </c>
      <c r="D4007" s="37" t="s">
        <v>12674</v>
      </c>
      <c r="E4007" s="38" t="s">
        <v>12675</v>
      </c>
      <c r="F4007" s="39"/>
      <c r="G4007" s="40"/>
      <c r="H4007" s="41">
        <v>140</v>
      </c>
      <c r="I4007" s="41">
        <v>10</v>
      </c>
      <c r="J4007" s="40" t="s">
        <v>144</v>
      </c>
      <c r="K4007" s="36">
        <v>140</v>
      </c>
      <c r="L4007" s="42">
        <f>(20.2*(1-O3/100))/0.75</f>
        <v>26.933333333333334</v>
      </c>
      <c r="M4007" s="12"/>
      <c r="N4007" s="40">
        <f t="shared" ref="N4007:N4012" si="180">L4007*M4007</f>
        <v>0</v>
      </c>
      <c r="O4007" s="43">
        <f>0.051*M4007</f>
        <v>0</v>
      </c>
      <c r="P4007" s="47">
        <f>0.00018*M4007</f>
        <v>0</v>
      </c>
      <c r="Q4007" s="44"/>
      <c r="R4007" s="45" t="s">
        <v>12676</v>
      </c>
      <c r="S4007" s="45" t="s">
        <v>29</v>
      </c>
      <c r="T4007" s="37" t="str">
        <f>HYPERLINK("https://kanzpp.ru/api/getInfo/image/05737998-19af-11ef-a25d-00155d82e908")</f>
        <v>https://kanzpp.ru/api/getInfo/image/05737998-19af-11ef-a25d-00155d82e908</v>
      </c>
      <c r="U4007" s="37"/>
    </row>
    <row r="4008" spans="2:21" ht="21" customHeight="1" outlineLevel="7" x14ac:dyDescent="0.2">
      <c r="B4008" s="71">
        <v>3018</v>
      </c>
      <c r="C4008" s="37" t="s">
        <v>12677</v>
      </c>
      <c r="D4008" s="37" t="s">
        <v>12678</v>
      </c>
      <c r="E4008" s="38" t="s">
        <v>12679</v>
      </c>
      <c r="F4008" s="39"/>
      <c r="G4008" s="40"/>
      <c r="H4008" s="41">
        <v>140</v>
      </c>
      <c r="I4008" s="41">
        <v>10</v>
      </c>
      <c r="J4008" s="50">
        <v>5320</v>
      </c>
      <c r="K4008" s="36">
        <v>140</v>
      </c>
      <c r="L4008" s="42">
        <f>(20.2*(1-O3/100))/0.75</f>
        <v>26.933333333333334</v>
      </c>
      <c r="M4008" s="12"/>
      <c r="N4008" s="40">
        <f t="shared" si="180"/>
        <v>0</v>
      </c>
      <c r="O4008" s="43">
        <f>0.108*M4008</f>
        <v>0</v>
      </c>
      <c r="P4008" s="47">
        <f>0.00021*M4008</f>
        <v>0</v>
      </c>
      <c r="Q4008" s="44"/>
      <c r="R4008" s="45" t="s">
        <v>12680</v>
      </c>
      <c r="S4008" s="45" t="s">
        <v>29</v>
      </c>
      <c r="T4008" s="37" t="str">
        <f>HYPERLINK("https://kanzpp.ru/api/getInfo/image/2d9c3732-19af-11ef-a25d-00155d82e908")</f>
        <v>https://kanzpp.ru/api/getInfo/image/2d9c3732-19af-11ef-a25d-00155d82e908</v>
      </c>
      <c r="U4008" s="37"/>
    </row>
    <row r="4009" spans="2:21" ht="21" customHeight="1" outlineLevel="7" x14ac:dyDescent="0.2">
      <c r="B4009" s="71">
        <v>3019</v>
      </c>
      <c r="C4009" s="37" t="s">
        <v>12681</v>
      </c>
      <c r="D4009" s="37" t="s">
        <v>12682</v>
      </c>
      <c r="E4009" s="38" t="s">
        <v>12683</v>
      </c>
      <c r="F4009" s="39"/>
      <c r="G4009" s="40"/>
      <c r="H4009" s="41">
        <v>140</v>
      </c>
      <c r="I4009" s="41">
        <v>10</v>
      </c>
      <c r="J4009" s="50">
        <v>9520</v>
      </c>
      <c r="K4009" s="36">
        <v>140</v>
      </c>
      <c r="L4009" s="42">
        <f>(20.2*(1-O3/100))/0.75</f>
        <v>26.933333333333334</v>
      </c>
      <c r="M4009" s="12"/>
      <c r="N4009" s="40">
        <f t="shared" si="180"/>
        <v>0</v>
      </c>
      <c r="O4009" s="43">
        <f>0.108*M4009</f>
        <v>0</v>
      </c>
      <c r="P4009" s="47">
        <f>0.00021*M4009</f>
        <v>0</v>
      </c>
      <c r="Q4009" s="44"/>
      <c r="R4009" s="45" t="s">
        <v>12684</v>
      </c>
      <c r="S4009" s="45" t="s">
        <v>29</v>
      </c>
      <c r="T4009" s="37" t="str">
        <f>HYPERLINK("https://kanzpp.ru/api/getInfo/image/4b412ce0-19af-11ef-a25d-00155d82e908")</f>
        <v>https://kanzpp.ru/api/getInfo/image/4b412ce0-19af-11ef-a25d-00155d82e908</v>
      </c>
      <c r="U4009" s="37"/>
    </row>
    <row r="4010" spans="2:21" ht="21" customHeight="1" outlineLevel="7" x14ac:dyDescent="0.2">
      <c r="B4010" s="71">
        <v>3020</v>
      </c>
      <c r="C4010" s="37" t="s">
        <v>12685</v>
      </c>
      <c r="D4010" s="37" t="s">
        <v>12686</v>
      </c>
      <c r="E4010" s="38" t="s">
        <v>12687</v>
      </c>
      <c r="F4010" s="39"/>
      <c r="G4010" s="40"/>
      <c r="H4010" s="41">
        <v>140</v>
      </c>
      <c r="I4010" s="41">
        <v>10</v>
      </c>
      <c r="J4010" s="50">
        <v>3780</v>
      </c>
      <c r="K4010" s="36">
        <v>140</v>
      </c>
      <c r="L4010" s="42">
        <f>(20.2*(1-O3/100))/0.75</f>
        <v>26.933333333333334</v>
      </c>
      <c r="M4010" s="12"/>
      <c r="N4010" s="40">
        <f t="shared" si="180"/>
        <v>0</v>
      </c>
      <c r="O4010" s="43">
        <f>0.108*M4010</f>
        <v>0</v>
      </c>
      <c r="P4010" s="47">
        <f>0.00021*M4010</f>
        <v>0</v>
      </c>
      <c r="Q4010" s="44"/>
      <c r="R4010" s="45" t="s">
        <v>12688</v>
      </c>
      <c r="S4010" s="45" t="s">
        <v>29</v>
      </c>
      <c r="T4010" s="37" t="str">
        <f>HYPERLINK("https://kanzpp.ru/api/getInfo/image/6a50896d-19af-11ef-a25d-00155d82e908")</f>
        <v>https://kanzpp.ru/api/getInfo/image/6a50896d-19af-11ef-a25d-00155d82e908</v>
      </c>
      <c r="U4010" s="37"/>
    </row>
    <row r="4011" spans="2:21" ht="21" customHeight="1" outlineLevel="7" x14ac:dyDescent="0.2">
      <c r="B4011" s="71">
        <v>3021</v>
      </c>
      <c r="C4011" s="37" t="s">
        <v>12689</v>
      </c>
      <c r="D4011" s="37" t="s">
        <v>12690</v>
      </c>
      <c r="E4011" s="38" t="s">
        <v>12691</v>
      </c>
      <c r="F4011" s="39"/>
      <c r="G4011" s="40"/>
      <c r="H4011" s="41">
        <v>140</v>
      </c>
      <c r="I4011" s="41">
        <v>10</v>
      </c>
      <c r="J4011" s="50">
        <v>2538</v>
      </c>
      <c r="K4011" s="36">
        <v>140</v>
      </c>
      <c r="L4011" s="42">
        <f>(20.2*(1-O3/100))/0.75</f>
        <v>26.933333333333334</v>
      </c>
      <c r="M4011" s="12"/>
      <c r="N4011" s="40">
        <f t="shared" si="180"/>
        <v>0</v>
      </c>
      <c r="O4011" s="43">
        <f>0.108*M4011</f>
        <v>0</v>
      </c>
      <c r="P4011" s="47">
        <f>0.00021*M4011</f>
        <v>0</v>
      </c>
      <c r="Q4011" s="44"/>
      <c r="R4011" s="45" t="s">
        <v>12692</v>
      </c>
      <c r="S4011" s="45" t="s">
        <v>29</v>
      </c>
      <c r="T4011" s="37" t="str">
        <f>HYPERLINK("https://kanzpp.ru/api/getInfo/image/88016475-19af-11ef-a25d-00155d82e908")</f>
        <v>https://kanzpp.ru/api/getInfo/image/88016475-19af-11ef-a25d-00155d82e908</v>
      </c>
      <c r="U4011" s="37"/>
    </row>
    <row r="4012" spans="2:21" ht="21" customHeight="1" outlineLevel="7" x14ac:dyDescent="0.2">
      <c r="B4012" s="71">
        <v>3022</v>
      </c>
      <c r="C4012" s="37" t="s">
        <v>12693</v>
      </c>
      <c r="D4012" s="37" t="s">
        <v>12694</v>
      </c>
      <c r="E4012" s="38" t="s">
        <v>12695</v>
      </c>
      <c r="F4012" s="39"/>
      <c r="G4012" s="40"/>
      <c r="H4012" s="41">
        <v>140</v>
      </c>
      <c r="I4012" s="41">
        <v>10</v>
      </c>
      <c r="J4012" s="50">
        <v>5180</v>
      </c>
      <c r="K4012" s="36">
        <v>140</v>
      </c>
      <c r="L4012" s="42">
        <f>(20.2*(1-O3/100))/0.75</f>
        <v>26.933333333333334</v>
      </c>
      <c r="M4012" s="12"/>
      <c r="N4012" s="40">
        <f t="shared" si="180"/>
        <v>0</v>
      </c>
      <c r="O4012" s="43">
        <f>0.108*M4012</f>
        <v>0</v>
      </c>
      <c r="P4012" s="47">
        <f>0.00021*M4012</f>
        <v>0</v>
      </c>
      <c r="Q4012" s="44"/>
      <c r="R4012" s="45" t="s">
        <v>12696</v>
      </c>
      <c r="S4012" s="45" t="s">
        <v>29</v>
      </c>
      <c r="T4012" s="37" t="str">
        <f>HYPERLINK("https://kanzpp.ru/api/getInfo/image/a8718ca0-19af-11ef-a25d-00155d82e908")</f>
        <v>https://kanzpp.ru/api/getInfo/image/a8718ca0-19af-11ef-a25d-00155d82e908</v>
      </c>
      <c r="U4012" s="37"/>
    </row>
    <row r="4013" spans="2:21" ht="22.95" customHeight="1" outlineLevel="6" x14ac:dyDescent="0.2">
      <c r="B4013" s="84" t="s">
        <v>12697</v>
      </c>
      <c r="C4013" s="84"/>
      <c r="D4013" s="84"/>
      <c r="L4013">
        <v>0</v>
      </c>
    </row>
    <row r="4014" spans="2:21" ht="22.95" customHeight="1" outlineLevel="7" x14ac:dyDescent="0.2">
      <c r="B4014" s="85" t="s">
        <v>12698</v>
      </c>
      <c r="C4014" s="85"/>
      <c r="D4014" s="85"/>
      <c r="L4014">
        <v>0</v>
      </c>
    </row>
    <row r="4015" spans="2:21" ht="21" customHeight="1" outlineLevel="7" x14ac:dyDescent="0.2">
      <c r="B4015" s="71">
        <v>3023</v>
      </c>
      <c r="C4015" s="37" t="s">
        <v>12699</v>
      </c>
      <c r="D4015" s="37" t="s">
        <v>12700</v>
      </c>
      <c r="E4015" s="38" t="s">
        <v>12701</v>
      </c>
      <c r="F4015" s="39"/>
      <c r="G4015" s="40"/>
      <c r="H4015" s="41">
        <v>140</v>
      </c>
      <c r="I4015" s="41">
        <v>10</v>
      </c>
      <c r="J4015" s="41">
        <v>260</v>
      </c>
      <c r="K4015" s="36">
        <v>140</v>
      </c>
      <c r="L4015" s="42">
        <f>(20.2*(1-O3/100))/0.75</f>
        <v>26.933333333333334</v>
      </c>
      <c r="M4015" s="12"/>
      <c r="N4015" s="40">
        <f>L4015*M4015</f>
        <v>0</v>
      </c>
      <c r="O4015" s="43">
        <f>0.052*M4015</f>
        <v>0</v>
      </c>
      <c r="P4015" s="47">
        <f>0.00031*M4015</f>
        <v>0</v>
      </c>
      <c r="Q4015" s="44"/>
      <c r="R4015" s="45" t="s">
        <v>12702</v>
      </c>
      <c r="S4015" s="45" t="s">
        <v>29</v>
      </c>
      <c r="T4015" s="37" t="str">
        <f>HYPERLINK("https://kanzpp.ru/api/getInfo/image/e802646f-19ab-11ef-a25d-00155d82e908")</f>
        <v>https://kanzpp.ru/api/getInfo/image/e802646f-19ab-11ef-a25d-00155d82e908</v>
      </c>
      <c r="U4015" s="37"/>
    </row>
    <row r="4016" spans="2:21" ht="22.95" customHeight="1" outlineLevel="5" x14ac:dyDescent="0.2">
      <c r="B4016" s="83" t="s">
        <v>12703</v>
      </c>
      <c r="C4016" s="83"/>
      <c r="D4016" s="83"/>
      <c r="L4016">
        <v>0</v>
      </c>
    </row>
    <row r="4017" spans="2:22" ht="22.95" customHeight="1" outlineLevel="6" x14ac:dyDescent="0.2">
      <c r="B4017" s="84" t="s">
        <v>12704</v>
      </c>
      <c r="C4017" s="84"/>
      <c r="D4017" s="84"/>
      <c r="L4017">
        <v>0</v>
      </c>
    </row>
    <row r="4018" spans="2:22" ht="21" customHeight="1" outlineLevel="7" x14ac:dyDescent="0.2">
      <c r="B4018" s="69">
        <v>3024</v>
      </c>
      <c r="C4018" s="6" t="s">
        <v>12705</v>
      </c>
      <c r="D4018" s="6" t="s">
        <v>12706</v>
      </c>
      <c r="E4018" s="7" t="s">
        <v>12707</v>
      </c>
      <c r="F4018" s="13"/>
      <c r="G4018" s="14"/>
      <c r="H4018" s="15">
        <v>140</v>
      </c>
      <c r="I4018" s="15">
        <v>10</v>
      </c>
      <c r="J4018" s="17">
        <v>6550</v>
      </c>
      <c r="K4018" s="5">
        <v>140</v>
      </c>
      <c r="L4018" s="16">
        <v>15.866666666666667</v>
      </c>
      <c r="M4018" s="12"/>
      <c r="N4018" s="14">
        <f>L4018*M4018</f>
        <v>0</v>
      </c>
      <c r="O4018" s="23">
        <f>0.058*M4018</f>
        <v>0</v>
      </c>
      <c r="P4018" s="31">
        <f>0.0001*M4018</f>
        <v>0</v>
      </c>
      <c r="Q4018" s="25"/>
      <c r="R4018" s="26" t="s">
        <v>12708</v>
      </c>
      <c r="S4018" s="26" t="s">
        <v>29</v>
      </c>
      <c r="T4018" s="6"/>
      <c r="U4018" s="6"/>
      <c r="V4018" s="33" t="s">
        <v>35</v>
      </c>
    </row>
    <row r="4019" spans="2:22" ht="22.95" customHeight="1" outlineLevel="6" x14ac:dyDescent="0.2">
      <c r="B4019" s="84" t="s">
        <v>12709</v>
      </c>
      <c r="C4019" s="84"/>
      <c r="D4019" s="84"/>
      <c r="L4019">
        <v>0</v>
      </c>
    </row>
    <row r="4020" spans="2:22" ht="21" customHeight="1" outlineLevel="7" x14ac:dyDescent="0.2">
      <c r="B4020" s="69">
        <v>3025</v>
      </c>
      <c r="C4020" s="6" t="s">
        <v>12710</v>
      </c>
      <c r="D4020" s="6" t="s">
        <v>12711</v>
      </c>
      <c r="E4020" s="7" t="s">
        <v>12712</v>
      </c>
      <c r="F4020" s="13"/>
      <c r="G4020" s="14"/>
      <c r="H4020" s="15">
        <v>140</v>
      </c>
      <c r="I4020" s="15">
        <v>10</v>
      </c>
      <c r="J4020" s="17">
        <v>3270</v>
      </c>
      <c r="K4020" s="5">
        <v>140</v>
      </c>
      <c r="L4020" s="16">
        <v>15.866666666666667</v>
      </c>
      <c r="M4020" s="12"/>
      <c r="N4020" s="14">
        <f>L4020*M4020</f>
        <v>0</v>
      </c>
      <c r="O4020" s="23">
        <f>0.057*M4020</f>
        <v>0</v>
      </c>
      <c r="P4020" s="31">
        <f>0.0001*M4020</f>
        <v>0</v>
      </c>
      <c r="Q4020" s="25"/>
      <c r="R4020" s="26" t="s">
        <v>12713</v>
      </c>
      <c r="S4020" s="26" t="s">
        <v>29</v>
      </c>
      <c r="T4020" s="6" t="str">
        <f>HYPERLINK("https://kanzpp.ru/api/getInfo/image/71895226-9614-11ec-a211-ac1f6b442185")</f>
        <v>https://kanzpp.ru/api/getInfo/image/71895226-9614-11ec-a211-ac1f6b442185</v>
      </c>
      <c r="U4020" s="6"/>
      <c r="V4020" s="33" t="s">
        <v>35</v>
      </c>
    </row>
    <row r="4021" spans="2:22" ht="21" customHeight="1" outlineLevel="7" x14ac:dyDescent="0.2">
      <c r="B4021" s="69">
        <v>3026</v>
      </c>
      <c r="C4021" s="6" t="s">
        <v>12714</v>
      </c>
      <c r="D4021" s="6" t="s">
        <v>12715</v>
      </c>
      <c r="E4021" s="7" t="s">
        <v>12716</v>
      </c>
      <c r="F4021" s="13"/>
      <c r="G4021" s="14"/>
      <c r="H4021" s="15">
        <v>140</v>
      </c>
      <c r="I4021" s="15">
        <v>10</v>
      </c>
      <c r="J4021" s="17">
        <v>1380</v>
      </c>
      <c r="K4021" s="5">
        <v>140</v>
      </c>
      <c r="L4021" s="16">
        <v>15.866666666666667</v>
      </c>
      <c r="M4021" s="12"/>
      <c r="N4021" s="14">
        <f>L4021*M4021</f>
        <v>0</v>
      </c>
      <c r="O4021" s="23">
        <f>0.058*M4021</f>
        <v>0</v>
      </c>
      <c r="P4021" s="31">
        <f>0.0001*M4021</f>
        <v>0</v>
      </c>
      <c r="Q4021" s="25"/>
      <c r="R4021" s="26" t="s">
        <v>12717</v>
      </c>
      <c r="S4021" s="26" t="s">
        <v>29</v>
      </c>
      <c r="T4021" s="6"/>
      <c r="U4021" s="6"/>
      <c r="V4021" s="33" t="s">
        <v>35</v>
      </c>
    </row>
    <row r="4022" spans="2:22" ht="21" customHeight="1" outlineLevel="7" x14ac:dyDescent="0.2">
      <c r="B4022" s="69">
        <v>3027</v>
      </c>
      <c r="C4022" s="6" t="s">
        <v>12718</v>
      </c>
      <c r="D4022" s="6" t="s">
        <v>12719</v>
      </c>
      <c r="E4022" s="7" t="s">
        <v>12720</v>
      </c>
      <c r="F4022" s="13"/>
      <c r="G4022" s="14"/>
      <c r="H4022" s="15">
        <v>140</v>
      </c>
      <c r="I4022" s="15">
        <v>10</v>
      </c>
      <c r="J4022" s="15">
        <v>140</v>
      </c>
      <c r="K4022" s="5">
        <v>140</v>
      </c>
      <c r="L4022" s="16">
        <v>15.866666666666667</v>
      </c>
      <c r="M4022" s="12"/>
      <c r="N4022" s="14">
        <f>L4022*M4022</f>
        <v>0</v>
      </c>
      <c r="O4022" s="23">
        <f>0.059*M4022</f>
        <v>0</v>
      </c>
      <c r="P4022" s="31">
        <f>0.0001*M4022</f>
        <v>0</v>
      </c>
      <c r="Q4022" s="25"/>
      <c r="R4022" s="26" t="s">
        <v>12721</v>
      </c>
      <c r="S4022" s="26" t="s">
        <v>29</v>
      </c>
      <c r="T4022" s="6" t="str">
        <f>HYPERLINK("https://kanzpp.ru/api/getInfo/image/c9b68558-9614-11ec-a211-ac1f6b442185")</f>
        <v>https://kanzpp.ru/api/getInfo/image/c9b68558-9614-11ec-a211-ac1f6b442185</v>
      </c>
      <c r="U4022" s="6"/>
      <c r="V4022" s="33" t="s">
        <v>35</v>
      </c>
    </row>
    <row r="4023" spans="2:22" ht="21" customHeight="1" outlineLevel="7" x14ac:dyDescent="0.2">
      <c r="B4023" s="69">
        <v>3028</v>
      </c>
      <c r="C4023" s="6" t="s">
        <v>12722</v>
      </c>
      <c r="D4023" s="6" t="s">
        <v>12723</v>
      </c>
      <c r="E4023" s="7" t="s">
        <v>12724</v>
      </c>
      <c r="F4023" s="13"/>
      <c r="G4023" s="14"/>
      <c r="H4023" s="15">
        <v>140</v>
      </c>
      <c r="I4023" s="15">
        <v>10</v>
      </c>
      <c r="J4023" s="17">
        <v>2800</v>
      </c>
      <c r="K4023" s="5">
        <v>140</v>
      </c>
      <c r="L4023" s="16">
        <v>15.866666666666667</v>
      </c>
      <c r="M4023" s="12"/>
      <c r="N4023" s="14">
        <f>L4023*M4023</f>
        <v>0</v>
      </c>
      <c r="O4023" s="23">
        <f>0.061*M4023</f>
        <v>0</v>
      </c>
      <c r="P4023" s="24">
        <f>0.00014*M4023</f>
        <v>0</v>
      </c>
      <c r="Q4023" s="25"/>
      <c r="R4023" s="26" t="s">
        <v>12725</v>
      </c>
      <c r="S4023" s="26" t="s">
        <v>29</v>
      </c>
      <c r="T4023" s="6" t="str">
        <f>HYPERLINK("https://kanzpp.ru/api/getInfo/image/ec660f4f-9614-11ec-a211-ac1f6b442185")</f>
        <v>https://kanzpp.ru/api/getInfo/image/ec660f4f-9614-11ec-a211-ac1f6b442185</v>
      </c>
      <c r="U4023" s="6"/>
      <c r="V4023" s="33" t="s">
        <v>35</v>
      </c>
    </row>
    <row r="4024" spans="2:22" ht="22.95" customHeight="1" outlineLevel="5" x14ac:dyDescent="0.2">
      <c r="B4024" s="83" t="s">
        <v>12726</v>
      </c>
      <c r="C4024" s="83"/>
      <c r="D4024" s="83"/>
      <c r="L4024">
        <v>0</v>
      </c>
    </row>
    <row r="4025" spans="2:22" ht="21" customHeight="1" outlineLevel="6" x14ac:dyDescent="0.2">
      <c r="B4025" s="69">
        <v>3029</v>
      </c>
      <c r="C4025" s="6" t="s">
        <v>12727</v>
      </c>
      <c r="D4025" s="6" t="s">
        <v>12728</v>
      </c>
      <c r="E4025" s="7" t="s">
        <v>12729</v>
      </c>
      <c r="F4025" s="13"/>
      <c r="G4025" s="14"/>
      <c r="H4025" s="15">
        <v>150</v>
      </c>
      <c r="I4025" s="15">
        <v>15</v>
      </c>
      <c r="J4025" s="15">
        <v>345</v>
      </c>
      <c r="K4025" s="5">
        <v>15</v>
      </c>
      <c r="L4025" s="16">
        <v>10.533333333333333</v>
      </c>
      <c r="M4025" s="12"/>
      <c r="N4025" s="14">
        <f>L4025*M4025</f>
        <v>0</v>
      </c>
      <c r="O4025" s="28">
        <f>0.05*M4025</f>
        <v>0</v>
      </c>
      <c r="P4025" s="31">
        <f>0.0001*M4025</f>
        <v>0</v>
      </c>
      <c r="Q4025" s="25"/>
      <c r="R4025" s="26"/>
      <c r="S4025" s="26" t="s">
        <v>29</v>
      </c>
      <c r="T4025" s="6" t="str">
        <f>HYPERLINK("https://kanzpp.ru/api/getInfo/image/09dc26d3-5f65-11ed-a229-00155d82e902")</f>
        <v>https://kanzpp.ru/api/getInfo/image/09dc26d3-5f65-11ed-a229-00155d82e902</v>
      </c>
      <c r="U4025" s="6" t="s">
        <v>12730</v>
      </c>
      <c r="V4025" s="33" t="s">
        <v>35</v>
      </c>
    </row>
    <row r="4026" spans="2:22" ht="21" customHeight="1" outlineLevel="6" x14ac:dyDescent="0.2">
      <c r="B4026" s="69">
        <v>3030</v>
      </c>
      <c r="C4026" s="6" t="s">
        <v>12731</v>
      </c>
      <c r="D4026" s="6" t="s">
        <v>12732</v>
      </c>
      <c r="E4026" s="7" t="s">
        <v>12729</v>
      </c>
      <c r="F4026" s="13"/>
      <c r="G4026" s="14"/>
      <c r="H4026" s="15">
        <v>150</v>
      </c>
      <c r="I4026" s="15">
        <v>25</v>
      </c>
      <c r="J4026" s="17">
        <v>5691</v>
      </c>
      <c r="K4026" s="5">
        <v>150</v>
      </c>
      <c r="L4026" s="16">
        <v>10.533333333333333</v>
      </c>
      <c r="M4026" s="12"/>
      <c r="N4026" s="14">
        <f>L4026*M4026</f>
        <v>0</v>
      </c>
      <c r="O4026" s="28">
        <f>0.05*M4026</f>
        <v>0</v>
      </c>
      <c r="P4026" s="24">
        <f>0.00007*M4026</f>
        <v>0</v>
      </c>
      <c r="Q4026" s="25"/>
      <c r="R4026" s="26" t="s">
        <v>12730</v>
      </c>
      <c r="S4026" s="26" t="s">
        <v>29</v>
      </c>
      <c r="T4026" s="6" t="str">
        <f>HYPERLINK("https://kanzpp.ru/api/getInfo/image/f35c8389-619e-11ec-a20f-ac1f6b442185")</f>
        <v>https://kanzpp.ru/api/getInfo/image/f35c8389-619e-11ec-a20f-ac1f6b442185</v>
      </c>
      <c r="U4026" s="6"/>
      <c r="V4026" s="33" t="s">
        <v>35</v>
      </c>
    </row>
    <row r="4027" spans="2:22" ht="22.95" customHeight="1" outlineLevel="4" x14ac:dyDescent="0.2">
      <c r="B4027" s="82" t="s">
        <v>12733</v>
      </c>
      <c r="C4027" s="82"/>
      <c r="D4027" s="82"/>
      <c r="L4027">
        <v>0</v>
      </c>
    </row>
    <row r="4028" spans="2:22" ht="22.95" customHeight="1" outlineLevel="5" x14ac:dyDescent="0.2">
      <c r="B4028" s="83" t="s">
        <v>12734</v>
      </c>
      <c r="C4028" s="83"/>
      <c r="D4028" s="83"/>
      <c r="L4028">
        <v>0</v>
      </c>
    </row>
    <row r="4029" spans="2:22" ht="22.95" customHeight="1" outlineLevel="6" x14ac:dyDescent="0.2">
      <c r="B4029" s="84" t="s">
        <v>12735</v>
      </c>
      <c r="C4029" s="84"/>
      <c r="D4029" s="84"/>
      <c r="L4029">
        <v>0</v>
      </c>
    </row>
    <row r="4030" spans="2:22" ht="21" customHeight="1" outlineLevel="7" x14ac:dyDescent="0.2">
      <c r="B4030" s="71">
        <v>3031</v>
      </c>
      <c r="C4030" s="37" t="s">
        <v>12736</v>
      </c>
      <c r="D4030" s="37" t="s">
        <v>12737</v>
      </c>
      <c r="E4030" s="38" t="s">
        <v>12738</v>
      </c>
      <c r="F4030" s="39"/>
      <c r="G4030" s="40"/>
      <c r="H4030" s="41">
        <v>160</v>
      </c>
      <c r="I4030" s="41">
        <v>20</v>
      </c>
      <c r="J4030" s="41">
        <v>259</v>
      </c>
      <c r="K4030" s="36">
        <v>160</v>
      </c>
      <c r="L4030" s="42">
        <f>(18.53*(1-O3/100))/0.75</f>
        <v>24.706666666666667</v>
      </c>
      <c r="M4030" s="12"/>
      <c r="N4030" s="40">
        <f>L4030*M4030</f>
        <v>0</v>
      </c>
      <c r="O4030" s="43">
        <f>0.045*M4030</f>
        <v>0</v>
      </c>
      <c r="P4030" s="46">
        <f>0.0001*M4030</f>
        <v>0</v>
      </c>
      <c r="Q4030" s="44"/>
      <c r="R4030" s="45" t="s">
        <v>12739</v>
      </c>
      <c r="S4030" s="45" t="s">
        <v>29</v>
      </c>
      <c r="T4030" s="37" t="str">
        <f>HYPERLINK("https://kanzpp.ru/api/getInfo/image/ce799ddd-fc3a-11f0-a28e-00155d82e908")</f>
        <v>https://kanzpp.ru/api/getInfo/image/ce799ddd-fc3a-11f0-a28e-00155d82e908</v>
      </c>
      <c r="U4030" s="37"/>
    </row>
    <row r="4031" spans="2:22" ht="21" customHeight="1" outlineLevel="7" x14ac:dyDescent="0.2">
      <c r="B4031" s="71">
        <v>3032</v>
      </c>
      <c r="C4031" s="37" t="s">
        <v>12740</v>
      </c>
      <c r="D4031" s="37" t="s">
        <v>12741</v>
      </c>
      <c r="E4031" s="38" t="s">
        <v>12742</v>
      </c>
      <c r="F4031" s="39"/>
      <c r="G4031" s="40"/>
      <c r="H4031" s="41">
        <v>160</v>
      </c>
      <c r="I4031" s="41">
        <v>20</v>
      </c>
      <c r="J4031" s="50">
        <v>5560</v>
      </c>
      <c r="K4031" s="36">
        <v>160</v>
      </c>
      <c r="L4031" s="42">
        <f>(18.53*(1-O3/100))/0.75</f>
        <v>24.706666666666667</v>
      </c>
      <c r="M4031" s="12"/>
      <c r="N4031" s="40">
        <f>L4031*M4031</f>
        <v>0</v>
      </c>
      <c r="O4031" s="43">
        <f>0.045*M4031</f>
        <v>0</v>
      </c>
      <c r="P4031" s="46">
        <f>0.0001*M4031</f>
        <v>0</v>
      </c>
      <c r="Q4031" s="44"/>
      <c r="R4031" s="45" t="s">
        <v>12743</v>
      </c>
      <c r="S4031" s="45" t="s">
        <v>29</v>
      </c>
      <c r="T4031" s="37" t="str">
        <f>HYPERLINK("https://kanzpp.ru/api/getInfo/image/fe55482b-fc3a-11f0-a28e-00155d82e908")</f>
        <v>https://kanzpp.ru/api/getInfo/image/fe55482b-fc3a-11f0-a28e-00155d82e908</v>
      </c>
      <c r="U4031" s="37"/>
    </row>
    <row r="4032" spans="2:22" ht="21" customHeight="1" outlineLevel="7" x14ac:dyDescent="0.2">
      <c r="B4032" s="71">
        <v>3033</v>
      </c>
      <c r="C4032" s="37" t="s">
        <v>12744</v>
      </c>
      <c r="D4032" s="37" t="s">
        <v>12745</v>
      </c>
      <c r="E4032" s="38" t="s">
        <v>12746</v>
      </c>
      <c r="F4032" s="39"/>
      <c r="G4032" s="40"/>
      <c r="H4032" s="41">
        <v>160</v>
      </c>
      <c r="I4032" s="41">
        <v>20</v>
      </c>
      <c r="J4032" s="50">
        <v>10060</v>
      </c>
      <c r="K4032" s="36">
        <v>160</v>
      </c>
      <c r="L4032" s="42">
        <f>(18.53*(1-O3/100))/0.75</f>
        <v>24.706666666666667</v>
      </c>
      <c r="M4032" s="12"/>
      <c r="N4032" s="40">
        <f>L4032*M4032</f>
        <v>0</v>
      </c>
      <c r="O4032" s="43">
        <f>0.045*M4032</f>
        <v>0</v>
      </c>
      <c r="P4032" s="46">
        <f>0.0001*M4032</f>
        <v>0</v>
      </c>
      <c r="Q4032" s="44"/>
      <c r="R4032" s="45" t="s">
        <v>12747</v>
      </c>
      <c r="S4032" s="45" t="s">
        <v>29</v>
      </c>
      <c r="T4032" s="37" t="str">
        <f>HYPERLINK("https://kanzpp.ru/api/getInfo/image/8e6a960b-fc3a-11f0-a28e-00155d82e908")</f>
        <v>https://kanzpp.ru/api/getInfo/image/8e6a960b-fc3a-11f0-a28e-00155d82e908</v>
      </c>
      <c r="U4032" s="37"/>
    </row>
    <row r="4033" spans="2:22" ht="22.95" customHeight="1" outlineLevel="5" x14ac:dyDescent="0.2">
      <c r="B4033" s="83" t="s">
        <v>12748</v>
      </c>
      <c r="C4033" s="83"/>
      <c r="D4033" s="83"/>
      <c r="L4033">
        <v>0</v>
      </c>
    </row>
    <row r="4034" spans="2:22" ht="22.95" customHeight="1" outlineLevel="6" x14ac:dyDescent="0.2">
      <c r="B4034" s="84" t="s">
        <v>12749</v>
      </c>
      <c r="C4034" s="84"/>
      <c r="D4034" s="84"/>
      <c r="L4034">
        <v>0</v>
      </c>
    </row>
    <row r="4035" spans="2:22" ht="21" customHeight="1" outlineLevel="7" x14ac:dyDescent="0.2">
      <c r="B4035" s="71">
        <v>3034</v>
      </c>
      <c r="C4035" s="37" t="s">
        <v>12750</v>
      </c>
      <c r="D4035" s="37" t="s">
        <v>12751</v>
      </c>
      <c r="E4035" s="38" t="s">
        <v>12752</v>
      </c>
      <c r="F4035" s="39"/>
      <c r="G4035" s="40"/>
      <c r="H4035" s="41">
        <v>160</v>
      </c>
      <c r="I4035" s="41">
        <v>20</v>
      </c>
      <c r="J4035" s="50">
        <v>2200</v>
      </c>
      <c r="K4035" s="36">
        <v>160</v>
      </c>
      <c r="L4035" s="42">
        <f>(20.67*(1-O3/100))/0.75</f>
        <v>27.560000000000002</v>
      </c>
      <c r="M4035" s="12"/>
      <c r="N4035" s="40">
        <f>L4035*M4035</f>
        <v>0</v>
      </c>
      <c r="O4035" s="43">
        <f>0.056*M4035</f>
        <v>0</v>
      </c>
      <c r="P4035" s="47">
        <f>0.00007*M4035</f>
        <v>0</v>
      </c>
      <c r="Q4035" s="44"/>
      <c r="R4035" s="45" t="s">
        <v>12753</v>
      </c>
      <c r="S4035" s="45" t="s">
        <v>29</v>
      </c>
      <c r="T4035" s="37" t="str">
        <f>HYPERLINK("https://kanzpp.ru/api/getInfo/image/1ce938a3-fad6-11ed-a239-00155d82e902")</f>
        <v>https://kanzpp.ru/api/getInfo/image/1ce938a3-fad6-11ed-a239-00155d82e902</v>
      </c>
      <c r="U4035" s="37"/>
    </row>
    <row r="4036" spans="2:22" ht="21" customHeight="1" outlineLevel="7" x14ac:dyDescent="0.2">
      <c r="B4036" s="71">
        <v>3035</v>
      </c>
      <c r="C4036" s="37" t="s">
        <v>12754</v>
      </c>
      <c r="D4036" s="37" t="s">
        <v>12755</v>
      </c>
      <c r="E4036" s="38" t="s">
        <v>12756</v>
      </c>
      <c r="F4036" s="39"/>
      <c r="G4036" s="40"/>
      <c r="H4036" s="41">
        <v>160</v>
      </c>
      <c r="I4036" s="41">
        <v>20</v>
      </c>
      <c r="J4036" s="50">
        <v>7320</v>
      </c>
      <c r="K4036" s="36">
        <v>160</v>
      </c>
      <c r="L4036" s="42">
        <f>(20.67*(1-O3/100))/0.75</f>
        <v>27.560000000000002</v>
      </c>
      <c r="M4036" s="12"/>
      <c r="N4036" s="40">
        <f>L4036*M4036</f>
        <v>0</v>
      </c>
      <c r="O4036" s="43">
        <f>0.052*M4036</f>
        <v>0</v>
      </c>
      <c r="P4036" s="46">
        <f>0.0001*M4036</f>
        <v>0</v>
      </c>
      <c r="Q4036" s="44"/>
      <c r="R4036" s="45" t="s">
        <v>12757</v>
      </c>
      <c r="S4036" s="45" t="s">
        <v>29</v>
      </c>
      <c r="T4036" s="37" t="str">
        <f>HYPERLINK("https://kanzpp.ru/api/getInfo/image/b10d9b5c-fad5-11ed-a239-00155d82e902")</f>
        <v>https://kanzpp.ru/api/getInfo/image/b10d9b5c-fad5-11ed-a239-00155d82e902</v>
      </c>
      <c r="U4036" s="37"/>
    </row>
    <row r="4037" spans="2:22" ht="21" customHeight="1" outlineLevel="7" x14ac:dyDescent="0.2">
      <c r="B4037" s="71">
        <v>3036</v>
      </c>
      <c r="C4037" s="37" t="s">
        <v>12758</v>
      </c>
      <c r="D4037" s="37" t="s">
        <v>12759</v>
      </c>
      <c r="E4037" s="38" t="s">
        <v>12760</v>
      </c>
      <c r="F4037" s="39"/>
      <c r="G4037" s="40"/>
      <c r="H4037" s="41">
        <v>160</v>
      </c>
      <c r="I4037" s="41">
        <v>20</v>
      </c>
      <c r="J4037" s="50">
        <v>10260</v>
      </c>
      <c r="K4037" s="36">
        <v>160</v>
      </c>
      <c r="L4037" s="42">
        <f>(20.67*(1-O3/100))/0.75</f>
        <v>27.560000000000002</v>
      </c>
      <c r="M4037" s="12"/>
      <c r="N4037" s="40">
        <f>L4037*M4037</f>
        <v>0</v>
      </c>
      <c r="O4037" s="43">
        <f>0.061*M4037</f>
        <v>0</v>
      </c>
      <c r="P4037" s="46">
        <f>0.0001*M4037</f>
        <v>0</v>
      </c>
      <c r="Q4037" s="44"/>
      <c r="R4037" s="45" t="s">
        <v>12761</v>
      </c>
      <c r="S4037" s="45" t="s">
        <v>29</v>
      </c>
      <c r="T4037" s="37" t="str">
        <f>HYPERLINK("https://kanzpp.ru/api/getInfo/image/392fb2c1-fad6-11ed-a239-00155d82e902")</f>
        <v>https://kanzpp.ru/api/getInfo/image/392fb2c1-fad6-11ed-a239-00155d82e902</v>
      </c>
      <c r="U4037" s="37"/>
    </row>
    <row r="4038" spans="2:22" ht="21" customHeight="1" outlineLevel="7" x14ac:dyDescent="0.2">
      <c r="B4038" s="71">
        <v>3037</v>
      </c>
      <c r="C4038" s="37" t="s">
        <v>12762</v>
      </c>
      <c r="D4038" s="37" t="s">
        <v>12763</v>
      </c>
      <c r="E4038" s="38" t="s">
        <v>12764</v>
      </c>
      <c r="F4038" s="39"/>
      <c r="G4038" s="40"/>
      <c r="H4038" s="41">
        <v>160</v>
      </c>
      <c r="I4038" s="41">
        <v>20</v>
      </c>
      <c r="J4038" s="41">
        <v>725</v>
      </c>
      <c r="K4038" s="36">
        <v>160</v>
      </c>
      <c r="L4038" s="42">
        <f>(20.67*(1-O3/100))/0.75</f>
        <v>27.560000000000002</v>
      </c>
      <c r="M4038" s="12"/>
      <c r="N4038" s="40">
        <f>L4038*M4038</f>
        <v>0</v>
      </c>
      <c r="O4038" s="43">
        <f>0.059*M4038</f>
        <v>0</v>
      </c>
      <c r="P4038" s="46">
        <f>0.0001*M4038</f>
        <v>0</v>
      </c>
      <c r="Q4038" s="44"/>
      <c r="R4038" s="45" t="s">
        <v>12765</v>
      </c>
      <c r="S4038" s="45" t="s">
        <v>29</v>
      </c>
      <c r="T4038" s="37" t="str">
        <f>HYPERLINK("https://kanzpp.ru/api/getInfo/image/680126d6-fad6-11ed-a239-00155d82e902")</f>
        <v>https://kanzpp.ru/api/getInfo/image/680126d6-fad6-11ed-a239-00155d82e902</v>
      </c>
      <c r="U4038" s="37"/>
    </row>
    <row r="4039" spans="2:22" ht="21" customHeight="1" outlineLevel="7" x14ac:dyDescent="0.2">
      <c r="B4039" s="71">
        <v>3038</v>
      </c>
      <c r="C4039" s="37" t="s">
        <v>12766</v>
      </c>
      <c r="D4039" s="37" t="s">
        <v>12767</v>
      </c>
      <c r="E4039" s="38" t="s">
        <v>12768</v>
      </c>
      <c r="F4039" s="39"/>
      <c r="G4039" s="40"/>
      <c r="H4039" s="41">
        <v>160</v>
      </c>
      <c r="I4039" s="41">
        <v>20</v>
      </c>
      <c r="J4039" s="50">
        <v>11740</v>
      </c>
      <c r="K4039" s="36">
        <v>160</v>
      </c>
      <c r="L4039" s="42">
        <f>(20.67*(1-O3/100))/0.75</f>
        <v>27.560000000000002</v>
      </c>
      <c r="M4039" s="12"/>
      <c r="N4039" s="40">
        <f>L4039*M4039</f>
        <v>0</v>
      </c>
      <c r="O4039" s="43">
        <f>0.055*M4039</f>
        <v>0</v>
      </c>
      <c r="P4039" s="47">
        <f>0.00007*M4039</f>
        <v>0</v>
      </c>
      <c r="Q4039" s="44"/>
      <c r="R4039" s="45" t="s">
        <v>12769</v>
      </c>
      <c r="S4039" s="45" t="s">
        <v>29</v>
      </c>
      <c r="T4039" s="37" t="str">
        <f>HYPERLINK("https://kanzpp.ru/api/getInfo/image/f1a4270b-fad5-11ed-a239-00155d82e902")</f>
        <v>https://kanzpp.ru/api/getInfo/image/f1a4270b-fad5-11ed-a239-00155d82e902</v>
      </c>
      <c r="U4039" s="37"/>
    </row>
    <row r="4040" spans="2:22" ht="22.95" customHeight="1" outlineLevel="6" x14ac:dyDescent="0.2">
      <c r="B4040" s="84" t="s">
        <v>12770</v>
      </c>
      <c r="C4040" s="84"/>
      <c r="D4040" s="84"/>
      <c r="L4040">
        <v>0</v>
      </c>
    </row>
    <row r="4041" spans="2:22" ht="21" customHeight="1" outlineLevel="7" x14ac:dyDescent="0.2">
      <c r="B4041" s="69">
        <v>3039</v>
      </c>
      <c r="C4041" s="6" t="s">
        <v>12771</v>
      </c>
      <c r="D4041" s="6" t="s">
        <v>12772</v>
      </c>
      <c r="E4041" s="7" t="s">
        <v>12773</v>
      </c>
      <c r="F4041" s="13"/>
      <c r="G4041" s="14"/>
      <c r="H4041" s="15">
        <v>160</v>
      </c>
      <c r="I4041" s="15">
        <v>20</v>
      </c>
      <c r="J4041" s="17">
        <v>5859</v>
      </c>
      <c r="K4041" s="5">
        <v>160</v>
      </c>
      <c r="L4041" s="16">
        <v>17.2</v>
      </c>
      <c r="M4041" s="12"/>
      <c r="N4041" s="14">
        <f t="shared" ref="N4041:N4048" si="181">L4041*M4041</f>
        <v>0</v>
      </c>
      <c r="O4041" s="28">
        <f>0.05*M4041</f>
        <v>0</v>
      </c>
      <c r="P4041" s="24">
        <f>0.00014*M4041</f>
        <v>0</v>
      </c>
      <c r="Q4041" s="25"/>
      <c r="R4041" s="26" t="s">
        <v>12774</v>
      </c>
      <c r="S4041" s="26" t="s">
        <v>29</v>
      </c>
      <c r="T4041" s="6" t="str">
        <f>HYPERLINK("https://kanzpp.ru/api/getInfo/image/708bb93c-7ccf-11ef-a265-00155d82e908")</f>
        <v>https://kanzpp.ru/api/getInfo/image/708bb93c-7ccf-11ef-a265-00155d82e908</v>
      </c>
      <c r="U4041" s="6"/>
      <c r="V4041" s="33" t="s">
        <v>35</v>
      </c>
    </row>
    <row r="4042" spans="2:22" ht="21" customHeight="1" outlineLevel="7" x14ac:dyDescent="0.2">
      <c r="B4042" s="71">
        <v>3040</v>
      </c>
      <c r="C4042" s="37" t="s">
        <v>12775</v>
      </c>
      <c r="D4042" s="37" t="s">
        <v>12776</v>
      </c>
      <c r="E4042" s="38" t="s">
        <v>12777</v>
      </c>
      <c r="F4042" s="39"/>
      <c r="G4042" s="40"/>
      <c r="H4042" s="41">
        <v>160</v>
      </c>
      <c r="I4042" s="41">
        <v>20</v>
      </c>
      <c r="J4042" s="41">
        <v>640</v>
      </c>
      <c r="K4042" s="36">
        <v>160</v>
      </c>
      <c r="L4042" s="42">
        <f>(20.67*(1-O3/100))/0.75</f>
        <v>27.560000000000002</v>
      </c>
      <c r="M4042" s="12"/>
      <c r="N4042" s="40">
        <f t="shared" si="181"/>
        <v>0</v>
      </c>
      <c r="O4042" s="43">
        <f>0.062*M4042</f>
        <v>0</v>
      </c>
      <c r="P4042" s="47">
        <f>0.00003*M4042</f>
        <v>0</v>
      </c>
      <c r="Q4042" s="44"/>
      <c r="R4042" s="45" t="s">
        <v>12778</v>
      </c>
      <c r="S4042" s="45" t="s">
        <v>29</v>
      </c>
      <c r="T4042" s="37" t="str">
        <f>HYPERLINK("https://kanzpp.ru/api/getInfo/image/5e6bf53f-a002-11ee-a257-00155d82e908")</f>
        <v>https://kanzpp.ru/api/getInfo/image/5e6bf53f-a002-11ee-a257-00155d82e908</v>
      </c>
      <c r="U4042" s="37"/>
    </row>
    <row r="4043" spans="2:22" ht="21" customHeight="1" outlineLevel="7" x14ac:dyDescent="0.2">
      <c r="B4043" s="71">
        <v>3041</v>
      </c>
      <c r="C4043" s="37" t="s">
        <v>12779</v>
      </c>
      <c r="D4043" s="37" t="s">
        <v>12780</v>
      </c>
      <c r="E4043" s="38" t="s">
        <v>12781</v>
      </c>
      <c r="F4043" s="39"/>
      <c r="G4043" s="40"/>
      <c r="H4043" s="41">
        <v>160</v>
      </c>
      <c r="I4043" s="41">
        <v>20</v>
      </c>
      <c r="J4043" s="41">
        <v>320</v>
      </c>
      <c r="K4043" s="36">
        <v>160</v>
      </c>
      <c r="L4043" s="42">
        <f>(20.67*(1-O3/100))/0.75</f>
        <v>27.560000000000002</v>
      </c>
      <c r="M4043" s="12"/>
      <c r="N4043" s="40">
        <f t="shared" si="181"/>
        <v>0</v>
      </c>
      <c r="O4043" s="43">
        <f>0.061*M4043</f>
        <v>0</v>
      </c>
      <c r="P4043" s="47">
        <f>0.00014*M4043</f>
        <v>0</v>
      </c>
      <c r="Q4043" s="44"/>
      <c r="R4043" s="45" t="s">
        <v>12782</v>
      </c>
      <c r="S4043" s="45" t="s">
        <v>29</v>
      </c>
      <c r="T4043" s="37" t="str">
        <f>HYPERLINK("https://kanzpp.ru/api/getInfo/image/3c886804-fa25-11ed-a239-00155d82e902")</f>
        <v>https://kanzpp.ru/api/getInfo/image/3c886804-fa25-11ed-a239-00155d82e902</v>
      </c>
      <c r="U4043" s="37"/>
    </row>
    <row r="4044" spans="2:22" ht="21" customHeight="1" outlineLevel="7" x14ac:dyDescent="0.2">
      <c r="B4044" s="71">
        <v>3042</v>
      </c>
      <c r="C4044" s="37" t="s">
        <v>12783</v>
      </c>
      <c r="D4044" s="37" t="s">
        <v>12784</v>
      </c>
      <c r="E4044" s="38" t="s">
        <v>12785</v>
      </c>
      <c r="F4044" s="39"/>
      <c r="G4044" s="40"/>
      <c r="H4044" s="41">
        <v>160</v>
      </c>
      <c r="I4044" s="41">
        <v>20</v>
      </c>
      <c r="J4044" s="50">
        <v>10325</v>
      </c>
      <c r="K4044" s="36">
        <v>160</v>
      </c>
      <c r="L4044" s="42">
        <f>(20.67*(1-O3/100))/0.75</f>
        <v>27.560000000000002</v>
      </c>
      <c r="M4044" s="12"/>
      <c r="N4044" s="40">
        <f t="shared" si="181"/>
        <v>0</v>
      </c>
      <c r="O4044" s="43">
        <f>0.059*M4044</f>
        <v>0</v>
      </c>
      <c r="P4044" s="47">
        <f>0.00018*M4044</f>
        <v>0</v>
      </c>
      <c r="Q4044" s="44"/>
      <c r="R4044" s="45" t="s">
        <v>12786</v>
      </c>
      <c r="S4044" s="45" t="s">
        <v>29</v>
      </c>
      <c r="T4044" s="37" t="str">
        <f>HYPERLINK("https://kanzpp.ru/api/getInfo/image/fdd3b030-fad6-11ed-a239-00155d82e902")</f>
        <v>https://kanzpp.ru/api/getInfo/image/fdd3b030-fad6-11ed-a239-00155d82e902</v>
      </c>
      <c r="U4044" s="37"/>
    </row>
    <row r="4045" spans="2:22" ht="21" customHeight="1" outlineLevel="7" x14ac:dyDescent="0.2">
      <c r="B4045" s="71">
        <v>3043</v>
      </c>
      <c r="C4045" s="37" t="s">
        <v>12787</v>
      </c>
      <c r="D4045" s="37" t="s">
        <v>12788</v>
      </c>
      <c r="E4045" s="38" t="s">
        <v>12789</v>
      </c>
      <c r="F4045" s="39"/>
      <c r="G4045" s="40"/>
      <c r="H4045" s="41">
        <v>160</v>
      </c>
      <c r="I4045" s="41">
        <v>20</v>
      </c>
      <c r="J4045" s="50">
        <v>8700</v>
      </c>
      <c r="K4045" s="36">
        <v>160</v>
      </c>
      <c r="L4045" s="42">
        <f>(20.67*(1-O3/100))/0.75</f>
        <v>27.560000000000002</v>
      </c>
      <c r="M4045" s="12"/>
      <c r="N4045" s="40">
        <f t="shared" si="181"/>
        <v>0</v>
      </c>
      <c r="O4045" s="43">
        <f>0.058*M4045</f>
        <v>0</v>
      </c>
      <c r="P4045" s="47">
        <f>0.00007*M4045</f>
        <v>0</v>
      </c>
      <c r="Q4045" s="44"/>
      <c r="R4045" s="45" t="s">
        <v>12790</v>
      </c>
      <c r="S4045" s="45" t="s">
        <v>29</v>
      </c>
      <c r="T4045" s="37" t="str">
        <f>HYPERLINK("https://kanzpp.ru/api/getInfo/image/aa6af70c-fad6-11ed-a239-00155d82e902")</f>
        <v>https://kanzpp.ru/api/getInfo/image/aa6af70c-fad6-11ed-a239-00155d82e902</v>
      </c>
      <c r="U4045" s="37"/>
    </row>
    <row r="4046" spans="2:22" ht="21" customHeight="1" outlineLevel="7" x14ac:dyDescent="0.2">
      <c r="B4046" s="71">
        <v>3044</v>
      </c>
      <c r="C4046" s="37" t="s">
        <v>12791</v>
      </c>
      <c r="D4046" s="37" t="s">
        <v>12792</v>
      </c>
      <c r="E4046" s="38" t="s">
        <v>12793</v>
      </c>
      <c r="F4046" s="39"/>
      <c r="G4046" s="40"/>
      <c r="H4046" s="41">
        <v>160</v>
      </c>
      <c r="I4046" s="41">
        <v>20</v>
      </c>
      <c r="J4046" s="50">
        <v>11800</v>
      </c>
      <c r="K4046" s="36">
        <v>160</v>
      </c>
      <c r="L4046" s="42">
        <f>(20.67*(1-O3/100))/0.75</f>
        <v>27.560000000000002</v>
      </c>
      <c r="M4046" s="12"/>
      <c r="N4046" s="40">
        <f t="shared" si="181"/>
        <v>0</v>
      </c>
      <c r="O4046" s="43">
        <f>0.059*M4046</f>
        <v>0</v>
      </c>
      <c r="P4046" s="46">
        <f>0.0001*M4046</f>
        <v>0</v>
      </c>
      <c r="Q4046" s="44"/>
      <c r="R4046" s="45" t="s">
        <v>12794</v>
      </c>
      <c r="S4046" s="45" t="s">
        <v>29</v>
      </c>
      <c r="T4046" s="37" t="str">
        <f>HYPERLINK("https://kanzpp.ru/api/getInfo/image/3f219b06-fad7-11ed-a239-00155d82e902")</f>
        <v>https://kanzpp.ru/api/getInfo/image/3f219b06-fad7-11ed-a239-00155d82e902</v>
      </c>
      <c r="U4046" s="37"/>
    </row>
    <row r="4047" spans="2:22" ht="21" customHeight="1" outlineLevel="7" x14ac:dyDescent="0.2">
      <c r="B4047" s="71">
        <v>3045</v>
      </c>
      <c r="C4047" s="37" t="s">
        <v>12795</v>
      </c>
      <c r="D4047" s="37" t="s">
        <v>12796</v>
      </c>
      <c r="E4047" s="38" t="s">
        <v>12797</v>
      </c>
      <c r="F4047" s="39"/>
      <c r="G4047" s="40"/>
      <c r="H4047" s="41">
        <v>160</v>
      </c>
      <c r="I4047" s="41">
        <v>20</v>
      </c>
      <c r="J4047" s="50">
        <v>2695</v>
      </c>
      <c r="K4047" s="36">
        <v>160</v>
      </c>
      <c r="L4047" s="42">
        <f>(20.67*(1-O3/100))/0.75</f>
        <v>27.560000000000002</v>
      </c>
      <c r="M4047" s="12"/>
      <c r="N4047" s="40">
        <f t="shared" si="181"/>
        <v>0</v>
      </c>
      <c r="O4047" s="48">
        <f>0.06*M4047</f>
        <v>0</v>
      </c>
      <c r="P4047" s="47">
        <f>0.00014*M4047</f>
        <v>0</v>
      </c>
      <c r="Q4047" s="44"/>
      <c r="R4047" s="45" t="s">
        <v>12798</v>
      </c>
      <c r="S4047" s="45" t="s">
        <v>29</v>
      </c>
      <c r="T4047" s="37" t="str">
        <f>HYPERLINK("https://kanzpp.ru/api/getInfo/image/5b59bd75-fad7-11ed-a239-00155d82e902")</f>
        <v>https://kanzpp.ru/api/getInfo/image/5b59bd75-fad7-11ed-a239-00155d82e902</v>
      </c>
      <c r="U4047" s="37"/>
    </row>
    <row r="4048" spans="2:22" ht="21" customHeight="1" outlineLevel="7" x14ac:dyDescent="0.2">
      <c r="B4048" s="71">
        <v>3046</v>
      </c>
      <c r="C4048" s="37" t="s">
        <v>12799</v>
      </c>
      <c r="D4048" s="37" t="s">
        <v>12800</v>
      </c>
      <c r="E4048" s="38" t="s">
        <v>12801</v>
      </c>
      <c r="F4048" s="39"/>
      <c r="G4048" s="40"/>
      <c r="H4048" s="41">
        <v>160</v>
      </c>
      <c r="I4048" s="41">
        <v>20</v>
      </c>
      <c r="J4048" s="50">
        <v>14300</v>
      </c>
      <c r="K4048" s="36">
        <v>160</v>
      </c>
      <c r="L4048" s="42">
        <f>(20.67*(1-O3/100))/0.75</f>
        <v>27.560000000000002</v>
      </c>
      <c r="M4048" s="12"/>
      <c r="N4048" s="40">
        <f t="shared" si="181"/>
        <v>0</v>
      </c>
      <c r="O4048" s="48">
        <f>0.06*M4048</f>
        <v>0</v>
      </c>
      <c r="P4048" s="47">
        <f>0.00014*M4048</f>
        <v>0</v>
      </c>
      <c r="Q4048" s="44"/>
      <c r="R4048" s="45" t="s">
        <v>12802</v>
      </c>
      <c r="S4048" s="45" t="s">
        <v>29</v>
      </c>
      <c r="T4048" s="37" t="str">
        <f>HYPERLINK("https://kanzpp.ru/api/getInfo/image/e5802b54-fad6-11ed-a239-00155d82e902")</f>
        <v>https://kanzpp.ru/api/getInfo/image/e5802b54-fad6-11ed-a239-00155d82e902</v>
      </c>
      <c r="U4048" s="37"/>
    </row>
    <row r="4049" spans="2:21" ht="22.95" customHeight="1" outlineLevel="5" x14ac:dyDescent="0.2">
      <c r="B4049" s="83" t="s">
        <v>12803</v>
      </c>
      <c r="C4049" s="83"/>
      <c r="D4049" s="83"/>
      <c r="L4049">
        <v>0</v>
      </c>
    </row>
    <row r="4050" spans="2:21" ht="22.95" customHeight="1" outlineLevel="6" x14ac:dyDescent="0.2">
      <c r="B4050" s="84" t="s">
        <v>12804</v>
      </c>
      <c r="C4050" s="84"/>
      <c r="D4050" s="84"/>
      <c r="L4050">
        <v>0</v>
      </c>
    </row>
    <row r="4051" spans="2:21" ht="22.95" customHeight="1" outlineLevel="7" x14ac:dyDescent="0.2">
      <c r="B4051" s="85" t="s">
        <v>12805</v>
      </c>
      <c r="C4051" s="85"/>
      <c r="D4051" s="85"/>
      <c r="L4051">
        <v>0</v>
      </c>
    </row>
    <row r="4052" spans="2:21" ht="21" customHeight="1" outlineLevel="7" x14ac:dyDescent="0.2">
      <c r="B4052" s="71">
        <v>3047</v>
      </c>
      <c r="C4052" s="37" t="s">
        <v>12806</v>
      </c>
      <c r="D4052" s="37" t="s">
        <v>12807</v>
      </c>
      <c r="E4052" s="38" t="s">
        <v>12808</v>
      </c>
      <c r="F4052" s="39"/>
      <c r="G4052" s="40"/>
      <c r="H4052" s="41">
        <v>140</v>
      </c>
      <c r="I4052" s="41">
        <v>10</v>
      </c>
      <c r="J4052" s="50">
        <v>14420</v>
      </c>
      <c r="K4052" s="36">
        <v>140</v>
      </c>
      <c r="L4052" s="42">
        <f>(23.33*(1-O3/100))/0.75</f>
        <v>31.106666666666666</v>
      </c>
      <c r="M4052" s="12"/>
      <c r="N4052" s="40">
        <f t="shared" ref="N4052:N4057" si="182">L4052*M4052</f>
        <v>0</v>
      </c>
      <c r="O4052" s="43">
        <f t="shared" ref="O4052:O4057" si="183">0.066*M4052</f>
        <v>0</v>
      </c>
      <c r="P4052" s="46">
        <f t="shared" ref="P4052:P4057" si="184">0.0001*M4052</f>
        <v>0</v>
      </c>
      <c r="Q4052" s="44"/>
      <c r="R4052" s="45" t="s">
        <v>12809</v>
      </c>
      <c r="S4052" s="45" t="s">
        <v>29</v>
      </c>
      <c r="T4052" s="37"/>
      <c r="U4052" s="37"/>
    </row>
    <row r="4053" spans="2:21" ht="21" customHeight="1" outlineLevel="7" x14ac:dyDescent="0.2">
      <c r="B4053" s="71">
        <v>3048</v>
      </c>
      <c r="C4053" s="37" t="s">
        <v>12810</v>
      </c>
      <c r="D4053" s="37" t="s">
        <v>12811</v>
      </c>
      <c r="E4053" s="38" t="s">
        <v>12812</v>
      </c>
      <c r="F4053" s="39"/>
      <c r="G4053" s="40"/>
      <c r="H4053" s="41">
        <v>140</v>
      </c>
      <c r="I4053" s="41">
        <v>10</v>
      </c>
      <c r="J4053" s="50">
        <v>2910</v>
      </c>
      <c r="K4053" s="36">
        <v>140</v>
      </c>
      <c r="L4053" s="42">
        <f>(23.33*(1-O3/100))/0.75</f>
        <v>31.106666666666666</v>
      </c>
      <c r="M4053" s="12"/>
      <c r="N4053" s="40">
        <f t="shared" si="182"/>
        <v>0</v>
      </c>
      <c r="O4053" s="43">
        <f t="shared" si="183"/>
        <v>0</v>
      </c>
      <c r="P4053" s="46">
        <f t="shared" si="184"/>
        <v>0</v>
      </c>
      <c r="Q4053" s="44"/>
      <c r="R4053" s="45" t="s">
        <v>12813</v>
      </c>
      <c r="S4053" s="45" t="s">
        <v>29</v>
      </c>
      <c r="T4053" s="37" t="str">
        <f>HYPERLINK("https://kanzpp.ru/api/getInfo/image/539b6d60-19bc-11ef-a25d-00155d82e908")</f>
        <v>https://kanzpp.ru/api/getInfo/image/539b6d60-19bc-11ef-a25d-00155d82e908</v>
      </c>
      <c r="U4053" s="37"/>
    </row>
    <row r="4054" spans="2:21" ht="21" customHeight="1" outlineLevel="7" x14ac:dyDescent="0.2">
      <c r="B4054" s="71">
        <v>3049</v>
      </c>
      <c r="C4054" s="37" t="s">
        <v>12814</v>
      </c>
      <c r="D4054" s="37" t="s">
        <v>12815</v>
      </c>
      <c r="E4054" s="38" t="s">
        <v>12816</v>
      </c>
      <c r="F4054" s="39"/>
      <c r="G4054" s="40"/>
      <c r="H4054" s="41">
        <v>140</v>
      </c>
      <c r="I4054" s="41">
        <v>10</v>
      </c>
      <c r="J4054" s="50">
        <v>1849</v>
      </c>
      <c r="K4054" s="36">
        <v>140</v>
      </c>
      <c r="L4054" s="42">
        <f>(23.33*(1-O3/100))/0.75</f>
        <v>31.106666666666666</v>
      </c>
      <c r="M4054" s="12"/>
      <c r="N4054" s="40">
        <f t="shared" si="182"/>
        <v>0</v>
      </c>
      <c r="O4054" s="43">
        <f t="shared" si="183"/>
        <v>0</v>
      </c>
      <c r="P4054" s="46">
        <f t="shared" si="184"/>
        <v>0</v>
      </c>
      <c r="Q4054" s="44"/>
      <c r="R4054" s="45" t="s">
        <v>12817</v>
      </c>
      <c r="S4054" s="45" t="s">
        <v>29</v>
      </c>
      <c r="T4054" s="37" t="str">
        <f>HYPERLINK("https://kanzpp.ru/api/getInfo/image/a4d12c36-19bd-11ef-a25d-00155d82e908")</f>
        <v>https://kanzpp.ru/api/getInfo/image/a4d12c36-19bd-11ef-a25d-00155d82e908</v>
      </c>
      <c r="U4054" s="37"/>
    </row>
    <row r="4055" spans="2:21" ht="21" customHeight="1" outlineLevel="7" x14ac:dyDescent="0.2">
      <c r="B4055" s="71">
        <v>3050</v>
      </c>
      <c r="C4055" s="37" t="s">
        <v>12818</v>
      </c>
      <c r="D4055" s="37" t="s">
        <v>12819</v>
      </c>
      <c r="E4055" s="38" t="s">
        <v>12820</v>
      </c>
      <c r="F4055" s="39"/>
      <c r="G4055" s="40"/>
      <c r="H4055" s="41">
        <v>140</v>
      </c>
      <c r="I4055" s="41">
        <v>10</v>
      </c>
      <c r="J4055" s="50">
        <v>3030</v>
      </c>
      <c r="K4055" s="36">
        <v>140</v>
      </c>
      <c r="L4055" s="42">
        <f>(23.33*(1-O3/100))/0.75</f>
        <v>31.106666666666666</v>
      </c>
      <c r="M4055" s="12"/>
      <c r="N4055" s="40">
        <f t="shared" si="182"/>
        <v>0</v>
      </c>
      <c r="O4055" s="43">
        <f t="shared" si="183"/>
        <v>0</v>
      </c>
      <c r="P4055" s="46">
        <f t="shared" si="184"/>
        <v>0</v>
      </c>
      <c r="Q4055" s="44"/>
      <c r="R4055" s="45" t="s">
        <v>12821</v>
      </c>
      <c r="S4055" s="45" t="s">
        <v>29</v>
      </c>
      <c r="T4055" s="37" t="str">
        <f>HYPERLINK("https://kanzpp.ru/api/getInfo/image/c4981e36-19bd-11ef-a25d-00155d82e908")</f>
        <v>https://kanzpp.ru/api/getInfo/image/c4981e36-19bd-11ef-a25d-00155d82e908</v>
      </c>
      <c r="U4055" s="37"/>
    </row>
    <row r="4056" spans="2:21" ht="21" customHeight="1" outlineLevel="7" x14ac:dyDescent="0.2">
      <c r="B4056" s="71">
        <v>3051</v>
      </c>
      <c r="C4056" s="37" t="s">
        <v>12822</v>
      </c>
      <c r="D4056" s="37" t="s">
        <v>12823</v>
      </c>
      <c r="E4056" s="38" t="s">
        <v>12824</v>
      </c>
      <c r="F4056" s="39"/>
      <c r="G4056" s="40"/>
      <c r="H4056" s="41">
        <v>140</v>
      </c>
      <c r="I4056" s="41">
        <v>10</v>
      </c>
      <c r="J4056" s="50">
        <v>1798</v>
      </c>
      <c r="K4056" s="36">
        <v>140</v>
      </c>
      <c r="L4056" s="42">
        <f>(23.33*(1-O3/100))/0.75</f>
        <v>31.106666666666666</v>
      </c>
      <c r="M4056" s="12"/>
      <c r="N4056" s="40">
        <f t="shared" si="182"/>
        <v>0</v>
      </c>
      <c r="O4056" s="43">
        <f t="shared" si="183"/>
        <v>0</v>
      </c>
      <c r="P4056" s="46">
        <f t="shared" si="184"/>
        <v>0</v>
      </c>
      <c r="Q4056" s="44"/>
      <c r="R4056" s="45" t="s">
        <v>12825</v>
      </c>
      <c r="S4056" s="45" t="s">
        <v>29</v>
      </c>
      <c r="T4056" s="37" t="str">
        <f>HYPERLINK("https://kanzpp.ru/api/getInfo/image/e50126f0-19bd-11ef-a25d-00155d82e908")</f>
        <v>https://kanzpp.ru/api/getInfo/image/e50126f0-19bd-11ef-a25d-00155d82e908</v>
      </c>
      <c r="U4056" s="37"/>
    </row>
    <row r="4057" spans="2:21" ht="21" customHeight="1" outlineLevel="7" x14ac:dyDescent="0.2">
      <c r="B4057" s="71">
        <v>3052</v>
      </c>
      <c r="C4057" s="37" t="s">
        <v>12826</v>
      </c>
      <c r="D4057" s="37" t="s">
        <v>12827</v>
      </c>
      <c r="E4057" s="38" t="s">
        <v>12828</v>
      </c>
      <c r="F4057" s="39"/>
      <c r="G4057" s="40"/>
      <c r="H4057" s="41">
        <v>140</v>
      </c>
      <c r="I4057" s="41">
        <v>10</v>
      </c>
      <c r="J4057" s="50">
        <v>1710</v>
      </c>
      <c r="K4057" s="36">
        <v>140</v>
      </c>
      <c r="L4057" s="42">
        <f>(23.33*(1-O3/100))/0.75</f>
        <v>31.106666666666666</v>
      </c>
      <c r="M4057" s="12"/>
      <c r="N4057" s="40">
        <f t="shared" si="182"/>
        <v>0</v>
      </c>
      <c r="O4057" s="43">
        <f t="shared" si="183"/>
        <v>0</v>
      </c>
      <c r="P4057" s="46">
        <f t="shared" si="184"/>
        <v>0</v>
      </c>
      <c r="Q4057" s="44"/>
      <c r="R4057" s="45" t="s">
        <v>12829</v>
      </c>
      <c r="S4057" s="45" t="s">
        <v>29</v>
      </c>
      <c r="T4057" s="37" t="str">
        <f>HYPERLINK("https://kanzpp.ru/api/getInfo/image/6bce17f5-19be-11ef-a25d-00155d82e908")</f>
        <v>https://kanzpp.ru/api/getInfo/image/6bce17f5-19be-11ef-a25d-00155d82e908</v>
      </c>
      <c r="U4057" s="37"/>
    </row>
    <row r="4058" spans="2:21" ht="22.95" customHeight="1" outlineLevel="7" x14ac:dyDescent="0.2">
      <c r="B4058" s="85" t="s">
        <v>12830</v>
      </c>
      <c r="C4058" s="85"/>
      <c r="D4058" s="85"/>
      <c r="L4058">
        <v>0</v>
      </c>
    </row>
    <row r="4059" spans="2:21" ht="21" customHeight="1" outlineLevel="7" x14ac:dyDescent="0.2">
      <c r="B4059" s="71">
        <v>3053</v>
      </c>
      <c r="C4059" s="37" t="s">
        <v>12831</v>
      </c>
      <c r="D4059" s="37" t="s">
        <v>12832</v>
      </c>
      <c r="E4059" s="38" t="s">
        <v>12833</v>
      </c>
      <c r="F4059" s="39"/>
      <c r="G4059" s="40"/>
      <c r="H4059" s="41">
        <v>140</v>
      </c>
      <c r="I4059" s="41">
        <v>10</v>
      </c>
      <c r="J4059" s="50">
        <v>2100</v>
      </c>
      <c r="K4059" s="36">
        <v>140</v>
      </c>
      <c r="L4059" s="42">
        <f>(23.33*(1-O3/100))/0.75</f>
        <v>31.106666666666666</v>
      </c>
      <c r="M4059" s="12"/>
      <c r="N4059" s="40">
        <f t="shared" ref="N4059:N4064" si="185">L4059*M4059</f>
        <v>0</v>
      </c>
      <c r="O4059" s="43">
        <f t="shared" ref="O4059:O4064" si="186">0.066*M4059</f>
        <v>0</v>
      </c>
      <c r="P4059" s="47">
        <f>0.00017*M4059</f>
        <v>0</v>
      </c>
      <c r="Q4059" s="44"/>
      <c r="R4059" s="45" t="s">
        <v>12834</v>
      </c>
      <c r="S4059" s="45" t="s">
        <v>29</v>
      </c>
      <c r="T4059" s="37"/>
      <c r="U4059" s="37"/>
    </row>
    <row r="4060" spans="2:21" ht="21" customHeight="1" outlineLevel="7" x14ac:dyDescent="0.2">
      <c r="B4060" s="71">
        <v>3054</v>
      </c>
      <c r="C4060" s="37" t="s">
        <v>12835</v>
      </c>
      <c r="D4060" s="37" t="s">
        <v>12836</v>
      </c>
      <c r="E4060" s="38" t="s">
        <v>12837</v>
      </c>
      <c r="F4060" s="39"/>
      <c r="G4060" s="40"/>
      <c r="H4060" s="41">
        <v>140</v>
      </c>
      <c r="I4060" s="41">
        <v>10</v>
      </c>
      <c r="J4060" s="50">
        <v>5230</v>
      </c>
      <c r="K4060" s="36">
        <v>140</v>
      </c>
      <c r="L4060" s="42">
        <f>(23.33*(1-O3/100))/0.75</f>
        <v>31.106666666666666</v>
      </c>
      <c r="M4060" s="12"/>
      <c r="N4060" s="40">
        <f t="shared" si="185"/>
        <v>0</v>
      </c>
      <c r="O4060" s="43">
        <f t="shared" si="186"/>
        <v>0</v>
      </c>
      <c r="P4060" s="46">
        <f>0.0001*M4060</f>
        <v>0</v>
      </c>
      <c r="Q4060" s="44"/>
      <c r="R4060" s="45" t="s">
        <v>12838</v>
      </c>
      <c r="S4060" s="45" t="s">
        <v>29</v>
      </c>
      <c r="T4060" s="37" t="str">
        <f>HYPERLINK("https://kanzpp.ru/api/getInfo/image/17cdcce5-19bf-11ef-a25d-00155d82e908")</f>
        <v>https://kanzpp.ru/api/getInfo/image/17cdcce5-19bf-11ef-a25d-00155d82e908</v>
      </c>
      <c r="U4060" s="37"/>
    </row>
    <row r="4061" spans="2:21" ht="21" customHeight="1" outlineLevel="7" x14ac:dyDescent="0.2">
      <c r="B4061" s="71">
        <v>3055</v>
      </c>
      <c r="C4061" s="37" t="s">
        <v>12839</v>
      </c>
      <c r="D4061" s="37" t="s">
        <v>12840</v>
      </c>
      <c r="E4061" s="38" t="s">
        <v>12841</v>
      </c>
      <c r="F4061" s="39"/>
      <c r="G4061" s="40"/>
      <c r="H4061" s="41">
        <v>140</v>
      </c>
      <c r="I4061" s="41">
        <v>10</v>
      </c>
      <c r="J4061" s="50">
        <v>9380</v>
      </c>
      <c r="K4061" s="36">
        <v>140</v>
      </c>
      <c r="L4061" s="42">
        <f>(23.33*(1-O3/100))/0.75</f>
        <v>31.106666666666666</v>
      </c>
      <c r="M4061" s="12"/>
      <c r="N4061" s="40">
        <f t="shared" si="185"/>
        <v>0</v>
      </c>
      <c r="O4061" s="43">
        <f t="shared" si="186"/>
        <v>0</v>
      </c>
      <c r="P4061" s="46">
        <f>0.0001*M4061</f>
        <v>0</v>
      </c>
      <c r="Q4061" s="44"/>
      <c r="R4061" s="45" t="s">
        <v>12842</v>
      </c>
      <c r="S4061" s="45" t="s">
        <v>29</v>
      </c>
      <c r="T4061" s="37" t="str">
        <f>HYPERLINK("https://kanzpp.ru/api/getInfo/image/44525b00-19bf-11ef-a25d-00155d82e908")</f>
        <v>https://kanzpp.ru/api/getInfo/image/44525b00-19bf-11ef-a25d-00155d82e908</v>
      </c>
      <c r="U4061" s="37"/>
    </row>
    <row r="4062" spans="2:21" ht="21" customHeight="1" outlineLevel="7" x14ac:dyDescent="0.2">
      <c r="B4062" s="71">
        <v>3056</v>
      </c>
      <c r="C4062" s="37" t="s">
        <v>12843</v>
      </c>
      <c r="D4062" s="37" t="s">
        <v>12844</v>
      </c>
      <c r="E4062" s="38" t="s">
        <v>12845</v>
      </c>
      <c r="F4062" s="39"/>
      <c r="G4062" s="40"/>
      <c r="H4062" s="41">
        <v>140</v>
      </c>
      <c r="I4062" s="41">
        <v>10</v>
      </c>
      <c r="J4062" s="50">
        <v>5440</v>
      </c>
      <c r="K4062" s="36">
        <v>140</v>
      </c>
      <c r="L4062" s="42">
        <f>(23.33*(1-O3/100))/0.75</f>
        <v>31.106666666666666</v>
      </c>
      <c r="M4062" s="12"/>
      <c r="N4062" s="40">
        <f t="shared" si="185"/>
        <v>0</v>
      </c>
      <c r="O4062" s="43">
        <f t="shared" si="186"/>
        <v>0</v>
      </c>
      <c r="P4062" s="46">
        <f>0.0001*M4062</f>
        <v>0</v>
      </c>
      <c r="Q4062" s="44"/>
      <c r="R4062" s="45" t="s">
        <v>12846</v>
      </c>
      <c r="S4062" s="45" t="s">
        <v>29</v>
      </c>
      <c r="T4062" s="37" t="str">
        <f>HYPERLINK("https://kanzpp.ru/api/getInfo/image/7c5c2f84-19bf-11ef-a25d-00155d82e908")</f>
        <v>https://kanzpp.ru/api/getInfo/image/7c5c2f84-19bf-11ef-a25d-00155d82e908</v>
      </c>
      <c r="U4062" s="37"/>
    </row>
    <row r="4063" spans="2:21" ht="21" customHeight="1" outlineLevel="7" x14ac:dyDescent="0.2">
      <c r="B4063" s="71">
        <v>3057</v>
      </c>
      <c r="C4063" s="37" t="s">
        <v>12847</v>
      </c>
      <c r="D4063" s="37" t="s">
        <v>12848</v>
      </c>
      <c r="E4063" s="38" t="s">
        <v>12849</v>
      </c>
      <c r="F4063" s="39"/>
      <c r="G4063" s="40"/>
      <c r="H4063" s="41">
        <v>140</v>
      </c>
      <c r="I4063" s="41">
        <v>10</v>
      </c>
      <c r="J4063" s="50">
        <v>2520</v>
      </c>
      <c r="K4063" s="36">
        <v>140</v>
      </c>
      <c r="L4063" s="42">
        <f>(23.33*(1-O3/100))/0.75</f>
        <v>31.106666666666666</v>
      </c>
      <c r="M4063" s="12"/>
      <c r="N4063" s="40">
        <f t="shared" si="185"/>
        <v>0</v>
      </c>
      <c r="O4063" s="43">
        <f t="shared" si="186"/>
        <v>0</v>
      </c>
      <c r="P4063" s="46">
        <f>0.0001*M4063</f>
        <v>0</v>
      </c>
      <c r="Q4063" s="44"/>
      <c r="R4063" s="45" t="s">
        <v>12850</v>
      </c>
      <c r="S4063" s="45" t="s">
        <v>29</v>
      </c>
      <c r="T4063" s="37" t="str">
        <f>HYPERLINK("https://kanzpp.ru/api/getInfo/image/a0b1038d-19bf-11ef-a25d-00155d82e908")</f>
        <v>https://kanzpp.ru/api/getInfo/image/a0b1038d-19bf-11ef-a25d-00155d82e908</v>
      </c>
      <c r="U4063" s="37"/>
    </row>
    <row r="4064" spans="2:21" ht="21" customHeight="1" outlineLevel="7" x14ac:dyDescent="0.2">
      <c r="B4064" s="71">
        <v>3058</v>
      </c>
      <c r="C4064" s="37" t="s">
        <v>12851</v>
      </c>
      <c r="D4064" s="37" t="s">
        <v>12852</v>
      </c>
      <c r="E4064" s="38" t="s">
        <v>12853</v>
      </c>
      <c r="F4064" s="39"/>
      <c r="G4064" s="40"/>
      <c r="H4064" s="41">
        <v>140</v>
      </c>
      <c r="I4064" s="41">
        <v>10</v>
      </c>
      <c r="J4064" s="50">
        <v>3620</v>
      </c>
      <c r="K4064" s="36">
        <v>140</v>
      </c>
      <c r="L4064" s="42">
        <f>(23.33*(1-O3/100))/0.75</f>
        <v>31.106666666666666</v>
      </c>
      <c r="M4064" s="12"/>
      <c r="N4064" s="40">
        <f t="shared" si="185"/>
        <v>0</v>
      </c>
      <c r="O4064" s="43">
        <f t="shared" si="186"/>
        <v>0</v>
      </c>
      <c r="P4064" s="46">
        <f>0.0001*M4064</f>
        <v>0</v>
      </c>
      <c r="Q4064" s="44"/>
      <c r="R4064" s="45" t="s">
        <v>12854</v>
      </c>
      <c r="S4064" s="45" t="s">
        <v>29</v>
      </c>
      <c r="T4064" s="37" t="str">
        <f>HYPERLINK("https://kanzpp.ru/api/getInfo/image/eaeb37b7-19bf-11ef-a25d-00155d82e908")</f>
        <v>https://kanzpp.ru/api/getInfo/image/eaeb37b7-19bf-11ef-a25d-00155d82e908</v>
      </c>
      <c r="U4064" s="37"/>
    </row>
    <row r="4065" spans="2:22" ht="22.95" customHeight="1" outlineLevel="6" x14ac:dyDescent="0.2">
      <c r="B4065" s="84" t="s">
        <v>12855</v>
      </c>
      <c r="C4065" s="84"/>
      <c r="D4065" s="84"/>
      <c r="L4065">
        <v>0</v>
      </c>
    </row>
    <row r="4066" spans="2:22" ht="22.95" customHeight="1" outlineLevel="7" x14ac:dyDescent="0.2">
      <c r="B4066" s="85" t="s">
        <v>12856</v>
      </c>
      <c r="C4066" s="85"/>
      <c r="D4066" s="85"/>
      <c r="L4066">
        <v>0</v>
      </c>
    </row>
    <row r="4067" spans="2:22" ht="21" customHeight="1" outlineLevel="7" x14ac:dyDescent="0.2">
      <c r="B4067" s="71">
        <v>3059</v>
      </c>
      <c r="C4067" s="37" t="s">
        <v>12857</v>
      </c>
      <c r="D4067" s="37" t="s">
        <v>12858</v>
      </c>
      <c r="E4067" s="38" t="s">
        <v>12859</v>
      </c>
      <c r="F4067" s="39"/>
      <c r="G4067" s="40"/>
      <c r="H4067" s="41">
        <v>140</v>
      </c>
      <c r="I4067" s="41">
        <v>10</v>
      </c>
      <c r="J4067" s="41">
        <v>230</v>
      </c>
      <c r="K4067" s="36">
        <v>140</v>
      </c>
      <c r="L4067" s="42">
        <f>(23.33*(1-O3/100))/0.75</f>
        <v>31.106666666666666</v>
      </c>
      <c r="M4067" s="12"/>
      <c r="N4067" s="40">
        <f>L4067*M4067</f>
        <v>0</v>
      </c>
      <c r="O4067" s="43">
        <f>0.065*M4067</f>
        <v>0</v>
      </c>
      <c r="P4067" s="47">
        <f>0.00014*M4067</f>
        <v>0</v>
      </c>
      <c r="Q4067" s="44"/>
      <c r="R4067" s="45" t="s">
        <v>12860</v>
      </c>
      <c r="S4067" s="45" t="s">
        <v>29</v>
      </c>
      <c r="T4067" s="37"/>
      <c r="U4067" s="37"/>
    </row>
    <row r="4068" spans="2:22" ht="21" customHeight="1" outlineLevel="7" x14ac:dyDescent="0.2">
      <c r="B4068" s="71">
        <v>3060</v>
      </c>
      <c r="C4068" s="37" t="s">
        <v>12861</v>
      </c>
      <c r="D4068" s="37" t="s">
        <v>12862</v>
      </c>
      <c r="E4068" s="38" t="s">
        <v>12863</v>
      </c>
      <c r="F4068" s="39"/>
      <c r="G4068" s="40"/>
      <c r="H4068" s="41">
        <v>140</v>
      </c>
      <c r="I4068" s="41">
        <v>10</v>
      </c>
      <c r="J4068" s="41">
        <v>140</v>
      </c>
      <c r="K4068" s="36">
        <v>140</v>
      </c>
      <c r="L4068" s="42">
        <f>(23.33*(1-O3/100))/0.75</f>
        <v>31.106666666666666</v>
      </c>
      <c r="M4068" s="12"/>
      <c r="N4068" s="40">
        <f>L4068*M4068</f>
        <v>0</v>
      </c>
      <c r="O4068" s="43">
        <f>0.066*M4068</f>
        <v>0</v>
      </c>
      <c r="P4068" s="46">
        <f>0.0001*M4068</f>
        <v>0</v>
      </c>
      <c r="Q4068" s="44"/>
      <c r="R4068" s="45" t="s">
        <v>12864</v>
      </c>
      <c r="S4068" s="45" t="s">
        <v>29</v>
      </c>
      <c r="T4068" s="37" t="str">
        <f>HYPERLINK("https://kanzpp.ru/api/getInfo/image/ff3d305d-19b2-11ef-a25d-00155d82e908")</f>
        <v>https://kanzpp.ru/api/getInfo/image/ff3d305d-19b2-11ef-a25d-00155d82e908</v>
      </c>
      <c r="U4068" s="37"/>
    </row>
    <row r="4069" spans="2:22" ht="21" customHeight="1" outlineLevel="7" x14ac:dyDescent="0.2">
      <c r="B4069" s="71">
        <v>3061</v>
      </c>
      <c r="C4069" s="37" t="s">
        <v>12865</v>
      </c>
      <c r="D4069" s="37" t="s">
        <v>12866</v>
      </c>
      <c r="E4069" s="38" t="s">
        <v>12867</v>
      </c>
      <c r="F4069" s="39"/>
      <c r="G4069" s="40"/>
      <c r="H4069" s="41">
        <v>140</v>
      </c>
      <c r="I4069" s="41">
        <v>10</v>
      </c>
      <c r="J4069" s="41">
        <v>418</v>
      </c>
      <c r="K4069" s="36">
        <v>140</v>
      </c>
      <c r="L4069" s="42">
        <f>(23.33*(1-O3/100))/0.75</f>
        <v>31.106666666666666</v>
      </c>
      <c r="M4069" s="12"/>
      <c r="N4069" s="40">
        <f>L4069*M4069</f>
        <v>0</v>
      </c>
      <c r="O4069" s="43">
        <f>0.066*M4069</f>
        <v>0</v>
      </c>
      <c r="P4069" s="46">
        <f>0.0001*M4069</f>
        <v>0</v>
      </c>
      <c r="Q4069" s="44"/>
      <c r="R4069" s="45" t="s">
        <v>12868</v>
      </c>
      <c r="S4069" s="45" t="s">
        <v>29</v>
      </c>
      <c r="T4069" s="37" t="str">
        <f>HYPERLINK("https://kanzpp.ru/api/getInfo/image/1f258380-19b3-11ef-a25d-00155d82e908")</f>
        <v>https://kanzpp.ru/api/getInfo/image/1f258380-19b3-11ef-a25d-00155d82e908</v>
      </c>
      <c r="U4069" s="37"/>
    </row>
    <row r="4070" spans="2:22" ht="21" customHeight="1" outlineLevel="7" x14ac:dyDescent="0.2">
      <c r="B4070" s="71">
        <v>3062</v>
      </c>
      <c r="C4070" s="37" t="s">
        <v>12869</v>
      </c>
      <c r="D4070" s="37" t="s">
        <v>12870</v>
      </c>
      <c r="E4070" s="38" t="s">
        <v>12871</v>
      </c>
      <c r="F4070" s="39"/>
      <c r="G4070" s="40"/>
      <c r="H4070" s="41">
        <v>140</v>
      </c>
      <c r="I4070" s="41">
        <v>10</v>
      </c>
      <c r="J4070" s="41">
        <v>780</v>
      </c>
      <c r="K4070" s="36">
        <v>140</v>
      </c>
      <c r="L4070" s="42">
        <f>(23.33*(1-O3/100))/0.75</f>
        <v>31.106666666666666</v>
      </c>
      <c r="M4070" s="12"/>
      <c r="N4070" s="40">
        <f>L4070*M4070</f>
        <v>0</v>
      </c>
      <c r="O4070" s="43">
        <f>0.052*M4070</f>
        <v>0</v>
      </c>
      <c r="P4070" s="47">
        <f>0.00031*M4070</f>
        <v>0</v>
      </c>
      <c r="Q4070" s="44"/>
      <c r="R4070" s="45" t="s">
        <v>12872</v>
      </c>
      <c r="S4070" s="45" t="s">
        <v>29</v>
      </c>
      <c r="T4070" s="37"/>
      <c r="U4070" s="37"/>
    </row>
    <row r="4071" spans="2:22" ht="21" customHeight="1" outlineLevel="7" x14ac:dyDescent="0.2">
      <c r="B4071" s="71">
        <v>3063</v>
      </c>
      <c r="C4071" s="37" t="s">
        <v>12873</v>
      </c>
      <c r="D4071" s="37" t="s">
        <v>12874</v>
      </c>
      <c r="E4071" s="38" t="s">
        <v>12875</v>
      </c>
      <c r="F4071" s="39"/>
      <c r="G4071" s="40"/>
      <c r="H4071" s="41">
        <v>140</v>
      </c>
      <c r="I4071" s="41">
        <v>10</v>
      </c>
      <c r="J4071" s="50">
        <v>2380</v>
      </c>
      <c r="K4071" s="36">
        <v>140</v>
      </c>
      <c r="L4071" s="42">
        <f>(23.33*(1-O3/100))/0.75</f>
        <v>31.106666666666666</v>
      </c>
      <c r="M4071" s="12"/>
      <c r="N4071" s="40">
        <f>L4071*M4071</f>
        <v>0</v>
      </c>
      <c r="O4071" s="43">
        <f>0.066*M4071</f>
        <v>0</v>
      </c>
      <c r="P4071" s="46">
        <f>0.0001*M4071</f>
        <v>0</v>
      </c>
      <c r="Q4071" s="44"/>
      <c r="R4071" s="45" t="s">
        <v>12876</v>
      </c>
      <c r="S4071" s="45" t="s">
        <v>29</v>
      </c>
      <c r="T4071" s="37" t="str">
        <f>HYPERLINK("https://kanzpp.ru/api/getInfo/image/4daa61b3-19b1-11ef-a25d-00155d82e908")</f>
        <v>https://kanzpp.ru/api/getInfo/image/4daa61b3-19b1-11ef-a25d-00155d82e908</v>
      </c>
      <c r="U4071" s="37"/>
    </row>
    <row r="4072" spans="2:22" ht="22.95" customHeight="1" outlineLevel="7" x14ac:dyDescent="0.2">
      <c r="B4072" s="85" t="s">
        <v>12877</v>
      </c>
      <c r="C4072" s="85"/>
      <c r="D4072" s="85"/>
      <c r="L4072">
        <v>0</v>
      </c>
    </row>
    <row r="4073" spans="2:22" ht="21" customHeight="1" outlineLevel="7" x14ac:dyDescent="0.2">
      <c r="B4073" s="71">
        <v>3064</v>
      </c>
      <c r="C4073" s="37" t="s">
        <v>12878</v>
      </c>
      <c r="D4073" s="37" t="s">
        <v>12879</v>
      </c>
      <c r="E4073" s="38" t="s">
        <v>12880</v>
      </c>
      <c r="F4073" s="39"/>
      <c r="G4073" s="40"/>
      <c r="H4073" s="41">
        <v>140</v>
      </c>
      <c r="I4073" s="41">
        <v>10</v>
      </c>
      <c r="J4073" s="50">
        <v>3220</v>
      </c>
      <c r="K4073" s="36">
        <v>140</v>
      </c>
      <c r="L4073" s="42">
        <f>(23.33*(1-O3/100))/0.75</f>
        <v>31.106666666666666</v>
      </c>
      <c r="M4073" s="12"/>
      <c r="N4073" s="40">
        <f>L4073*M4073</f>
        <v>0</v>
      </c>
      <c r="O4073" s="43">
        <f>0.066*M4073</f>
        <v>0</v>
      </c>
      <c r="P4073" s="46">
        <f>0.0001*M4073</f>
        <v>0</v>
      </c>
      <c r="Q4073" s="44"/>
      <c r="R4073" s="45" t="s">
        <v>12881</v>
      </c>
      <c r="S4073" s="45" t="s">
        <v>29</v>
      </c>
      <c r="T4073" s="37" t="str">
        <f>HYPERLINK("https://kanzpp.ru/api/getInfo/image/7bb17897-19b3-11ef-a25d-00155d82e908")</f>
        <v>https://kanzpp.ru/api/getInfo/image/7bb17897-19b3-11ef-a25d-00155d82e908</v>
      </c>
      <c r="U4073" s="37"/>
    </row>
    <row r="4074" spans="2:22" ht="21" customHeight="1" outlineLevel="7" x14ac:dyDescent="0.2">
      <c r="B4074" s="71">
        <v>3065</v>
      </c>
      <c r="C4074" s="37" t="s">
        <v>12882</v>
      </c>
      <c r="D4074" s="37" t="s">
        <v>12883</v>
      </c>
      <c r="E4074" s="38" t="s">
        <v>12884</v>
      </c>
      <c r="F4074" s="39"/>
      <c r="G4074" s="40"/>
      <c r="H4074" s="41">
        <v>140</v>
      </c>
      <c r="I4074" s="41">
        <v>10</v>
      </c>
      <c r="J4074" s="41">
        <v>840</v>
      </c>
      <c r="K4074" s="36">
        <v>140</v>
      </c>
      <c r="L4074" s="42">
        <f>(23.33*(1-O3/100))/0.75</f>
        <v>31.106666666666666</v>
      </c>
      <c r="M4074" s="12"/>
      <c r="N4074" s="40">
        <f>L4074*M4074</f>
        <v>0</v>
      </c>
      <c r="O4074" s="43">
        <f>0.052*M4074</f>
        <v>0</v>
      </c>
      <c r="P4074" s="47">
        <f>0.00031*M4074</f>
        <v>0</v>
      </c>
      <c r="Q4074" s="44"/>
      <c r="R4074" s="45" t="s">
        <v>12885</v>
      </c>
      <c r="S4074" s="45" t="s">
        <v>29</v>
      </c>
      <c r="T4074" s="37" t="str">
        <f>HYPERLINK("https://kanzpp.ru/api/getInfo/image/c4a25ca0-19b1-11ef-a25d-00155d82e908")</f>
        <v>https://kanzpp.ru/api/getInfo/image/c4a25ca0-19b1-11ef-a25d-00155d82e908</v>
      </c>
      <c r="U4074" s="37"/>
    </row>
    <row r="4075" spans="2:22" ht="21" customHeight="1" outlineLevel="7" x14ac:dyDescent="0.2">
      <c r="B4075" s="71">
        <v>3066</v>
      </c>
      <c r="C4075" s="37" t="s">
        <v>12886</v>
      </c>
      <c r="D4075" s="37" t="s">
        <v>12887</v>
      </c>
      <c r="E4075" s="38" t="s">
        <v>12888</v>
      </c>
      <c r="F4075" s="39"/>
      <c r="G4075" s="40"/>
      <c r="H4075" s="41">
        <v>140</v>
      </c>
      <c r="I4075" s="41">
        <v>10</v>
      </c>
      <c r="J4075" s="50">
        <v>2378</v>
      </c>
      <c r="K4075" s="36">
        <v>140</v>
      </c>
      <c r="L4075" s="42">
        <f>(23.33*(1-O3/100))/0.75</f>
        <v>31.106666666666666</v>
      </c>
      <c r="M4075" s="12"/>
      <c r="N4075" s="40">
        <f>L4075*M4075</f>
        <v>0</v>
      </c>
      <c r="O4075" s="43">
        <f>0.052*M4075</f>
        <v>0</v>
      </c>
      <c r="P4075" s="47">
        <f>0.00031*M4075</f>
        <v>0</v>
      </c>
      <c r="Q4075" s="44"/>
      <c r="R4075" s="45" t="s">
        <v>12889</v>
      </c>
      <c r="S4075" s="45" t="s">
        <v>29</v>
      </c>
      <c r="T4075" s="37" t="str">
        <f>HYPERLINK("https://kanzpp.ru/api/getInfo/image/e217a37d-19b1-11ef-a25d-00155d82e908")</f>
        <v>https://kanzpp.ru/api/getInfo/image/e217a37d-19b1-11ef-a25d-00155d82e908</v>
      </c>
      <c r="U4075" s="37"/>
    </row>
    <row r="4076" spans="2:22" ht="21" customHeight="1" outlineLevel="7" x14ac:dyDescent="0.2">
      <c r="B4076" s="71">
        <v>3067</v>
      </c>
      <c r="C4076" s="37" t="s">
        <v>12890</v>
      </c>
      <c r="D4076" s="37" t="s">
        <v>12891</v>
      </c>
      <c r="E4076" s="38" t="s">
        <v>12892</v>
      </c>
      <c r="F4076" s="39"/>
      <c r="G4076" s="40"/>
      <c r="H4076" s="41">
        <v>140</v>
      </c>
      <c r="I4076" s="41">
        <v>10</v>
      </c>
      <c r="J4076" s="41">
        <v>280</v>
      </c>
      <c r="K4076" s="36">
        <v>140</v>
      </c>
      <c r="L4076" s="42">
        <f>(23.33*(1-O3/100))/0.75</f>
        <v>31.106666666666666</v>
      </c>
      <c r="M4076" s="12"/>
      <c r="N4076" s="40">
        <f>L4076*M4076</f>
        <v>0</v>
      </c>
      <c r="O4076" s="43">
        <f>0.052*M4076</f>
        <v>0</v>
      </c>
      <c r="P4076" s="47">
        <f>0.00031*M4076</f>
        <v>0</v>
      </c>
      <c r="Q4076" s="44"/>
      <c r="R4076" s="45" t="s">
        <v>12893</v>
      </c>
      <c r="S4076" s="45" t="s">
        <v>29</v>
      </c>
      <c r="T4076" s="37" t="str">
        <f>HYPERLINK("https://kanzpp.ru/api/getInfo/image/ffec48b9-19b1-11ef-a25d-00155d82e908")</f>
        <v>https://kanzpp.ru/api/getInfo/image/ffec48b9-19b1-11ef-a25d-00155d82e908</v>
      </c>
      <c r="U4076" s="37"/>
    </row>
    <row r="4077" spans="2:22" ht="22.95" customHeight="1" outlineLevel="5" x14ac:dyDescent="0.2">
      <c r="B4077" s="83" t="s">
        <v>12894</v>
      </c>
      <c r="C4077" s="83"/>
      <c r="D4077" s="83"/>
      <c r="L4077">
        <v>0</v>
      </c>
    </row>
    <row r="4078" spans="2:22" ht="22.95" customHeight="1" outlineLevel="6" x14ac:dyDescent="0.2">
      <c r="B4078" s="84" t="s">
        <v>12895</v>
      </c>
      <c r="C4078" s="84"/>
      <c r="D4078" s="84"/>
      <c r="L4078">
        <v>0</v>
      </c>
    </row>
    <row r="4079" spans="2:22" ht="21" customHeight="1" outlineLevel="7" x14ac:dyDescent="0.2">
      <c r="B4079" s="69">
        <v>3068</v>
      </c>
      <c r="C4079" s="6" t="s">
        <v>12896</v>
      </c>
      <c r="D4079" s="6" t="s">
        <v>12897</v>
      </c>
      <c r="E4079" s="7" t="s">
        <v>12898</v>
      </c>
      <c r="F4079" s="13"/>
      <c r="G4079" s="14"/>
      <c r="H4079" s="15">
        <v>140</v>
      </c>
      <c r="I4079" s="15">
        <v>10</v>
      </c>
      <c r="J4079" s="17">
        <v>5471</v>
      </c>
      <c r="K4079" s="5">
        <v>140</v>
      </c>
      <c r="L4079" s="16">
        <v>18.986666666666668</v>
      </c>
      <c r="M4079" s="12"/>
      <c r="N4079" s="14">
        <f>L4079*M4079</f>
        <v>0</v>
      </c>
      <c r="O4079" s="23">
        <f>0.078*M4079</f>
        <v>0</v>
      </c>
      <c r="P4079" s="24">
        <f>0.00017*M4079</f>
        <v>0</v>
      </c>
      <c r="Q4079" s="25"/>
      <c r="R4079" s="26" t="s">
        <v>12899</v>
      </c>
      <c r="S4079" s="26" t="s">
        <v>29</v>
      </c>
      <c r="T4079" s="6" t="str">
        <f>HYPERLINK("https://kanzpp.ru/api/getInfo/image/e6c3ad7b-427c-11ee-a243-00155d82e902")</f>
        <v>https://kanzpp.ru/api/getInfo/image/e6c3ad7b-427c-11ee-a243-00155d82e902</v>
      </c>
      <c r="U4079" s="6"/>
      <c r="V4079" s="33" t="s">
        <v>35</v>
      </c>
    </row>
    <row r="4080" spans="2:22" ht="22.95" customHeight="1" outlineLevel="6" x14ac:dyDescent="0.2">
      <c r="B4080" s="84" t="s">
        <v>12900</v>
      </c>
      <c r="C4080" s="84"/>
      <c r="D4080" s="84"/>
      <c r="L4080">
        <v>0</v>
      </c>
    </row>
    <row r="4081" spans="2:22" ht="21" customHeight="1" outlineLevel="7" x14ac:dyDescent="0.2">
      <c r="B4081" s="69">
        <v>3069</v>
      </c>
      <c r="C4081" s="6" t="s">
        <v>12901</v>
      </c>
      <c r="D4081" s="6" t="s">
        <v>12902</v>
      </c>
      <c r="E4081" s="7" t="s">
        <v>12903</v>
      </c>
      <c r="F4081" s="13"/>
      <c r="G4081" s="14"/>
      <c r="H4081" s="15">
        <v>140</v>
      </c>
      <c r="I4081" s="15">
        <v>10</v>
      </c>
      <c r="J4081" s="17">
        <v>4470</v>
      </c>
      <c r="K4081" s="5">
        <v>140</v>
      </c>
      <c r="L4081" s="16">
        <v>18.986666666666668</v>
      </c>
      <c r="M4081" s="12"/>
      <c r="N4081" s="14">
        <f t="shared" ref="N4081:N4086" si="187">L4081*M4081</f>
        <v>0</v>
      </c>
      <c r="O4081" s="23">
        <f>0.079*M4081</f>
        <v>0</v>
      </c>
      <c r="P4081" s="24">
        <f>0.00011*M4081</f>
        <v>0</v>
      </c>
      <c r="Q4081" s="25"/>
      <c r="R4081" s="26" t="s">
        <v>12904</v>
      </c>
      <c r="S4081" s="26" t="s">
        <v>29</v>
      </c>
      <c r="T4081" s="6" t="str">
        <f>HYPERLINK("https://kanzpp.ru/api/getInfo/image/c999f6de-4280-11ee-a243-00155d82e902")</f>
        <v>https://kanzpp.ru/api/getInfo/image/c999f6de-4280-11ee-a243-00155d82e902</v>
      </c>
      <c r="U4081" s="6"/>
      <c r="V4081" s="33" t="s">
        <v>35</v>
      </c>
    </row>
    <row r="4082" spans="2:22" ht="21" customHeight="1" outlineLevel="7" x14ac:dyDescent="0.2">
      <c r="B4082" s="69">
        <v>3070</v>
      </c>
      <c r="C4082" s="6" t="s">
        <v>12905</v>
      </c>
      <c r="D4082" s="6" t="s">
        <v>12906</v>
      </c>
      <c r="E4082" s="7" t="s">
        <v>12907</v>
      </c>
      <c r="F4082" s="13"/>
      <c r="G4082" s="14"/>
      <c r="H4082" s="15">
        <v>140</v>
      </c>
      <c r="I4082" s="15">
        <v>10</v>
      </c>
      <c r="J4082" s="17">
        <v>9240</v>
      </c>
      <c r="K4082" s="5">
        <v>140</v>
      </c>
      <c r="L4082" s="16">
        <v>18.986666666666668</v>
      </c>
      <c r="M4082" s="12"/>
      <c r="N4082" s="14">
        <f t="shared" si="187"/>
        <v>0</v>
      </c>
      <c r="O4082" s="23">
        <f>0.074*M4082</f>
        <v>0</v>
      </c>
      <c r="P4082" s="31">
        <f>0.0001*M4082</f>
        <v>0</v>
      </c>
      <c r="Q4082" s="25"/>
      <c r="R4082" s="26" t="s">
        <v>12908</v>
      </c>
      <c r="S4082" s="26" t="s">
        <v>29</v>
      </c>
      <c r="T4082" s="6" t="str">
        <f>HYPERLINK("https://kanzpp.ru/api/getInfo/image/22b77a80-4280-11ee-a243-00155d82e902")</f>
        <v>https://kanzpp.ru/api/getInfo/image/22b77a80-4280-11ee-a243-00155d82e902</v>
      </c>
      <c r="U4082" s="6"/>
      <c r="V4082" s="33" t="s">
        <v>35</v>
      </c>
    </row>
    <row r="4083" spans="2:22" ht="21" customHeight="1" outlineLevel="7" x14ac:dyDescent="0.2">
      <c r="B4083" s="69">
        <v>3071</v>
      </c>
      <c r="C4083" s="6" t="s">
        <v>12909</v>
      </c>
      <c r="D4083" s="6" t="s">
        <v>12910</v>
      </c>
      <c r="E4083" s="7" t="s">
        <v>12911</v>
      </c>
      <c r="F4083" s="13"/>
      <c r="G4083" s="14"/>
      <c r="H4083" s="15">
        <v>140</v>
      </c>
      <c r="I4083" s="15">
        <v>10</v>
      </c>
      <c r="J4083" s="17">
        <v>7833</v>
      </c>
      <c r="K4083" s="5">
        <v>140</v>
      </c>
      <c r="L4083" s="16">
        <v>18.986666666666668</v>
      </c>
      <c r="M4083" s="12"/>
      <c r="N4083" s="14">
        <f t="shared" si="187"/>
        <v>0</v>
      </c>
      <c r="O4083" s="23">
        <f>0.074*M4083</f>
        <v>0</v>
      </c>
      <c r="P4083" s="31">
        <f>0.0001*M4083</f>
        <v>0</v>
      </c>
      <c r="Q4083" s="25"/>
      <c r="R4083" s="26" t="s">
        <v>12912</v>
      </c>
      <c r="S4083" s="26" t="s">
        <v>29</v>
      </c>
      <c r="T4083" s="6" t="str">
        <f>HYPERLINK("https://kanzpp.ru/api/getInfo/image/89d55605-4280-11ee-a243-00155d82e902")</f>
        <v>https://kanzpp.ru/api/getInfo/image/89d55605-4280-11ee-a243-00155d82e902</v>
      </c>
      <c r="U4083" s="6"/>
      <c r="V4083" s="33" t="s">
        <v>35</v>
      </c>
    </row>
    <row r="4084" spans="2:22" ht="21" customHeight="1" outlineLevel="7" x14ac:dyDescent="0.2">
      <c r="B4084" s="69">
        <v>3072</v>
      </c>
      <c r="C4084" s="6" t="s">
        <v>12913</v>
      </c>
      <c r="D4084" s="6" t="s">
        <v>12914</v>
      </c>
      <c r="E4084" s="7" t="s">
        <v>12915</v>
      </c>
      <c r="F4084" s="13"/>
      <c r="G4084" s="14"/>
      <c r="H4084" s="15">
        <v>140</v>
      </c>
      <c r="I4084" s="15">
        <v>10</v>
      </c>
      <c r="J4084" s="17">
        <v>8297</v>
      </c>
      <c r="K4084" s="5">
        <v>140</v>
      </c>
      <c r="L4084" s="16">
        <v>18.986666666666668</v>
      </c>
      <c r="M4084" s="12"/>
      <c r="N4084" s="14">
        <f t="shared" si="187"/>
        <v>0</v>
      </c>
      <c r="O4084" s="23">
        <f>0.074*M4084</f>
        <v>0</v>
      </c>
      <c r="P4084" s="31">
        <f>0.0001*M4084</f>
        <v>0</v>
      </c>
      <c r="Q4084" s="25"/>
      <c r="R4084" s="26" t="s">
        <v>12916</v>
      </c>
      <c r="S4084" s="26" t="s">
        <v>29</v>
      </c>
      <c r="T4084" s="6" t="str">
        <f>HYPERLINK("https://kanzpp.ru/api/getInfo/image/d4855df7-4e18-11ee-a244-00155d82e902")</f>
        <v>https://kanzpp.ru/api/getInfo/image/d4855df7-4e18-11ee-a244-00155d82e902</v>
      </c>
      <c r="U4084" s="6"/>
      <c r="V4084" s="33" t="s">
        <v>35</v>
      </c>
    </row>
    <row r="4085" spans="2:22" ht="21" customHeight="1" outlineLevel="7" x14ac:dyDescent="0.2">
      <c r="B4085" s="69">
        <v>3073</v>
      </c>
      <c r="C4085" s="6" t="s">
        <v>12917</v>
      </c>
      <c r="D4085" s="6" t="s">
        <v>12918</v>
      </c>
      <c r="E4085" s="7" t="s">
        <v>1154</v>
      </c>
      <c r="F4085" s="13"/>
      <c r="G4085" s="14"/>
      <c r="H4085" s="15">
        <v>140</v>
      </c>
      <c r="I4085" s="15">
        <v>10</v>
      </c>
      <c r="J4085" s="17">
        <v>5470</v>
      </c>
      <c r="K4085" s="5">
        <v>140</v>
      </c>
      <c r="L4085" s="16">
        <v>18.986666666666668</v>
      </c>
      <c r="M4085" s="12"/>
      <c r="N4085" s="14">
        <f t="shared" si="187"/>
        <v>0</v>
      </c>
      <c r="O4085" s="23">
        <f>0.074*M4085</f>
        <v>0</v>
      </c>
      <c r="P4085" s="31">
        <f>0.0001*M4085</f>
        <v>0</v>
      </c>
      <c r="Q4085" s="25"/>
      <c r="R4085" s="26" t="s">
        <v>12919</v>
      </c>
      <c r="S4085" s="26" t="s">
        <v>29</v>
      </c>
      <c r="T4085" s="6" t="str">
        <f>HYPERLINK("https://kanzpp.ru/api/getInfo/image/202657fc-4281-11ee-a243-00155d82e902")</f>
        <v>https://kanzpp.ru/api/getInfo/image/202657fc-4281-11ee-a243-00155d82e902</v>
      </c>
      <c r="U4085" s="6"/>
      <c r="V4085" s="33" t="s">
        <v>35</v>
      </c>
    </row>
    <row r="4086" spans="2:22" ht="21" customHeight="1" outlineLevel="7" x14ac:dyDescent="0.2">
      <c r="B4086" s="69">
        <v>3074</v>
      </c>
      <c r="C4086" s="6" t="s">
        <v>12920</v>
      </c>
      <c r="D4086" s="6" t="s">
        <v>12921</v>
      </c>
      <c r="E4086" s="7" t="s">
        <v>1157</v>
      </c>
      <c r="F4086" s="13"/>
      <c r="G4086" s="14"/>
      <c r="H4086" s="15">
        <v>140</v>
      </c>
      <c r="I4086" s="15">
        <v>10</v>
      </c>
      <c r="J4086" s="17">
        <v>9933</v>
      </c>
      <c r="K4086" s="5">
        <v>140</v>
      </c>
      <c r="L4086" s="16">
        <v>18.986666666666668</v>
      </c>
      <c r="M4086" s="12"/>
      <c r="N4086" s="14">
        <f t="shared" si="187"/>
        <v>0</v>
      </c>
      <c r="O4086" s="23">
        <f>0.072*M4086</f>
        <v>0</v>
      </c>
      <c r="P4086" s="31">
        <f>0.0001*M4086</f>
        <v>0</v>
      </c>
      <c r="Q4086" s="25"/>
      <c r="R4086" s="26" t="s">
        <v>12922</v>
      </c>
      <c r="S4086" s="26" t="s">
        <v>29</v>
      </c>
      <c r="T4086" s="6" t="str">
        <f>HYPERLINK("https://kanzpp.ru/api/getInfo/image/765a80a1-4281-11ee-a243-00155d82e902")</f>
        <v>https://kanzpp.ru/api/getInfo/image/765a80a1-4281-11ee-a243-00155d82e902</v>
      </c>
      <c r="U4086" s="6"/>
      <c r="V4086" s="33" t="s">
        <v>35</v>
      </c>
    </row>
    <row r="4087" spans="2:22" ht="22.95" customHeight="1" outlineLevel="3" x14ac:dyDescent="0.2">
      <c r="B4087" s="81" t="s">
        <v>12923</v>
      </c>
      <c r="C4087" s="81"/>
      <c r="D4087" s="81"/>
      <c r="L4087">
        <v>0</v>
      </c>
    </row>
    <row r="4088" spans="2:22" ht="22.95" customHeight="1" outlineLevel="4" x14ac:dyDescent="0.2">
      <c r="B4088" s="82" t="s">
        <v>12924</v>
      </c>
      <c r="C4088" s="82"/>
      <c r="D4088" s="82"/>
      <c r="L4088">
        <v>0</v>
      </c>
    </row>
    <row r="4089" spans="2:22" ht="22.95" customHeight="1" outlineLevel="5" x14ac:dyDescent="0.2">
      <c r="B4089" s="83" t="s">
        <v>12925</v>
      </c>
      <c r="C4089" s="83"/>
      <c r="D4089" s="83"/>
      <c r="L4089">
        <v>0</v>
      </c>
    </row>
    <row r="4090" spans="2:22" ht="21" customHeight="1" outlineLevel="6" x14ac:dyDescent="0.2">
      <c r="B4090" s="69">
        <v>3075</v>
      </c>
      <c r="C4090" s="6" t="s">
        <v>12926</v>
      </c>
      <c r="D4090" s="6" t="s">
        <v>12927</v>
      </c>
      <c r="E4090" s="7" t="s">
        <v>12928</v>
      </c>
      <c r="F4090" s="13"/>
      <c r="G4090" s="14"/>
      <c r="H4090" s="15">
        <v>120</v>
      </c>
      <c r="I4090" s="14"/>
      <c r="J4090" s="17">
        <v>11893</v>
      </c>
      <c r="K4090" s="5">
        <v>120</v>
      </c>
      <c r="L4090" s="16">
        <v>10.533333333333333</v>
      </c>
      <c r="M4090" s="12"/>
      <c r="N4090" s="14">
        <f t="shared" ref="N4090:N4095" si="188">L4090*M4090</f>
        <v>0</v>
      </c>
      <c r="O4090" s="23">
        <f>0.083*M4090</f>
        <v>0</v>
      </c>
      <c r="P4090" s="24">
        <f>0.00013*M4090</f>
        <v>0</v>
      </c>
      <c r="Q4090" s="25"/>
      <c r="R4090" s="26" t="s">
        <v>12929</v>
      </c>
      <c r="S4090" s="26" t="s">
        <v>93</v>
      </c>
      <c r="T4090" s="6" t="str">
        <f>HYPERLINK("https://kanzpp.ru/api/getInfo/image/4fd1e190-38e4-11ed-a216-ac1f6b442185")</f>
        <v>https://kanzpp.ru/api/getInfo/image/4fd1e190-38e4-11ed-a216-ac1f6b442185</v>
      </c>
      <c r="U4090" s="6"/>
      <c r="V4090" s="33" t="s">
        <v>35</v>
      </c>
    </row>
    <row r="4091" spans="2:22" ht="21" customHeight="1" outlineLevel="6" x14ac:dyDescent="0.2">
      <c r="B4091" s="69">
        <v>3076</v>
      </c>
      <c r="C4091" s="6" t="s">
        <v>12930</v>
      </c>
      <c r="D4091" s="6" t="s">
        <v>12931</v>
      </c>
      <c r="E4091" s="7" t="s">
        <v>12932</v>
      </c>
      <c r="F4091" s="13"/>
      <c r="G4091" s="14"/>
      <c r="H4091" s="15">
        <v>120</v>
      </c>
      <c r="I4091" s="14"/>
      <c r="J4091" s="17">
        <v>10244</v>
      </c>
      <c r="K4091" s="5">
        <v>120</v>
      </c>
      <c r="L4091" s="16">
        <v>10.533333333333333</v>
      </c>
      <c r="M4091" s="12"/>
      <c r="N4091" s="14">
        <f t="shared" si="188"/>
        <v>0</v>
      </c>
      <c r="O4091" s="23">
        <f>0.087*M4091</f>
        <v>0</v>
      </c>
      <c r="P4091" s="31">
        <f>0.0002*M4091</f>
        <v>0</v>
      </c>
      <c r="Q4091" s="25"/>
      <c r="R4091" s="26" t="s">
        <v>12933</v>
      </c>
      <c r="S4091" s="26" t="s">
        <v>93</v>
      </c>
      <c r="T4091" s="6" t="str">
        <f>HYPERLINK("https://kanzpp.ru/api/getInfo/image/a6ef1a56-9ff6-11ee-a257-00155d82e908")</f>
        <v>https://kanzpp.ru/api/getInfo/image/a6ef1a56-9ff6-11ee-a257-00155d82e908</v>
      </c>
      <c r="U4091" s="6"/>
      <c r="V4091" s="33" t="s">
        <v>35</v>
      </c>
    </row>
    <row r="4092" spans="2:22" ht="21" customHeight="1" outlineLevel="6" x14ac:dyDescent="0.2">
      <c r="B4092" s="69">
        <v>3077</v>
      </c>
      <c r="C4092" s="6" t="s">
        <v>12934</v>
      </c>
      <c r="D4092" s="6" t="s">
        <v>12935</v>
      </c>
      <c r="E4092" s="7" t="s">
        <v>12936</v>
      </c>
      <c r="F4092" s="13"/>
      <c r="G4092" s="14"/>
      <c r="H4092" s="15">
        <v>120</v>
      </c>
      <c r="I4092" s="14"/>
      <c r="J4092" s="15">
        <v>762</v>
      </c>
      <c r="K4092" s="5">
        <v>120</v>
      </c>
      <c r="L4092" s="16">
        <v>10.533333333333333</v>
      </c>
      <c r="M4092" s="12"/>
      <c r="N4092" s="14">
        <f t="shared" si="188"/>
        <v>0</v>
      </c>
      <c r="O4092" s="23">
        <f>0.084*M4092</f>
        <v>0</v>
      </c>
      <c r="P4092" s="24">
        <f>0.00027*M4092</f>
        <v>0</v>
      </c>
      <c r="Q4092" s="25"/>
      <c r="R4092" s="26" t="s">
        <v>12937</v>
      </c>
      <c r="S4092" s="26" t="s">
        <v>93</v>
      </c>
      <c r="T4092" s="6" t="str">
        <f>HYPERLINK("https://kanzpp.ru/api/getInfo/image/3a5e6ff7-9ff6-11ee-a257-00155d82e908")</f>
        <v>https://kanzpp.ru/api/getInfo/image/3a5e6ff7-9ff6-11ee-a257-00155d82e908</v>
      </c>
      <c r="U4092" s="6"/>
      <c r="V4092" s="33" t="s">
        <v>35</v>
      </c>
    </row>
    <row r="4093" spans="2:22" ht="21" customHeight="1" outlineLevel="6" x14ac:dyDescent="0.2">
      <c r="B4093" s="69">
        <v>3078</v>
      </c>
      <c r="C4093" s="6" t="s">
        <v>12938</v>
      </c>
      <c r="D4093" s="6" t="s">
        <v>12939</v>
      </c>
      <c r="E4093" s="7" t="s">
        <v>12940</v>
      </c>
      <c r="F4093" s="13"/>
      <c r="G4093" s="14"/>
      <c r="H4093" s="15">
        <v>120</v>
      </c>
      <c r="I4093" s="14"/>
      <c r="J4093" s="17">
        <v>1610</v>
      </c>
      <c r="K4093" s="5">
        <v>120</v>
      </c>
      <c r="L4093" s="16">
        <v>10.533333333333333</v>
      </c>
      <c r="M4093" s="12"/>
      <c r="N4093" s="14">
        <f t="shared" si="188"/>
        <v>0</v>
      </c>
      <c r="O4093" s="23">
        <f>0.083*M4093</f>
        <v>0</v>
      </c>
      <c r="P4093" s="24">
        <f>0.00013*M4093</f>
        <v>0</v>
      </c>
      <c r="Q4093" s="25"/>
      <c r="R4093" s="26" t="s">
        <v>12941</v>
      </c>
      <c r="S4093" s="26" t="s">
        <v>93</v>
      </c>
      <c r="T4093" s="6" t="str">
        <f>HYPERLINK("https://kanzpp.ru/api/getInfo/image/9dc4b987-38e4-11ed-a216-ac1f6b442185")</f>
        <v>https://kanzpp.ru/api/getInfo/image/9dc4b987-38e4-11ed-a216-ac1f6b442185</v>
      </c>
      <c r="U4093" s="6"/>
      <c r="V4093" s="33" t="s">
        <v>35</v>
      </c>
    </row>
    <row r="4094" spans="2:22" ht="21" customHeight="1" outlineLevel="6" x14ac:dyDescent="0.2">
      <c r="B4094" s="69">
        <v>3079</v>
      </c>
      <c r="C4094" s="6" t="s">
        <v>12942</v>
      </c>
      <c r="D4094" s="6" t="s">
        <v>12943</v>
      </c>
      <c r="E4094" s="7" t="s">
        <v>12944</v>
      </c>
      <c r="F4094" s="13"/>
      <c r="G4094" s="14"/>
      <c r="H4094" s="15">
        <v>120</v>
      </c>
      <c r="I4094" s="14"/>
      <c r="J4094" s="17">
        <v>4658</v>
      </c>
      <c r="K4094" s="5">
        <v>120</v>
      </c>
      <c r="L4094" s="16">
        <v>10.533333333333333</v>
      </c>
      <c r="M4094" s="12"/>
      <c r="N4094" s="14">
        <f t="shared" si="188"/>
        <v>0</v>
      </c>
      <c r="O4094" s="23">
        <f>0.086*M4094</f>
        <v>0</v>
      </c>
      <c r="P4094" s="31">
        <f>0.0002*M4094</f>
        <v>0</v>
      </c>
      <c r="Q4094" s="25"/>
      <c r="R4094" s="26" t="s">
        <v>12945</v>
      </c>
      <c r="S4094" s="26" t="s">
        <v>93</v>
      </c>
      <c r="T4094" s="6" t="str">
        <f>HYPERLINK("https://kanzpp.ru/api/getInfo/image/8ac53efe-9ff6-11ee-a257-00155d82e908")</f>
        <v>https://kanzpp.ru/api/getInfo/image/8ac53efe-9ff6-11ee-a257-00155d82e908</v>
      </c>
      <c r="U4094" s="6"/>
      <c r="V4094" s="33" t="s">
        <v>35</v>
      </c>
    </row>
    <row r="4095" spans="2:22" ht="21" customHeight="1" outlineLevel="6" x14ac:dyDescent="0.2">
      <c r="B4095" s="69">
        <v>3080</v>
      </c>
      <c r="C4095" s="6" t="s">
        <v>12946</v>
      </c>
      <c r="D4095" s="6" t="s">
        <v>12947</v>
      </c>
      <c r="E4095" s="7" t="s">
        <v>12948</v>
      </c>
      <c r="F4095" s="13"/>
      <c r="G4095" s="14"/>
      <c r="H4095" s="15">
        <v>120</v>
      </c>
      <c r="I4095" s="14"/>
      <c r="J4095" s="17">
        <v>5999</v>
      </c>
      <c r="K4095" s="5">
        <v>120</v>
      </c>
      <c r="L4095" s="16">
        <v>10.533333333333333</v>
      </c>
      <c r="M4095" s="12"/>
      <c r="N4095" s="14">
        <f t="shared" si="188"/>
        <v>0</v>
      </c>
      <c r="O4095" s="23">
        <f>0.083*M4095</f>
        <v>0</v>
      </c>
      <c r="P4095" s="24">
        <f>0.00013*M4095</f>
        <v>0</v>
      </c>
      <c r="Q4095" s="25"/>
      <c r="R4095" s="26" t="s">
        <v>12949</v>
      </c>
      <c r="S4095" s="26" t="s">
        <v>93</v>
      </c>
      <c r="T4095" s="6" t="str">
        <f>HYPERLINK("https://kanzpp.ru/api/getInfo/image/f59edf2a-38e3-11ed-a216-ac1f6b442185")</f>
        <v>https://kanzpp.ru/api/getInfo/image/f59edf2a-38e3-11ed-a216-ac1f6b442185</v>
      </c>
      <c r="U4095" s="6"/>
      <c r="V4095" s="33" t="s">
        <v>35</v>
      </c>
    </row>
    <row r="4096" spans="2:22" ht="22.95" customHeight="1" outlineLevel="4" x14ac:dyDescent="0.2">
      <c r="B4096" s="82" t="s">
        <v>12950</v>
      </c>
      <c r="C4096" s="82"/>
      <c r="D4096" s="82"/>
      <c r="L4096">
        <v>0</v>
      </c>
    </row>
    <row r="4097" spans="2:22" ht="22.95" customHeight="1" outlineLevel="5" x14ac:dyDescent="0.2">
      <c r="B4097" s="83" t="s">
        <v>12951</v>
      </c>
      <c r="C4097" s="83"/>
      <c r="D4097" s="83"/>
      <c r="L4097">
        <v>0</v>
      </c>
    </row>
    <row r="4098" spans="2:22" ht="22.95" customHeight="1" outlineLevel="6" x14ac:dyDescent="0.2">
      <c r="B4098" s="84" t="s">
        <v>12952</v>
      </c>
      <c r="C4098" s="84"/>
      <c r="D4098" s="84"/>
      <c r="L4098">
        <v>0</v>
      </c>
    </row>
    <row r="4099" spans="2:22" ht="21" customHeight="1" outlineLevel="7" x14ac:dyDescent="0.2">
      <c r="B4099" s="69">
        <v>3081</v>
      </c>
      <c r="C4099" s="6" t="s">
        <v>12953</v>
      </c>
      <c r="D4099" s="6" t="s">
        <v>12954</v>
      </c>
      <c r="E4099" s="7" t="s">
        <v>12955</v>
      </c>
      <c r="F4099" s="13"/>
      <c r="G4099" s="14"/>
      <c r="H4099" s="15">
        <v>80</v>
      </c>
      <c r="I4099" s="14"/>
      <c r="J4099" s="17">
        <v>11652</v>
      </c>
      <c r="K4099" s="5">
        <v>80</v>
      </c>
      <c r="L4099" s="16">
        <v>17.2</v>
      </c>
      <c r="M4099" s="12"/>
      <c r="N4099" s="14">
        <f>L4099*M4099</f>
        <v>0</v>
      </c>
      <c r="O4099" s="27">
        <f>0.1*M4099</f>
        <v>0</v>
      </c>
      <c r="P4099" s="24">
        <f>0.00018*M4099</f>
        <v>0</v>
      </c>
      <c r="Q4099" s="25"/>
      <c r="R4099" s="26" t="s">
        <v>12956</v>
      </c>
      <c r="S4099" s="26" t="s">
        <v>93</v>
      </c>
      <c r="T4099" s="6" t="str">
        <f>HYPERLINK("https://kanzpp.ru/api/getInfo/image/0d6eab61-f519-11e6-81a9-5cf3fc4a2490")</f>
        <v>https://kanzpp.ru/api/getInfo/image/0d6eab61-f519-11e6-81a9-5cf3fc4a2490</v>
      </c>
      <c r="U4099" s="6"/>
      <c r="V4099" s="33" t="s">
        <v>35</v>
      </c>
    </row>
    <row r="4100" spans="2:22" ht="22.95" customHeight="1" outlineLevel="5" x14ac:dyDescent="0.2">
      <c r="B4100" s="83" t="s">
        <v>12957</v>
      </c>
      <c r="C4100" s="83"/>
      <c r="D4100" s="83"/>
      <c r="L4100">
        <v>0</v>
      </c>
    </row>
    <row r="4101" spans="2:22" ht="21" customHeight="1" outlineLevel="6" x14ac:dyDescent="0.2">
      <c r="B4101" s="69">
        <v>3082</v>
      </c>
      <c r="C4101" s="6" t="s">
        <v>12958</v>
      </c>
      <c r="D4101" s="6" t="s">
        <v>12959</v>
      </c>
      <c r="E4101" s="7" t="s">
        <v>992</v>
      </c>
      <c r="F4101" s="13"/>
      <c r="G4101" s="14"/>
      <c r="H4101" s="15">
        <v>80</v>
      </c>
      <c r="I4101" s="14"/>
      <c r="J4101" s="17">
        <v>8207</v>
      </c>
      <c r="K4101" s="5">
        <v>80</v>
      </c>
      <c r="L4101" s="16">
        <v>10.533333333333333</v>
      </c>
      <c r="M4101" s="12"/>
      <c r="N4101" s="14">
        <f>L4101*M4101</f>
        <v>0</v>
      </c>
      <c r="O4101" s="28">
        <f>0.09*M4101</f>
        <v>0</v>
      </c>
      <c r="P4101" s="24">
        <f>0.00015*M4101</f>
        <v>0</v>
      </c>
      <c r="Q4101" s="25"/>
      <c r="R4101" s="26" t="s">
        <v>993</v>
      </c>
      <c r="S4101" s="26" t="s">
        <v>93</v>
      </c>
      <c r="T4101" s="6" t="str">
        <f>HYPERLINK("https://kanzpp.ru/api/getInfo/image/3c533f8b-0fad-11eb-a25b-ac1f6b442184")</f>
        <v>https://kanzpp.ru/api/getInfo/image/3c533f8b-0fad-11eb-a25b-ac1f6b442184</v>
      </c>
      <c r="U4101" s="6"/>
      <c r="V4101" s="33" t="s">
        <v>35</v>
      </c>
    </row>
    <row r="4102" spans="2:22" ht="21" customHeight="1" outlineLevel="6" x14ac:dyDescent="0.2">
      <c r="B4102" s="69">
        <v>3083</v>
      </c>
      <c r="C4102" s="6" t="s">
        <v>12960</v>
      </c>
      <c r="D4102" s="6" t="s">
        <v>12961</v>
      </c>
      <c r="E4102" s="7" t="s">
        <v>12962</v>
      </c>
      <c r="F4102" s="13"/>
      <c r="G4102" s="14"/>
      <c r="H4102" s="15">
        <v>80</v>
      </c>
      <c r="I4102" s="14"/>
      <c r="J4102" s="17">
        <v>5600</v>
      </c>
      <c r="K4102" s="5">
        <v>80</v>
      </c>
      <c r="L4102" s="16">
        <v>13.200000000000001</v>
      </c>
      <c r="M4102" s="12"/>
      <c r="N4102" s="14">
        <f>L4102*M4102</f>
        <v>0</v>
      </c>
      <c r="O4102" s="28">
        <f>0.09*M4102</f>
        <v>0</v>
      </c>
      <c r="P4102" s="24">
        <f>0.00015*M4102</f>
        <v>0</v>
      </c>
      <c r="Q4102" s="25"/>
      <c r="R4102" s="26" t="s">
        <v>12963</v>
      </c>
      <c r="S4102" s="26" t="s">
        <v>93</v>
      </c>
      <c r="T4102" s="6" t="str">
        <f>HYPERLINK("https://kanzpp.ru/api/getInfo/image/854cc892-0fac-11eb-a25b-ac1f6b442184")</f>
        <v>https://kanzpp.ru/api/getInfo/image/854cc892-0fac-11eb-a25b-ac1f6b442184</v>
      </c>
      <c r="U4102" s="6"/>
      <c r="V4102" s="33" t="s">
        <v>35</v>
      </c>
    </row>
    <row r="4103" spans="2:22" ht="21" customHeight="1" outlineLevel="6" x14ac:dyDescent="0.2">
      <c r="B4103" s="69">
        <v>3084</v>
      </c>
      <c r="C4103" s="6" t="s">
        <v>12964</v>
      </c>
      <c r="D4103" s="6" t="s">
        <v>12965</v>
      </c>
      <c r="E4103" s="7" t="s">
        <v>12966</v>
      </c>
      <c r="F4103" s="13"/>
      <c r="G4103" s="14"/>
      <c r="H4103" s="15">
        <v>80</v>
      </c>
      <c r="I4103" s="14"/>
      <c r="J4103" s="17">
        <v>5080</v>
      </c>
      <c r="K4103" s="5">
        <v>80</v>
      </c>
      <c r="L4103" s="16">
        <v>13.200000000000001</v>
      </c>
      <c r="M4103" s="12"/>
      <c r="N4103" s="14">
        <f>L4103*M4103</f>
        <v>0</v>
      </c>
      <c r="O4103" s="28">
        <f>0.09*M4103</f>
        <v>0</v>
      </c>
      <c r="P4103" s="24">
        <f>0.00015*M4103</f>
        <v>0</v>
      </c>
      <c r="Q4103" s="25"/>
      <c r="R4103" s="26" t="s">
        <v>12967</v>
      </c>
      <c r="S4103" s="26" t="s">
        <v>93</v>
      </c>
      <c r="T4103" s="6" t="str">
        <f>HYPERLINK("https://kanzpp.ru/api/getInfo/image/87daa954-0fad-11eb-a25b-ac1f6b442184")</f>
        <v>https://kanzpp.ru/api/getInfo/image/87daa954-0fad-11eb-a25b-ac1f6b442184</v>
      </c>
      <c r="U4103" s="6"/>
      <c r="V4103" s="33" t="s">
        <v>35</v>
      </c>
    </row>
    <row r="4104" spans="2:22" ht="22.95" customHeight="1" outlineLevel="5" x14ac:dyDescent="0.2">
      <c r="B4104" s="83" t="s">
        <v>12968</v>
      </c>
      <c r="C4104" s="83"/>
      <c r="D4104" s="83"/>
      <c r="L4104">
        <v>0</v>
      </c>
    </row>
    <row r="4105" spans="2:22" ht="21" customHeight="1" outlineLevel="6" x14ac:dyDescent="0.2">
      <c r="B4105" s="69">
        <v>3085</v>
      </c>
      <c r="C4105" s="6" t="s">
        <v>12969</v>
      </c>
      <c r="D4105" s="6" t="s">
        <v>12970</v>
      </c>
      <c r="E4105" s="7" t="s">
        <v>12971</v>
      </c>
      <c r="F4105" s="13"/>
      <c r="G4105" s="14"/>
      <c r="H4105" s="15">
        <v>100</v>
      </c>
      <c r="I4105" s="15">
        <v>10</v>
      </c>
      <c r="J4105" s="15">
        <v>120</v>
      </c>
      <c r="K4105" s="5">
        <v>100</v>
      </c>
      <c r="L4105" s="16">
        <v>17.2</v>
      </c>
      <c r="M4105" s="12"/>
      <c r="N4105" s="14">
        <f>L4105*M4105</f>
        <v>0</v>
      </c>
      <c r="O4105" s="23">
        <f>0.105*M4105</f>
        <v>0</v>
      </c>
      <c r="P4105" s="24">
        <f>0.00042*M4105</f>
        <v>0</v>
      </c>
      <c r="Q4105" s="25"/>
      <c r="R4105" s="26" t="s">
        <v>12972</v>
      </c>
      <c r="S4105" s="26" t="s">
        <v>93</v>
      </c>
      <c r="T4105" s="6" t="str">
        <f>HYPERLINK("https://kanzpp.ru/api/getInfo/image/7ac5879a-7eca-11ee-a248-00155d82e902")</f>
        <v>https://kanzpp.ru/api/getInfo/image/7ac5879a-7eca-11ee-a248-00155d82e902</v>
      </c>
      <c r="U4105" s="6"/>
      <c r="V4105" s="33" t="s">
        <v>35</v>
      </c>
    </row>
    <row r="4106" spans="2:22" ht="21" customHeight="1" outlineLevel="6" x14ac:dyDescent="0.2">
      <c r="B4106" s="69">
        <v>3086</v>
      </c>
      <c r="C4106" s="6" t="s">
        <v>12973</v>
      </c>
      <c r="D4106" s="6" t="s">
        <v>12974</v>
      </c>
      <c r="E4106" s="7" t="s">
        <v>12975</v>
      </c>
      <c r="F4106" s="13"/>
      <c r="G4106" s="14"/>
      <c r="H4106" s="15">
        <v>100</v>
      </c>
      <c r="I4106" s="15">
        <v>10</v>
      </c>
      <c r="J4106" s="17">
        <v>2399</v>
      </c>
      <c r="K4106" s="5">
        <v>100</v>
      </c>
      <c r="L4106" s="16">
        <v>17.2</v>
      </c>
      <c r="M4106" s="12"/>
      <c r="N4106" s="14">
        <f>L4106*M4106</f>
        <v>0</v>
      </c>
      <c r="O4106" s="23">
        <f>0.108*M4106</f>
        <v>0</v>
      </c>
      <c r="P4106" s="24">
        <f>0.00024*M4106</f>
        <v>0</v>
      </c>
      <c r="Q4106" s="25"/>
      <c r="R4106" s="26" t="s">
        <v>12976</v>
      </c>
      <c r="S4106" s="26" t="s">
        <v>93</v>
      </c>
      <c r="T4106" s="6" t="str">
        <f>HYPERLINK("https://kanzpp.ru/api/getInfo/image/5b8c5f9f-60d2-11ed-a229-00155d82e902")</f>
        <v>https://kanzpp.ru/api/getInfo/image/5b8c5f9f-60d2-11ed-a229-00155d82e902</v>
      </c>
      <c r="U4106" s="6"/>
      <c r="V4106" s="33" t="s">
        <v>35</v>
      </c>
    </row>
    <row r="4107" spans="2:22" ht="21" customHeight="1" outlineLevel="6" x14ac:dyDescent="0.2">
      <c r="B4107" s="69">
        <v>3087</v>
      </c>
      <c r="C4107" s="6" t="s">
        <v>12977</v>
      </c>
      <c r="D4107" s="6" t="s">
        <v>12978</v>
      </c>
      <c r="E4107" s="7" t="s">
        <v>12979</v>
      </c>
      <c r="F4107" s="13"/>
      <c r="G4107" s="14"/>
      <c r="H4107" s="15">
        <v>100</v>
      </c>
      <c r="I4107" s="15">
        <v>10</v>
      </c>
      <c r="J4107" s="17">
        <v>1022</v>
      </c>
      <c r="K4107" s="5">
        <v>100</v>
      </c>
      <c r="L4107" s="16">
        <v>17.2</v>
      </c>
      <c r="M4107" s="12"/>
      <c r="N4107" s="14">
        <f>L4107*M4107</f>
        <v>0</v>
      </c>
      <c r="O4107" s="23">
        <f>0.111*M4107</f>
        <v>0</v>
      </c>
      <c r="P4107" s="24">
        <f>0.00028*M4107</f>
        <v>0</v>
      </c>
      <c r="Q4107" s="25"/>
      <c r="R4107" s="26" t="s">
        <v>12980</v>
      </c>
      <c r="S4107" s="26" t="s">
        <v>93</v>
      </c>
      <c r="T4107" s="6" t="str">
        <f>HYPERLINK("https://kanzpp.ru/api/getInfo/image/db0d0027-60d5-11ed-a229-00155d82e902")</f>
        <v>https://kanzpp.ru/api/getInfo/image/db0d0027-60d5-11ed-a229-00155d82e902</v>
      </c>
      <c r="U4107" s="6"/>
      <c r="V4107" s="33" t="s">
        <v>35</v>
      </c>
    </row>
    <row r="4108" spans="2:22" ht="21" customHeight="1" outlineLevel="6" x14ac:dyDescent="0.2">
      <c r="B4108" s="69">
        <v>3088</v>
      </c>
      <c r="C4108" s="6" t="s">
        <v>12981</v>
      </c>
      <c r="D4108" s="6" t="s">
        <v>12982</v>
      </c>
      <c r="E4108" s="7" t="s">
        <v>12983</v>
      </c>
      <c r="F4108" s="13"/>
      <c r="G4108" s="14"/>
      <c r="H4108" s="15">
        <v>100</v>
      </c>
      <c r="I4108" s="15">
        <v>10</v>
      </c>
      <c r="J4108" s="17">
        <v>4889</v>
      </c>
      <c r="K4108" s="5">
        <v>100</v>
      </c>
      <c r="L4108" s="16">
        <v>17.2</v>
      </c>
      <c r="M4108" s="12"/>
      <c r="N4108" s="14">
        <f>L4108*M4108</f>
        <v>0</v>
      </c>
      <c r="O4108" s="23">
        <f>0.109*M4108</f>
        <v>0</v>
      </c>
      <c r="P4108" s="24">
        <f>0.00041*M4108</f>
        <v>0</v>
      </c>
      <c r="Q4108" s="25"/>
      <c r="R4108" s="26" t="s">
        <v>12984</v>
      </c>
      <c r="S4108" s="26" t="s">
        <v>93</v>
      </c>
      <c r="T4108" s="6" t="str">
        <f>HYPERLINK("https://kanzpp.ru/api/getInfo/image/eabcc99d-9c28-11ef-a267-00155d82e908")</f>
        <v>https://kanzpp.ru/api/getInfo/image/eabcc99d-9c28-11ef-a267-00155d82e908</v>
      </c>
      <c r="U4108" s="6"/>
      <c r="V4108" s="33" t="s">
        <v>35</v>
      </c>
    </row>
    <row r="4109" spans="2:22" ht="21" customHeight="1" outlineLevel="6" x14ac:dyDescent="0.2">
      <c r="B4109" s="69">
        <v>3089</v>
      </c>
      <c r="C4109" s="6" t="s">
        <v>12985</v>
      </c>
      <c r="D4109" s="6" t="s">
        <v>12986</v>
      </c>
      <c r="E4109" s="7" t="s">
        <v>12987</v>
      </c>
      <c r="F4109" s="13"/>
      <c r="G4109" s="14"/>
      <c r="H4109" s="15">
        <v>100</v>
      </c>
      <c r="I4109" s="15">
        <v>10</v>
      </c>
      <c r="J4109" s="17">
        <v>2150</v>
      </c>
      <c r="K4109" s="5">
        <v>100</v>
      </c>
      <c r="L4109" s="16">
        <v>17.2</v>
      </c>
      <c r="M4109" s="12"/>
      <c r="N4109" s="14">
        <f>L4109*M4109</f>
        <v>0</v>
      </c>
      <c r="O4109" s="28">
        <f>0.12*M4109</f>
        <v>0</v>
      </c>
      <c r="P4109" s="24">
        <f>0.00017*M4109</f>
        <v>0</v>
      </c>
      <c r="Q4109" s="25"/>
      <c r="R4109" s="26" t="s">
        <v>12988</v>
      </c>
      <c r="S4109" s="26" t="s">
        <v>93</v>
      </c>
      <c r="T4109" s="6" t="str">
        <f>HYPERLINK("https://kanzpp.ru/api/getInfo/image/891c2d8b-3013-11ec-a20f-ac1f6b442185")</f>
        <v>https://kanzpp.ru/api/getInfo/image/891c2d8b-3013-11ec-a20f-ac1f6b442185</v>
      </c>
      <c r="U4109" s="6"/>
      <c r="V4109" s="33" t="s">
        <v>35</v>
      </c>
    </row>
    <row r="4110" spans="2:22" ht="22.95" customHeight="1" outlineLevel="5" x14ac:dyDescent="0.2">
      <c r="B4110" s="83" t="s">
        <v>12989</v>
      </c>
      <c r="C4110" s="83"/>
      <c r="D4110" s="83"/>
      <c r="L4110">
        <v>0</v>
      </c>
    </row>
    <row r="4111" spans="2:22" ht="21" customHeight="1" outlineLevel="6" x14ac:dyDescent="0.2">
      <c r="B4111" s="69">
        <v>3090</v>
      </c>
      <c r="C4111" s="6" t="s">
        <v>12990</v>
      </c>
      <c r="D4111" s="6" t="s">
        <v>12991</v>
      </c>
      <c r="E4111" s="7" t="s">
        <v>12992</v>
      </c>
      <c r="F4111" s="13"/>
      <c r="G4111" s="14"/>
      <c r="H4111" s="15">
        <v>100</v>
      </c>
      <c r="I4111" s="15">
        <v>10</v>
      </c>
      <c r="J4111" s="17">
        <v>4260</v>
      </c>
      <c r="K4111" s="5">
        <v>100</v>
      </c>
      <c r="L4111" s="16">
        <v>29.2</v>
      </c>
      <c r="M4111" s="12"/>
      <c r="N4111" s="14">
        <f t="shared" ref="N4111:N4120" si="189">L4111*M4111</f>
        <v>0</v>
      </c>
      <c r="O4111" s="23">
        <f>0.106*M4111</f>
        <v>0</v>
      </c>
      <c r="P4111" s="24">
        <f>0.00014*M4111</f>
        <v>0</v>
      </c>
      <c r="Q4111" s="25"/>
      <c r="R4111" s="26" t="s">
        <v>12993</v>
      </c>
      <c r="S4111" s="26" t="s">
        <v>93</v>
      </c>
      <c r="T4111" s="6" t="str">
        <f>HYPERLINK("https://kanzpp.ru/api/getInfo/image/4bda82b5-9b60-11ea-a248-ac1f6b442184")</f>
        <v>https://kanzpp.ru/api/getInfo/image/4bda82b5-9b60-11ea-a248-ac1f6b442184</v>
      </c>
      <c r="U4111" s="6"/>
      <c r="V4111" s="33" t="s">
        <v>35</v>
      </c>
    </row>
    <row r="4112" spans="2:22" ht="21" customHeight="1" outlineLevel="6" x14ac:dyDescent="0.2">
      <c r="B4112" s="71">
        <v>3091</v>
      </c>
      <c r="C4112" s="37" t="s">
        <v>12994</v>
      </c>
      <c r="D4112" s="37" t="s">
        <v>12995</v>
      </c>
      <c r="E4112" s="38" t="s">
        <v>12996</v>
      </c>
      <c r="F4112" s="39"/>
      <c r="G4112" s="40"/>
      <c r="H4112" s="41">
        <v>100</v>
      </c>
      <c r="I4112" s="41">
        <v>10</v>
      </c>
      <c r="J4112" s="50">
        <v>5355</v>
      </c>
      <c r="K4112" s="36">
        <v>100</v>
      </c>
      <c r="L4112" s="42">
        <f>(32.53*(1-O3/100))/0.75</f>
        <v>43.373333333333335</v>
      </c>
      <c r="M4112" s="12"/>
      <c r="N4112" s="40">
        <f t="shared" si="189"/>
        <v>0</v>
      </c>
      <c r="O4112" s="43">
        <f>0.108*M4112</f>
        <v>0</v>
      </c>
      <c r="P4112" s="47">
        <f>0.00021*M4112</f>
        <v>0</v>
      </c>
      <c r="Q4112" s="44"/>
      <c r="R4112" s="45" t="s">
        <v>12997</v>
      </c>
      <c r="S4112" s="45" t="s">
        <v>93</v>
      </c>
      <c r="T4112" s="37" t="str">
        <f>HYPERLINK("https://kanzpp.ru/api/getInfo/image/1f4b1d2d-6932-11ef-a265-00155d82e908")</f>
        <v>https://kanzpp.ru/api/getInfo/image/1f4b1d2d-6932-11ef-a265-00155d82e908</v>
      </c>
      <c r="U4112" s="37"/>
    </row>
    <row r="4113" spans="2:21" ht="21" customHeight="1" outlineLevel="6" x14ac:dyDescent="0.2">
      <c r="B4113" s="71">
        <v>3092</v>
      </c>
      <c r="C4113" s="37" t="s">
        <v>12998</v>
      </c>
      <c r="D4113" s="37" t="s">
        <v>12999</v>
      </c>
      <c r="E4113" s="38" t="s">
        <v>13000</v>
      </c>
      <c r="F4113" s="39"/>
      <c r="G4113" s="40"/>
      <c r="H4113" s="41">
        <v>100</v>
      </c>
      <c r="I4113" s="41">
        <v>10</v>
      </c>
      <c r="J4113" s="50">
        <v>5881</v>
      </c>
      <c r="K4113" s="36">
        <v>100</v>
      </c>
      <c r="L4113" s="42">
        <f>(32.53*(1-O3/100))/0.75</f>
        <v>43.373333333333335</v>
      </c>
      <c r="M4113" s="12"/>
      <c r="N4113" s="40">
        <f t="shared" si="189"/>
        <v>0</v>
      </c>
      <c r="O4113" s="43">
        <f>0.112*M4113</f>
        <v>0</v>
      </c>
      <c r="P4113" s="47">
        <f>0.00038*M4113</f>
        <v>0</v>
      </c>
      <c r="Q4113" s="44"/>
      <c r="R4113" s="45" t="s">
        <v>13001</v>
      </c>
      <c r="S4113" s="45" t="s">
        <v>93</v>
      </c>
      <c r="T4113" s="37" t="str">
        <f>HYPERLINK("https://kanzpp.ru/api/getInfo/image/549217a1-6931-11ef-a265-00155d82e908")</f>
        <v>https://kanzpp.ru/api/getInfo/image/549217a1-6931-11ef-a265-00155d82e908</v>
      </c>
      <c r="U4113" s="37"/>
    </row>
    <row r="4114" spans="2:21" ht="21" customHeight="1" outlineLevel="6" x14ac:dyDescent="0.2">
      <c r="B4114" s="71">
        <v>3093</v>
      </c>
      <c r="C4114" s="37" t="s">
        <v>13002</v>
      </c>
      <c r="D4114" s="37" t="s">
        <v>13003</v>
      </c>
      <c r="E4114" s="38" t="s">
        <v>13004</v>
      </c>
      <c r="F4114" s="39"/>
      <c r="G4114" s="40"/>
      <c r="H4114" s="41">
        <v>100</v>
      </c>
      <c r="I4114" s="41">
        <v>10</v>
      </c>
      <c r="J4114" s="50">
        <v>7620</v>
      </c>
      <c r="K4114" s="36">
        <v>100</v>
      </c>
      <c r="L4114" s="42">
        <f>(32.53*(1-O3/100))/0.75</f>
        <v>43.373333333333335</v>
      </c>
      <c r="M4114" s="12"/>
      <c r="N4114" s="40">
        <f t="shared" si="189"/>
        <v>0</v>
      </c>
      <c r="O4114" s="43">
        <f>0.109*M4114</f>
        <v>0</v>
      </c>
      <c r="P4114" s="47">
        <f>0.00035*M4114</f>
        <v>0</v>
      </c>
      <c r="Q4114" s="44"/>
      <c r="R4114" s="45" t="s">
        <v>13005</v>
      </c>
      <c r="S4114" s="45" t="s">
        <v>93</v>
      </c>
      <c r="T4114" s="37" t="str">
        <f>HYPERLINK("https://kanzpp.ru/api/getInfo/image/d8122625-6931-11ef-a265-00155d82e908")</f>
        <v>https://kanzpp.ru/api/getInfo/image/d8122625-6931-11ef-a265-00155d82e908</v>
      </c>
      <c r="U4114" s="37"/>
    </row>
    <row r="4115" spans="2:21" ht="21" customHeight="1" outlineLevel="6" x14ac:dyDescent="0.2">
      <c r="B4115" s="71">
        <v>3094</v>
      </c>
      <c r="C4115" s="37" t="s">
        <v>13006</v>
      </c>
      <c r="D4115" s="37" t="s">
        <v>13007</v>
      </c>
      <c r="E4115" s="38" t="s">
        <v>13008</v>
      </c>
      <c r="F4115" s="39"/>
      <c r="G4115" s="40"/>
      <c r="H4115" s="41">
        <v>100</v>
      </c>
      <c r="I4115" s="41">
        <v>10</v>
      </c>
      <c r="J4115" s="41">
        <v>510</v>
      </c>
      <c r="K4115" s="36">
        <v>100</v>
      </c>
      <c r="L4115" s="42">
        <f>(32.53*(1-O3/100))/0.75</f>
        <v>43.373333333333335</v>
      </c>
      <c r="M4115" s="12"/>
      <c r="N4115" s="40">
        <f t="shared" si="189"/>
        <v>0</v>
      </c>
      <c r="O4115" s="43">
        <f>0.112*M4115</f>
        <v>0</v>
      </c>
      <c r="P4115" s="47">
        <f>0.00028*M4115</f>
        <v>0</v>
      </c>
      <c r="Q4115" s="44"/>
      <c r="R4115" s="45" t="s">
        <v>13009</v>
      </c>
      <c r="S4115" s="45" t="s">
        <v>93</v>
      </c>
      <c r="T4115" s="37" t="str">
        <f>HYPERLINK("https://kanzpp.ru/api/getInfo/image/0be53acf-6931-11ef-a265-00155d82e908")</f>
        <v>https://kanzpp.ru/api/getInfo/image/0be53acf-6931-11ef-a265-00155d82e908</v>
      </c>
      <c r="U4115" s="37"/>
    </row>
    <row r="4116" spans="2:21" ht="21" customHeight="1" outlineLevel="6" x14ac:dyDescent="0.2">
      <c r="B4116" s="71">
        <v>3095</v>
      </c>
      <c r="C4116" s="37" t="s">
        <v>13010</v>
      </c>
      <c r="D4116" s="37" t="s">
        <v>13011</v>
      </c>
      <c r="E4116" s="38" t="s">
        <v>13012</v>
      </c>
      <c r="F4116" s="39"/>
      <c r="G4116" s="40"/>
      <c r="H4116" s="41">
        <v>100</v>
      </c>
      <c r="I4116" s="41">
        <v>10</v>
      </c>
      <c r="J4116" s="41">
        <v>770</v>
      </c>
      <c r="K4116" s="36">
        <v>100</v>
      </c>
      <c r="L4116" s="42">
        <f>(32.53*(1-O3/100))/0.75</f>
        <v>43.373333333333335</v>
      </c>
      <c r="M4116" s="12"/>
      <c r="N4116" s="40">
        <f t="shared" si="189"/>
        <v>0</v>
      </c>
      <c r="O4116" s="48">
        <f>0.11*M4116</f>
        <v>0</v>
      </c>
      <c r="P4116" s="47">
        <f>0.00024*M4116</f>
        <v>0</v>
      </c>
      <c r="Q4116" s="44"/>
      <c r="R4116" s="45" t="s">
        <v>13013</v>
      </c>
      <c r="S4116" s="45" t="s">
        <v>93</v>
      </c>
      <c r="T4116" s="37" t="str">
        <f>HYPERLINK("https://kanzpp.ru/api/getInfo/image/0daac8c4-6787-11f0-a283-00155d82e908")</f>
        <v>https://kanzpp.ru/api/getInfo/image/0daac8c4-6787-11f0-a283-00155d82e908</v>
      </c>
      <c r="U4116" s="37"/>
    </row>
    <row r="4117" spans="2:21" ht="21" customHeight="1" outlineLevel="6" x14ac:dyDescent="0.2">
      <c r="B4117" s="71">
        <v>3096</v>
      </c>
      <c r="C4117" s="37" t="s">
        <v>13014</v>
      </c>
      <c r="D4117" s="37" t="s">
        <v>13015</v>
      </c>
      <c r="E4117" s="38" t="s">
        <v>13016</v>
      </c>
      <c r="F4117" s="39"/>
      <c r="G4117" s="40"/>
      <c r="H4117" s="41">
        <v>100</v>
      </c>
      <c r="I4117" s="41">
        <v>10</v>
      </c>
      <c r="J4117" s="40" t="s">
        <v>144</v>
      </c>
      <c r="K4117" s="36">
        <v>100</v>
      </c>
      <c r="L4117" s="42">
        <f>(32.53*(1-O3/100))/0.75</f>
        <v>43.373333333333335</v>
      </c>
      <c r="M4117" s="12"/>
      <c r="N4117" s="40">
        <f t="shared" si="189"/>
        <v>0</v>
      </c>
      <c r="O4117" s="43">
        <f>0.108*M4117</f>
        <v>0</v>
      </c>
      <c r="P4117" s="47">
        <f>0.00021*M4117</f>
        <v>0</v>
      </c>
      <c r="Q4117" s="44"/>
      <c r="R4117" s="45" t="s">
        <v>13017</v>
      </c>
      <c r="S4117" s="45" t="s">
        <v>93</v>
      </c>
      <c r="T4117" s="37" t="str">
        <f>HYPERLINK("https://kanzpp.ru/api/getInfo/image/b25d38f8-6788-11f0-a283-00155d82e908")</f>
        <v>https://kanzpp.ru/api/getInfo/image/b25d38f8-6788-11f0-a283-00155d82e908</v>
      </c>
      <c r="U4117" s="37"/>
    </row>
    <row r="4118" spans="2:21" ht="21" customHeight="1" outlineLevel="6" x14ac:dyDescent="0.2">
      <c r="B4118" s="71">
        <v>3097</v>
      </c>
      <c r="C4118" s="37" t="s">
        <v>13018</v>
      </c>
      <c r="D4118" s="37" t="s">
        <v>13019</v>
      </c>
      <c r="E4118" s="38" t="s">
        <v>13020</v>
      </c>
      <c r="F4118" s="39"/>
      <c r="G4118" s="40"/>
      <c r="H4118" s="41">
        <v>100</v>
      </c>
      <c r="I4118" s="41">
        <v>10</v>
      </c>
      <c r="J4118" s="41">
        <v>880</v>
      </c>
      <c r="K4118" s="36">
        <v>100</v>
      </c>
      <c r="L4118" s="42">
        <f>(32.53*(1-O3/100))/0.75</f>
        <v>43.373333333333335</v>
      </c>
      <c r="M4118" s="12"/>
      <c r="N4118" s="40">
        <f t="shared" si="189"/>
        <v>0</v>
      </c>
      <c r="O4118" s="43">
        <f>0.108*M4118</f>
        <v>0</v>
      </c>
      <c r="P4118" s="47">
        <f>0.00021*M4118</f>
        <v>0</v>
      </c>
      <c r="Q4118" s="44"/>
      <c r="R4118" s="45" t="s">
        <v>13021</v>
      </c>
      <c r="S4118" s="45" t="s">
        <v>93</v>
      </c>
      <c r="T4118" s="37" t="str">
        <f>HYPERLINK("https://kanzpp.ru/api/getInfo/image/f29d777e-72c4-11f0-a284-00155d82e908")</f>
        <v>https://kanzpp.ru/api/getInfo/image/f29d777e-72c4-11f0-a284-00155d82e908</v>
      </c>
      <c r="U4118" s="37"/>
    </row>
    <row r="4119" spans="2:21" ht="21" customHeight="1" outlineLevel="6" x14ac:dyDescent="0.2">
      <c r="B4119" s="71">
        <v>3098</v>
      </c>
      <c r="C4119" s="37" t="s">
        <v>13022</v>
      </c>
      <c r="D4119" s="37" t="s">
        <v>13023</v>
      </c>
      <c r="E4119" s="38" t="s">
        <v>13024</v>
      </c>
      <c r="F4119" s="39"/>
      <c r="G4119" s="40"/>
      <c r="H4119" s="41">
        <v>100</v>
      </c>
      <c r="I4119" s="41">
        <v>10</v>
      </c>
      <c r="J4119" s="41">
        <v>100</v>
      </c>
      <c r="K4119" s="36">
        <v>100</v>
      </c>
      <c r="L4119" s="42">
        <f>(32.53*(1-O3/100))/0.75</f>
        <v>43.373333333333335</v>
      </c>
      <c r="M4119" s="12"/>
      <c r="N4119" s="40">
        <f t="shared" si="189"/>
        <v>0</v>
      </c>
      <c r="O4119" s="43">
        <f>0.108*M4119</f>
        <v>0</v>
      </c>
      <c r="P4119" s="47">
        <f>0.00021*M4119</f>
        <v>0</v>
      </c>
      <c r="Q4119" s="44"/>
      <c r="R4119" s="45" t="s">
        <v>13025</v>
      </c>
      <c r="S4119" s="45" t="s">
        <v>93</v>
      </c>
      <c r="T4119" s="37" t="str">
        <f>HYPERLINK("https://kanzpp.ru/api/getInfo/image/5801e583-72c3-11f0-a284-00155d82e908")</f>
        <v>https://kanzpp.ru/api/getInfo/image/5801e583-72c3-11f0-a284-00155d82e908</v>
      </c>
      <c r="U4119" s="37"/>
    </row>
    <row r="4120" spans="2:21" ht="21" customHeight="1" outlineLevel="6" x14ac:dyDescent="0.2">
      <c r="B4120" s="71">
        <v>3099</v>
      </c>
      <c r="C4120" s="37" t="s">
        <v>13026</v>
      </c>
      <c r="D4120" s="37" t="s">
        <v>13027</v>
      </c>
      <c r="E4120" s="38" t="s">
        <v>13028</v>
      </c>
      <c r="F4120" s="39"/>
      <c r="G4120" s="40"/>
      <c r="H4120" s="41">
        <v>100</v>
      </c>
      <c r="I4120" s="41">
        <v>10</v>
      </c>
      <c r="J4120" s="50">
        <v>1560</v>
      </c>
      <c r="K4120" s="36">
        <v>100</v>
      </c>
      <c r="L4120" s="42">
        <f>(32.53*(1-O3/100))/0.75</f>
        <v>43.373333333333335</v>
      </c>
      <c r="M4120" s="12"/>
      <c r="N4120" s="40">
        <f t="shared" si="189"/>
        <v>0</v>
      </c>
      <c r="O4120" s="43">
        <f>0.108*M4120</f>
        <v>0</v>
      </c>
      <c r="P4120" s="47">
        <f>0.00021*M4120</f>
        <v>0</v>
      </c>
      <c r="Q4120" s="44"/>
      <c r="R4120" s="45" t="s">
        <v>13029</v>
      </c>
      <c r="S4120" s="45" t="s">
        <v>93</v>
      </c>
      <c r="T4120" s="37" t="str">
        <f>HYPERLINK("https://kanzpp.ru/api/getInfo/image/5735bca8-72c5-11f0-a284-00155d82e908")</f>
        <v>https://kanzpp.ru/api/getInfo/image/5735bca8-72c5-11f0-a284-00155d82e908</v>
      </c>
      <c r="U4120" s="37"/>
    </row>
    <row r="4121" spans="2:21" ht="22.95" customHeight="1" outlineLevel="5" x14ac:dyDescent="0.2">
      <c r="B4121" s="83" t="s">
        <v>13030</v>
      </c>
      <c r="C4121" s="83"/>
      <c r="D4121" s="83"/>
      <c r="L4121">
        <v>0</v>
      </c>
    </row>
    <row r="4122" spans="2:21" ht="21" customHeight="1" outlineLevel="6" x14ac:dyDescent="0.2">
      <c r="B4122" s="71">
        <v>3100</v>
      </c>
      <c r="C4122" s="37" t="s">
        <v>13031</v>
      </c>
      <c r="D4122" s="37" t="s">
        <v>13032</v>
      </c>
      <c r="E4122" s="38" t="s">
        <v>13033</v>
      </c>
      <c r="F4122" s="39"/>
      <c r="G4122" s="40"/>
      <c r="H4122" s="41">
        <v>100</v>
      </c>
      <c r="I4122" s="41">
        <v>5</v>
      </c>
      <c r="J4122" s="50">
        <v>9535</v>
      </c>
      <c r="K4122" s="36">
        <v>100</v>
      </c>
      <c r="L4122" s="42">
        <f>(37.87*(1-O3/100))/0.75</f>
        <v>50.493333333333332</v>
      </c>
      <c r="M4122" s="12"/>
      <c r="N4122" s="40">
        <f t="shared" ref="N4122:N4134" si="190">L4122*M4122</f>
        <v>0</v>
      </c>
      <c r="O4122" s="48">
        <f>0.11*M4122</f>
        <v>0</v>
      </c>
      <c r="P4122" s="47">
        <f>0.00031*M4122</f>
        <v>0</v>
      </c>
      <c r="Q4122" s="44"/>
      <c r="R4122" s="45" t="s">
        <v>13034</v>
      </c>
      <c r="S4122" s="45" t="s">
        <v>93</v>
      </c>
      <c r="T4122" s="37" t="str">
        <f>HYPERLINK("https://kanzpp.ru/api/getInfo/image/dd64d062-58a6-11f0-a27f-00155d82e908")</f>
        <v>https://kanzpp.ru/api/getInfo/image/dd64d062-58a6-11f0-a27f-00155d82e908</v>
      </c>
      <c r="U4122" s="37"/>
    </row>
    <row r="4123" spans="2:21" ht="21" customHeight="1" outlineLevel="6" x14ac:dyDescent="0.2">
      <c r="B4123" s="71">
        <v>3101</v>
      </c>
      <c r="C4123" s="37" t="s">
        <v>13035</v>
      </c>
      <c r="D4123" s="37" t="s">
        <v>13036</v>
      </c>
      <c r="E4123" s="38" t="s">
        <v>13037</v>
      </c>
      <c r="F4123" s="39"/>
      <c r="G4123" s="40"/>
      <c r="H4123" s="41">
        <v>100</v>
      </c>
      <c r="I4123" s="41">
        <v>5</v>
      </c>
      <c r="J4123" s="50">
        <v>10400</v>
      </c>
      <c r="K4123" s="36">
        <v>100</v>
      </c>
      <c r="L4123" s="42">
        <f>(37.87*(1-O3/100))/0.75</f>
        <v>50.493333333333332</v>
      </c>
      <c r="M4123" s="12"/>
      <c r="N4123" s="40">
        <f t="shared" si="190"/>
        <v>0</v>
      </c>
      <c r="O4123" s="43">
        <f>0.129*M4123</f>
        <v>0</v>
      </c>
      <c r="P4123" s="47">
        <f>0.00024*M4123</f>
        <v>0</v>
      </c>
      <c r="Q4123" s="44"/>
      <c r="R4123" s="45" t="s">
        <v>13038</v>
      </c>
      <c r="S4123" s="45" t="s">
        <v>93</v>
      </c>
      <c r="T4123" s="37" t="str">
        <f>HYPERLINK("https://kanzpp.ru/api/getInfo/image/ce1cc7fe-6795-11f0-a283-00155d82e908")</f>
        <v>https://kanzpp.ru/api/getInfo/image/ce1cc7fe-6795-11f0-a283-00155d82e908</v>
      </c>
      <c r="U4123" s="37"/>
    </row>
    <row r="4124" spans="2:21" ht="21" customHeight="1" outlineLevel="6" x14ac:dyDescent="0.2">
      <c r="B4124" s="71">
        <v>3102</v>
      </c>
      <c r="C4124" s="37" t="s">
        <v>13039</v>
      </c>
      <c r="D4124" s="37" t="s">
        <v>13040</v>
      </c>
      <c r="E4124" s="38" t="s">
        <v>13041</v>
      </c>
      <c r="F4124" s="39"/>
      <c r="G4124" s="40"/>
      <c r="H4124" s="41">
        <v>100</v>
      </c>
      <c r="I4124" s="41">
        <v>5</v>
      </c>
      <c r="J4124" s="50">
        <v>6925</v>
      </c>
      <c r="K4124" s="36">
        <v>100</v>
      </c>
      <c r="L4124" s="42">
        <f>(37.87*(1-O3/100))/0.75</f>
        <v>50.493333333333332</v>
      </c>
      <c r="M4124" s="12"/>
      <c r="N4124" s="40">
        <f t="shared" si="190"/>
        <v>0</v>
      </c>
      <c r="O4124" s="43">
        <f>0.112*M4124</f>
        <v>0</v>
      </c>
      <c r="P4124" s="47">
        <f>0.00017*M4124</f>
        <v>0</v>
      </c>
      <c r="Q4124" s="44"/>
      <c r="R4124" s="45" t="s">
        <v>13042</v>
      </c>
      <c r="S4124" s="45" t="s">
        <v>93</v>
      </c>
      <c r="T4124" s="37" t="str">
        <f>HYPERLINK("https://kanzpp.ru/api/getInfo/image/f303467f-dae9-11ee-a25a-00155d82e908")</f>
        <v>https://kanzpp.ru/api/getInfo/image/f303467f-dae9-11ee-a25a-00155d82e908</v>
      </c>
      <c r="U4124" s="37"/>
    </row>
    <row r="4125" spans="2:21" ht="21" customHeight="1" outlineLevel="6" x14ac:dyDescent="0.2">
      <c r="B4125" s="71">
        <v>3103</v>
      </c>
      <c r="C4125" s="37" t="s">
        <v>13043</v>
      </c>
      <c r="D4125" s="37" t="s">
        <v>13044</v>
      </c>
      <c r="E4125" s="38" t="s">
        <v>13045</v>
      </c>
      <c r="F4125" s="39"/>
      <c r="G4125" s="40"/>
      <c r="H4125" s="41">
        <v>100</v>
      </c>
      <c r="I4125" s="41">
        <v>5</v>
      </c>
      <c r="J4125" s="41">
        <v>200</v>
      </c>
      <c r="K4125" s="36">
        <v>100</v>
      </c>
      <c r="L4125" s="42">
        <f>(37.87*(1-O3/100))/0.75</f>
        <v>50.493333333333332</v>
      </c>
      <c r="M4125" s="12"/>
      <c r="N4125" s="40">
        <f t="shared" si="190"/>
        <v>0</v>
      </c>
      <c r="O4125" s="43">
        <f>0.112*M4125</f>
        <v>0</v>
      </c>
      <c r="P4125" s="47">
        <f>0.00017*M4125</f>
        <v>0</v>
      </c>
      <c r="Q4125" s="44"/>
      <c r="R4125" s="45" t="s">
        <v>13046</v>
      </c>
      <c r="S4125" s="45" t="s">
        <v>93</v>
      </c>
      <c r="T4125" s="37" t="str">
        <f>HYPERLINK("https://kanzpp.ru/api/getInfo/image/728674aa-daea-11ee-a25a-00155d82e908")</f>
        <v>https://kanzpp.ru/api/getInfo/image/728674aa-daea-11ee-a25a-00155d82e908</v>
      </c>
      <c r="U4125" s="37"/>
    </row>
    <row r="4126" spans="2:21" ht="21" customHeight="1" outlineLevel="6" x14ac:dyDescent="0.2">
      <c r="B4126" s="71">
        <v>3104</v>
      </c>
      <c r="C4126" s="37" t="s">
        <v>13047</v>
      </c>
      <c r="D4126" s="37" t="s">
        <v>13048</v>
      </c>
      <c r="E4126" s="38" t="s">
        <v>13049</v>
      </c>
      <c r="F4126" s="39"/>
      <c r="G4126" s="40"/>
      <c r="H4126" s="41">
        <v>100</v>
      </c>
      <c r="I4126" s="41">
        <v>5</v>
      </c>
      <c r="J4126" s="41">
        <v>100</v>
      </c>
      <c r="K4126" s="36">
        <v>100</v>
      </c>
      <c r="L4126" s="42">
        <f>(37.87*(1-O3/100))/0.75</f>
        <v>50.493333333333332</v>
      </c>
      <c r="M4126" s="12"/>
      <c r="N4126" s="40">
        <f t="shared" si="190"/>
        <v>0</v>
      </c>
      <c r="O4126" s="43">
        <f>0.098*M4126</f>
        <v>0</v>
      </c>
      <c r="P4126" s="47">
        <f>0.00026*M4126</f>
        <v>0</v>
      </c>
      <c r="Q4126" s="44"/>
      <c r="R4126" s="45" t="s">
        <v>13050</v>
      </c>
      <c r="S4126" s="45" t="s">
        <v>93</v>
      </c>
      <c r="T4126" s="37" t="str">
        <f>HYPERLINK("https://kanzpp.ru/api/getInfo/image/b2438914-daea-11ee-a25a-00155d82e908")</f>
        <v>https://kanzpp.ru/api/getInfo/image/b2438914-daea-11ee-a25a-00155d82e908</v>
      </c>
      <c r="U4126" s="37"/>
    </row>
    <row r="4127" spans="2:21" ht="21" customHeight="1" outlineLevel="6" x14ac:dyDescent="0.2">
      <c r="B4127" s="71">
        <v>3105</v>
      </c>
      <c r="C4127" s="37" t="s">
        <v>13051</v>
      </c>
      <c r="D4127" s="37" t="s">
        <v>13052</v>
      </c>
      <c r="E4127" s="38" t="s">
        <v>13053</v>
      </c>
      <c r="F4127" s="39"/>
      <c r="G4127" s="40"/>
      <c r="H4127" s="41">
        <v>100</v>
      </c>
      <c r="I4127" s="41">
        <v>10</v>
      </c>
      <c r="J4127" s="50">
        <v>2635</v>
      </c>
      <c r="K4127" s="36">
        <v>100</v>
      </c>
      <c r="L4127" s="42">
        <f>(37.87*(1-O3/100))/0.75</f>
        <v>50.493333333333332</v>
      </c>
      <c r="M4127" s="12"/>
      <c r="N4127" s="40">
        <f t="shared" si="190"/>
        <v>0</v>
      </c>
      <c r="O4127" s="43">
        <f>0.112*M4127</f>
        <v>0</v>
      </c>
      <c r="P4127" s="47">
        <f>0.00017*M4127</f>
        <v>0</v>
      </c>
      <c r="Q4127" s="44"/>
      <c r="R4127" s="45" t="s">
        <v>13054</v>
      </c>
      <c r="S4127" s="45" t="s">
        <v>93</v>
      </c>
      <c r="T4127" s="37" t="str">
        <f>HYPERLINK("https://kanzpp.ru/api/getInfo/image/1157ab57-daeb-11ee-a25a-00155d82e908")</f>
        <v>https://kanzpp.ru/api/getInfo/image/1157ab57-daeb-11ee-a25a-00155d82e908</v>
      </c>
      <c r="U4127" s="37"/>
    </row>
    <row r="4128" spans="2:21" ht="21" customHeight="1" outlineLevel="6" x14ac:dyDescent="0.2">
      <c r="B4128" s="71">
        <v>3106</v>
      </c>
      <c r="C4128" s="37" t="s">
        <v>13055</v>
      </c>
      <c r="D4128" s="37" t="s">
        <v>13056</v>
      </c>
      <c r="E4128" s="38" t="s">
        <v>13057</v>
      </c>
      <c r="F4128" s="39"/>
      <c r="G4128" s="40"/>
      <c r="H4128" s="41">
        <v>100</v>
      </c>
      <c r="I4128" s="41">
        <v>5</v>
      </c>
      <c r="J4128" s="50">
        <v>5075</v>
      </c>
      <c r="K4128" s="36">
        <v>100</v>
      </c>
      <c r="L4128" s="42">
        <f>(37.87*(1-O3/100))/0.75</f>
        <v>50.493333333333332</v>
      </c>
      <c r="M4128" s="12"/>
      <c r="N4128" s="40">
        <f t="shared" si="190"/>
        <v>0</v>
      </c>
      <c r="O4128" s="43">
        <f>0.112*M4128</f>
        <v>0</v>
      </c>
      <c r="P4128" s="47">
        <f>0.00017*M4128</f>
        <v>0</v>
      </c>
      <c r="Q4128" s="44"/>
      <c r="R4128" s="45" t="s">
        <v>13058</v>
      </c>
      <c r="S4128" s="45" t="s">
        <v>93</v>
      </c>
      <c r="T4128" s="37" t="str">
        <f>HYPERLINK("https://kanzpp.ru/api/getInfo/image/4a01f914-daeb-11ee-a25a-00155d82e908")</f>
        <v>https://kanzpp.ru/api/getInfo/image/4a01f914-daeb-11ee-a25a-00155d82e908</v>
      </c>
      <c r="U4128" s="37"/>
    </row>
    <row r="4129" spans="2:22" ht="21" customHeight="1" outlineLevel="6" x14ac:dyDescent="0.2">
      <c r="B4129" s="71">
        <v>3107</v>
      </c>
      <c r="C4129" s="37" t="s">
        <v>13059</v>
      </c>
      <c r="D4129" s="37" t="s">
        <v>13060</v>
      </c>
      <c r="E4129" s="38" t="s">
        <v>13061</v>
      </c>
      <c r="F4129" s="39"/>
      <c r="G4129" s="40"/>
      <c r="H4129" s="41">
        <v>100</v>
      </c>
      <c r="I4129" s="41">
        <v>5</v>
      </c>
      <c r="J4129" s="50">
        <v>10550</v>
      </c>
      <c r="K4129" s="36">
        <v>100</v>
      </c>
      <c r="L4129" s="42">
        <f>(37.87*(1-O3/100))/0.75</f>
        <v>50.493333333333332</v>
      </c>
      <c r="M4129" s="12"/>
      <c r="N4129" s="40">
        <f t="shared" si="190"/>
        <v>0</v>
      </c>
      <c r="O4129" s="43">
        <f>0.106*M4129</f>
        <v>0</v>
      </c>
      <c r="P4129" s="47">
        <f>0.00021*M4129</f>
        <v>0</v>
      </c>
      <c r="Q4129" s="44"/>
      <c r="R4129" s="45" t="s">
        <v>13062</v>
      </c>
      <c r="S4129" s="45" t="s">
        <v>93</v>
      </c>
      <c r="T4129" s="37" t="str">
        <f>HYPERLINK("https://kanzpp.ru/api/getInfo/image/6c6918eb-7ed3-11ee-a248-00155d82e902")</f>
        <v>https://kanzpp.ru/api/getInfo/image/6c6918eb-7ed3-11ee-a248-00155d82e902</v>
      </c>
      <c r="U4129" s="37"/>
    </row>
    <row r="4130" spans="2:22" ht="21" customHeight="1" outlineLevel="6" x14ac:dyDescent="0.2">
      <c r="B4130" s="71">
        <v>3108</v>
      </c>
      <c r="C4130" s="37" t="s">
        <v>13063</v>
      </c>
      <c r="D4130" s="37" t="s">
        <v>13064</v>
      </c>
      <c r="E4130" s="38" t="s">
        <v>13065</v>
      </c>
      <c r="F4130" s="39"/>
      <c r="G4130" s="40"/>
      <c r="H4130" s="41">
        <v>100</v>
      </c>
      <c r="I4130" s="41">
        <v>5</v>
      </c>
      <c r="J4130" s="50">
        <v>7819</v>
      </c>
      <c r="K4130" s="36">
        <v>100</v>
      </c>
      <c r="L4130" s="42">
        <f>(37.87*(1-O3/100))/0.75</f>
        <v>50.493333333333332</v>
      </c>
      <c r="M4130" s="12"/>
      <c r="N4130" s="40">
        <f t="shared" si="190"/>
        <v>0</v>
      </c>
      <c r="O4130" s="43">
        <f>0.104*M4130</f>
        <v>0</v>
      </c>
      <c r="P4130" s="47">
        <f>0.00031*M4130</f>
        <v>0</v>
      </c>
      <c r="Q4130" s="44"/>
      <c r="R4130" s="45" t="s">
        <v>13066</v>
      </c>
      <c r="S4130" s="45" t="s">
        <v>93</v>
      </c>
      <c r="T4130" s="37" t="str">
        <f>HYPERLINK("https://kanzpp.ru/api/getInfo/image/76ead54d-a2a8-11f0-a286-00155d82e908")</f>
        <v>https://kanzpp.ru/api/getInfo/image/76ead54d-a2a8-11f0-a286-00155d82e908</v>
      </c>
      <c r="U4130" s="37"/>
    </row>
    <row r="4131" spans="2:22" ht="21" customHeight="1" outlineLevel="6" x14ac:dyDescent="0.2">
      <c r="B4131" s="71">
        <v>3109</v>
      </c>
      <c r="C4131" s="37" t="s">
        <v>13067</v>
      </c>
      <c r="D4131" s="37" t="s">
        <v>13068</v>
      </c>
      <c r="E4131" s="38" t="s">
        <v>13069</v>
      </c>
      <c r="F4131" s="39"/>
      <c r="G4131" s="40"/>
      <c r="H4131" s="41">
        <v>100</v>
      </c>
      <c r="I4131" s="41">
        <v>5</v>
      </c>
      <c r="J4131" s="41">
        <v>360</v>
      </c>
      <c r="K4131" s="36">
        <v>100</v>
      </c>
      <c r="L4131" s="42">
        <f>(37.87*(1-O3/100))/0.75</f>
        <v>50.493333333333332</v>
      </c>
      <c r="M4131" s="12"/>
      <c r="N4131" s="40">
        <f t="shared" si="190"/>
        <v>0</v>
      </c>
      <c r="O4131" s="43">
        <f>0.105*M4131</f>
        <v>0</v>
      </c>
      <c r="P4131" s="47">
        <f>0.00024*M4131</f>
        <v>0</v>
      </c>
      <c r="Q4131" s="44"/>
      <c r="R4131" s="45" t="s">
        <v>13070</v>
      </c>
      <c r="S4131" s="45" t="s">
        <v>93</v>
      </c>
      <c r="T4131" s="37" t="str">
        <f>HYPERLINK("https://kanzpp.ru/api/getInfo/image/43463709-72cb-11f0-a284-00155d82e908")</f>
        <v>https://kanzpp.ru/api/getInfo/image/43463709-72cb-11f0-a284-00155d82e908</v>
      </c>
      <c r="U4131" s="37"/>
    </row>
    <row r="4132" spans="2:22" ht="21" customHeight="1" outlineLevel="6" x14ac:dyDescent="0.2">
      <c r="B4132" s="71">
        <v>3110</v>
      </c>
      <c r="C4132" s="37" t="s">
        <v>13071</v>
      </c>
      <c r="D4132" s="37" t="s">
        <v>13072</v>
      </c>
      <c r="E4132" s="38" t="s">
        <v>13073</v>
      </c>
      <c r="F4132" s="39"/>
      <c r="G4132" s="40"/>
      <c r="H4132" s="41">
        <v>100</v>
      </c>
      <c r="I4132" s="41">
        <v>5</v>
      </c>
      <c r="J4132" s="50">
        <v>15395</v>
      </c>
      <c r="K4132" s="36">
        <v>100</v>
      </c>
      <c r="L4132" s="42">
        <f>(37.87*(1-O3/100))/0.75</f>
        <v>50.493333333333332</v>
      </c>
      <c r="M4132" s="12"/>
      <c r="N4132" s="40">
        <f t="shared" si="190"/>
        <v>0</v>
      </c>
      <c r="O4132" s="43">
        <f>0.538*M4132</f>
        <v>0</v>
      </c>
      <c r="P4132" s="47">
        <f>0.00139*M4132</f>
        <v>0</v>
      </c>
      <c r="Q4132" s="44"/>
      <c r="R4132" s="45" t="s">
        <v>13074</v>
      </c>
      <c r="S4132" s="45" t="s">
        <v>93</v>
      </c>
      <c r="T4132" s="37" t="str">
        <f>HYPERLINK("https://kanzpp.ru/api/getInfo/image/24710d4c-72cb-11f0-a284-00155d82e908")</f>
        <v>https://kanzpp.ru/api/getInfo/image/24710d4c-72cb-11f0-a284-00155d82e908</v>
      </c>
      <c r="U4132" s="37"/>
    </row>
    <row r="4133" spans="2:22" ht="21" customHeight="1" outlineLevel="6" x14ac:dyDescent="0.2">
      <c r="B4133" s="71">
        <v>3111</v>
      </c>
      <c r="C4133" s="37" t="s">
        <v>13075</v>
      </c>
      <c r="D4133" s="37" t="s">
        <v>13076</v>
      </c>
      <c r="E4133" s="38" t="s">
        <v>13077</v>
      </c>
      <c r="F4133" s="39"/>
      <c r="G4133" s="40"/>
      <c r="H4133" s="41">
        <v>100</v>
      </c>
      <c r="I4133" s="41">
        <v>5</v>
      </c>
      <c r="J4133" s="50">
        <v>11190</v>
      </c>
      <c r="K4133" s="36">
        <v>100</v>
      </c>
      <c r="L4133" s="42">
        <f>(37.87*(1-O3/100))/0.75</f>
        <v>50.493333333333332</v>
      </c>
      <c r="M4133" s="12"/>
      <c r="N4133" s="40">
        <f t="shared" si="190"/>
        <v>0</v>
      </c>
      <c r="O4133" s="43">
        <f>0.129*M4133</f>
        <v>0</v>
      </c>
      <c r="P4133" s="47">
        <f>0.00021*M4133</f>
        <v>0</v>
      </c>
      <c r="Q4133" s="44"/>
      <c r="R4133" s="45" t="s">
        <v>13078</v>
      </c>
      <c r="S4133" s="45" t="s">
        <v>93</v>
      </c>
      <c r="T4133" s="37" t="str">
        <f>HYPERLINK("https://kanzpp.ru/api/getInfo/image/df624764-6794-11f0-a283-00155d82e908")</f>
        <v>https://kanzpp.ru/api/getInfo/image/df624764-6794-11f0-a283-00155d82e908</v>
      </c>
      <c r="U4133" s="37"/>
    </row>
    <row r="4134" spans="2:22" ht="21" customHeight="1" outlineLevel="6" x14ac:dyDescent="0.2">
      <c r="B4134" s="71">
        <v>3112</v>
      </c>
      <c r="C4134" s="37" t="s">
        <v>13079</v>
      </c>
      <c r="D4134" s="37" t="s">
        <v>13080</v>
      </c>
      <c r="E4134" s="38" t="s">
        <v>13081</v>
      </c>
      <c r="F4134" s="39"/>
      <c r="G4134" s="40"/>
      <c r="H4134" s="41">
        <v>100</v>
      </c>
      <c r="I4134" s="41">
        <v>5</v>
      </c>
      <c r="J4134" s="50">
        <v>7145</v>
      </c>
      <c r="K4134" s="36">
        <v>100</v>
      </c>
      <c r="L4134" s="42">
        <f>(37.87*(1-O3/100))/0.75</f>
        <v>50.493333333333332</v>
      </c>
      <c r="M4134" s="12"/>
      <c r="N4134" s="40">
        <f t="shared" si="190"/>
        <v>0</v>
      </c>
      <c r="O4134" s="43">
        <f>0.117*M4134</f>
        <v>0</v>
      </c>
      <c r="P4134" s="47">
        <f>0.00024*M4134</f>
        <v>0</v>
      </c>
      <c r="Q4134" s="44"/>
      <c r="R4134" s="45" t="s">
        <v>13082</v>
      </c>
      <c r="S4134" s="45" t="s">
        <v>93</v>
      </c>
      <c r="T4134" s="37" t="str">
        <f>HYPERLINK("https://kanzpp.ru/api/getInfo/image/92ab4db5-daeb-11ee-a25a-00155d82e908")</f>
        <v>https://kanzpp.ru/api/getInfo/image/92ab4db5-daeb-11ee-a25a-00155d82e908</v>
      </c>
      <c r="U4134" s="37"/>
    </row>
    <row r="4135" spans="2:22" ht="22.95" customHeight="1" outlineLevel="5" x14ac:dyDescent="0.2">
      <c r="B4135" s="83" t="s">
        <v>13083</v>
      </c>
      <c r="C4135" s="83"/>
      <c r="D4135" s="83"/>
      <c r="L4135">
        <v>0</v>
      </c>
    </row>
    <row r="4136" spans="2:22" ht="22.95" customHeight="1" outlineLevel="6" x14ac:dyDescent="0.2">
      <c r="B4136" s="84" t="s">
        <v>13084</v>
      </c>
      <c r="C4136" s="84"/>
      <c r="D4136" s="84"/>
      <c r="L4136">
        <v>0</v>
      </c>
    </row>
    <row r="4137" spans="2:22" ht="21" customHeight="1" outlineLevel="7" x14ac:dyDescent="0.2">
      <c r="B4137" s="69">
        <v>3113</v>
      </c>
      <c r="C4137" s="6" t="s">
        <v>13085</v>
      </c>
      <c r="D4137" s="6" t="s">
        <v>13086</v>
      </c>
      <c r="E4137" s="7" t="s">
        <v>13087</v>
      </c>
      <c r="F4137" s="13"/>
      <c r="G4137" s="14"/>
      <c r="H4137" s="15">
        <v>100</v>
      </c>
      <c r="I4137" s="15">
        <v>5</v>
      </c>
      <c r="J4137" s="17">
        <v>2530</v>
      </c>
      <c r="K4137" s="5">
        <v>100</v>
      </c>
      <c r="L4137" s="16">
        <v>37.866666666666667</v>
      </c>
      <c r="M4137" s="12"/>
      <c r="N4137" s="14">
        <f t="shared" ref="N4137:N4147" si="191">L4137*M4137</f>
        <v>0</v>
      </c>
      <c r="O4137" s="28">
        <f>0.11*M4137</f>
        <v>0</v>
      </c>
      <c r="P4137" s="24">
        <f>0.00032*M4137</f>
        <v>0</v>
      </c>
      <c r="Q4137" s="25"/>
      <c r="R4137" s="26" t="s">
        <v>13088</v>
      </c>
      <c r="S4137" s="26" t="s">
        <v>93</v>
      </c>
      <c r="T4137" s="6" t="str">
        <f>HYPERLINK("https://kanzpp.ru/api/getInfo/image/8aeb9b27-19ce-11ef-a25d-00155d82e908")</f>
        <v>https://kanzpp.ru/api/getInfo/image/8aeb9b27-19ce-11ef-a25d-00155d82e908</v>
      </c>
      <c r="U4137" s="6"/>
      <c r="V4137" s="33" t="s">
        <v>35</v>
      </c>
    </row>
    <row r="4138" spans="2:22" ht="21" customHeight="1" outlineLevel="7" x14ac:dyDescent="0.2">
      <c r="B4138" s="69">
        <v>3114</v>
      </c>
      <c r="C4138" s="6" t="s">
        <v>13089</v>
      </c>
      <c r="D4138" s="6" t="s">
        <v>13090</v>
      </c>
      <c r="E4138" s="7" t="s">
        <v>13091</v>
      </c>
      <c r="F4138" s="13"/>
      <c r="G4138" s="14"/>
      <c r="H4138" s="15">
        <v>100</v>
      </c>
      <c r="I4138" s="15">
        <v>5</v>
      </c>
      <c r="J4138" s="17">
        <v>3075</v>
      </c>
      <c r="K4138" s="5">
        <v>100</v>
      </c>
      <c r="L4138" s="16">
        <v>37.866666666666667</v>
      </c>
      <c r="M4138" s="12"/>
      <c r="N4138" s="14">
        <f t="shared" si="191"/>
        <v>0</v>
      </c>
      <c r="O4138" s="28">
        <f>0.11*M4138</f>
        <v>0</v>
      </c>
      <c r="P4138" s="24">
        <f>0.00032*M4138</f>
        <v>0</v>
      </c>
      <c r="Q4138" s="25"/>
      <c r="R4138" s="26" t="s">
        <v>13092</v>
      </c>
      <c r="S4138" s="26" t="s">
        <v>93</v>
      </c>
      <c r="T4138" s="6" t="str">
        <f>HYPERLINK("https://kanzpp.ru/api/getInfo/image/a5c536be-19ce-11ef-a25d-00155d82e908")</f>
        <v>https://kanzpp.ru/api/getInfo/image/a5c536be-19ce-11ef-a25d-00155d82e908</v>
      </c>
      <c r="U4138" s="6"/>
      <c r="V4138" s="33" t="s">
        <v>35</v>
      </c>
    </row>
    <row r="4139" spans="2:22" ht="21" customHeight="1" outlineLevel="7" x14ac:dyDescent="0.2">
      <c r="B4139" s="69">
        <v>3115</v>
      </c>
      <c r="C4139" s="6" t="s">
        <v>13093</v>
      </c>
      <c r="D4139" s="6" t="s">
        <v>13094</v>
      </c>
      <c r="E4139" s="7" t="s">
        <v>13095</v>
      </c>
      <c r="F4139" s="13"/>
      <c r="G4139" s="14"/>
      <c r="H4139" s="15">
        <v>100</v>
      </c>
      <c r="I4139" s="15">
        <v>5</v>
      </c>
      <c r="J4139" s="17">
        <v>1805</v>
      </c>
      <c r="K4139" s="5">
        <v>100</v>
      </c>
      <c r="L4139" s="16">
        <v>37.866666666666667</v>
      </c>
      <c r="M4139" s="12"/>
      <c r="N4139" s="14">
        <f t="shared" si="191"/>
        <v>0</v>
      </c>
      <c r="O4139" s="28">
        <f>0.11*M4139</f>
        <v>0</v>
      </c>
      <c r="P4139" s="24">
        <f>0.00032*M4139</f>
        <v>0</v>
      </c>
      <c r="Q4139" s="25"/>
      <c r="R4139" s="26" t="s">
        <v>13096</v>
      </c>
      <c r="S4139" s="26" t="s">
        <v>93</v>
      </c>
      <c r="T4139" s="6" t="str">
        <f>HYPERLINK("https://kanzpp.ru/api/getInfo/image/bfd1c803-19ce-11ef-a25d-00155d82e908")</f>
        <v>https://kanzpp.ru/api/getInfo/image/bfd1c803-19ce-11ef-a25d-00155d82e908</v>
      </c>
      <c r="U4139" s="6"/>
      <c r="V4139" s="33" t="s">
        <v>35</v>
      </c>
    </row>
    <row r="4140" spans="2:22" ht="21" customHeight="1" outlineLevel="7" x14ac:dyDescent="0.2">
      <c r="B4140" s="69">
        <v>3116</v>
      </c>
      <c r="C4140" s="6" t="s">
        <v>13097</v>
      </c>
      <c r="D4140" s="6" t="s">
        <v>13098</v>
      </c>
      <c r="E4140" s="7" t="s">
        <v>13099</v>
      </c>
      <c r="F4140" s="13"/>
      <c r="G4140" s="14"/>
      <c r="H4140" s="15">
        <v>100</v>
      </c>
      <c r="I4140" s="15">
        <v>5</v>
      </c>
      <c r="J4140" s="17">
        <v>1470</v>
      </c>
      <c r="K4140" s="5">
        <v>100</v>
      </c>
      <c r="L4140" s="16">
        <v>37.866666666666667</v>
      </c>
      <c r="M4140" s="12"/>
      <c r="N4140" s="14">
        <f t="shared" si="191"/>
        <v>0</v>
      </c>
      <c r="O4140" s="28">
        <f>0.11*M4140</f>
        <v>0</v>
      </c>
      <c r="P4140" s="24">
        <f>0.00001*M4140</f>
        <v>0</v>
      </c>
      <c r="Q4140" s="25"/>
      <c r="R4140" s="26" t="s">
        <v>13100</v>
      </c>
      <c r="S4140" s="26" t="s">
        <v>93</v>
      </c>
      <c r="T4140" s="6" t="str">
        <f>HYPERLINK("https://kanzpp.ru/api/getInfo/image/dde1eee6-19ce-11ef-a25d-00155d82e908")</f>
        <v>https://kanzpp.ru/api/getInfo/image/dde1eee6-19ce-11ef-a25d-00155d82e908</v>
      </c>
      <c r="U4140" s="6"/>
      <c r="V4140" s="33" t="s">
        <v>35</v>
      </c>
    </row>
    <row r="4141" spans="2:22" ht="21" customHeight="1" outlineLevel="7" x14ac:dyDescent="0.2">
      <c r="B4141" s="69">
        <v>3117</v>
      </c>
      <c r="C4141" s="6" t="s">
        <v>13101</v>
      </c>
      <c r="D4141" s="6" t="s">
        <v>13102</v>
      </c>
      <c r="E4141" s="7" t="s">
        <v>13103</v>
      </c>
      <c r="F4141" s="13"/>
      <c r="G4141" s="14"/>
      <c r="H4141" s="15">
        <v>100</v>
      </c>
      <c r="I4141" s="15">
        <v>5</v>
      </c>
      <c r="J4141" s="17">
        <v>2780</v>
      </c>
      <c r="K4141" s="5">
        <v>100</v>
      </c>
      <c r="L4141" s="16">
        <v>37.866666666666667</v>
      </c>
      <c r="M4141" s="12"/>
      <c r="N4141" s="14">
        <f t="shared" si="191"/>
        <v>0</v>
      </c>
      <c r="O4141" s="28">
        <f>0.11*M4141</f>
        <v>0</v>
      </c>
      <c r="P4141" s="24">
        <f>0.00217*M4141</f>
        <v>0</v>
      </c>
      <c r="Q4141" s="25"/>
      <c r="R4141" s="26" t="s">
        <v>13104</v>
      </c>
      <c r="S4141" s="26" t="s">
        <v>93</v>
      </c>
      <c r="T4141" s="6" t="str">
        <f>HYPERLINK("https://kanzpp.ru/api/getInfo/image/f9673b46-19ce-11ef-a25d-00155d82e908")</f>
        <v>https://kanzpp.ru/api/getInfo/image/f9673b46-19ce-11ef-a25d-00155d82e908</v>
      </c>
      <c r="U4141" s="6"/>
      <c r="V4141" s="33" t="s">
        <v>35</v>
      </c>
    </row>
    <row r="4142" spans="2:22" ht="21" customHeight="1" outlineLevel="7" x14ac:dyDescent="0.2">
      <c r="B4142" s="69">
        <v>3118</v>
      </c>
      <c r="C4142" s="6" t="s">
        <v>13105</v>
      </c>
      <c r="D4142" s="6" t="s">
        <v>13106</v>
      </c>
      <c r="E4142" s="7" t="s">
        <v>13107</v>
      </c>
      <c r="F4142" s="13"/>
      <c r="G4142" s="14"/>
      <c r="H4142" s="15">
        <v>100</v>
      </c>
      <c r="I4142" s="15">
        <v>5</v>
      </c>
      <c r="J4142" s="17">
        <v>11900</v>
      </c>
      <c r="K4142" s="5">
        <v>100</v>
      </c>
      <c r="L4142" s="16">
        <v>37.866666666666667</v>
      </c>
      <c r="M4142" s="12"/>
      <c r="N4142" s="14">
        <f t="shared" si="191"/>
        <v>0</v>
      </c>
      <c r="O4142" s="23">
        <f>0.108*M4142</f>
        <v>0</v>
      </c>
      <c r="P4142" s="24">
        <f>0.00021*M4142</f>
        <v>0</v>
      </c>
      <c r="Q4142" s="25"/>
      <c r="R4142" s="26" t="s">
        <v>13108</v>
      </c>
      <c r="S4142" s="26" t="s">
        <v>93</v>
      </c>
      <c r="T4142" s="6" t="str">
        <f>HYPERLINK("https://kanzpp.ru/api/getInfo/image/16037f59-19cf-11ef-a25d-00155d82e908")</f>
        <v>https://kanzpp.ru/api/getInfo/image/16037f59-19cf-11ef-a25d-00155d82e908</v>
      </c>
      <c r="U4142" s="6"/>
      <c r="V4142" s="33" t="s">
        <v>35</v>
      </c>
    </row>
    <row r="4143" spans="2:22" ht="21" customHeight="1" outlineLevel="7" x14ac:dyDescent="0.2">
      <c r="B4143" s="69">
        <v>3119</v>
      </c>
      <c r="C4143" s="6" t="s">
        <v>13109</v>
      </c>
      <c r="D4143" s="6" t="s">
        <v>13110</v>
      </c>
      <c r="E4143" s="7" t="s">
        <v>13111</v>
      </c>
      <c r="F4143" s="13"/>
      <c r="G4143" s="14"/>
      <c r="H4143" s="15">
        <v>100</v>
      </c>
      <c r="I4143" s="15">
        <v>5</v>
      </c>
      <c r="J4143" s="17">
        <v>4140</v>
      </c>
      <c r="K4143" s="5">
        <v>100</v>
      </c>
      <c r="L4143" s="16">
        <v>37.866666666666667</v>
      </c>
      <c r="M4143" s="12"/>
      <c r="N4143" s="14">
        <f t="shared" si="191"/>
        <v>0</v>
      </c>
      <c r="O4143" s="28">
        <f>0.11*M4143</f>
        <v>0</v>
      </c>
      <c r="P4143" s="24">
        <f>0.00031*M4143</f>
        <v>0</v>
      </c>
      <c r="Q4143" s="25"/>
      <c r="R4143" s="26" t="s">
        <v>13112</v>
      </c>
      <c r="S4143" s="26" t="s">
        <v>93</v>
      </c>
      <c r="T4143" s="6" t="str">
        <f>HYPERLINK("https://kanzpp.ru/api/getInfo/image/44aeba7d-19cf-11ef-a25d-00155d82e908")</f>
        <v>https://kanzpp.ru/api/getInfo/image/44aeba7d-19cf-11ef-a25d-00155d82e908</v>
      </c>
      <c r="U4143" s="6"/>
      <c r="V4143" s="33" t="s">
        <v>35</v>
      </c>
    </row>
    <row r="4144" spans="2:22" ht="21" customHeight="1" outlineLevel="7" x14ac:dyDescent="0.2">
      <c r="B4144" s="69">
        <v>3120</v>
      </c>
      <c r="C4144" s="6" t="s">
        <v>13113</v>
      </c>
      <c r="D4144" s="6" t="s">
        <v>13114</v>
      </c>
      <c r="E4144" s="7" t="s">
        <v>13115</v>
      </c>
      <c r="F4144" s="13"/>
      <c r="G4144" s="14"/>
      <c r="H4144" s="15">
        <v>100</v>
      </c>
      <c r="I4144" s="15">
        <v>5</v>
      </c>
      <c r="J4144" s="17">
        <v>4855</v>
      </c>
      <c r="K4144" s="5">
        <v>100</v>
      </c>
      <c r="L4144" s="16">
        <v>37.866666666666667</v>
      </c>
      <c r="M4144" s="12"/>
      <c r="N4144" s="14">
        <f t="shared" si="191"/>
        <v>0</v>
      </c>
      <c r="O4144" s="28">
        <f>0.11*M4144</f>
        <v>0</v>
      </c>
      <c r="P4144" s="24">
        <f>0.00031*M4144</f>
        <v>0</v>
      </c>
      <c r="Q4144" s="25"/>
      <c r="R4144" s="26" t="s">
        <v>13116</v>
      </c>
      <c r="S4144" s="26" t="s">
        <v>93</v>
      </c>
      <c r="T4144" s="6" t="str">
        <f>HYPERLINK("https://kanzpp.ru/api/getInfo/image/7580b5f6-19cf-11ef-a25d-00155d82e908")</f>
        <v>https://kanzpp.ru/api/getInfo/image/7580b5f6-19cf-11ef-a25d-00155d82e908</v>
      </c>
      <c r="U4144" s="6"/>
      <c r="V4144" s="33" t="s">
        <v>35</v>
      </c>
    </row>
    <row r="4145" spans="2:22" ht="21" customHeight="1" outlineLevel="7" x14ac:dyDescent="0.2">
      <c r="B4145" s="69">
        <v>3121</v>
      </c>
      <c r="C4145" s="6" t="s">
        <v>13117</v>
      </c>
      <c r="D4145" s="6" t="s">
        <v>13118</v>
      </c>
      <c r="E4145" s="7" t="s">
        <v>13119</v>
      </c>
      <c r="F4145" s="13"/>
      <c r="G4145" s="14"/>
      <c r="H4145" s="15">
        <v>100</v>
      </c>
      <c r="I4145" s="15">
        <v>5</v>
      </c>
      <c r="J4145" s="15">
        <v>405</v>
      </c>
      <c r="K4145" s="5">
        <v>100</v>
      </c>
      <c r="L4145" s="16">
        <v>37.866666666666667</v>
      </c>
      <c r="M4145" s="12"/>
      <c r="N4145" s="14">
        <f t="shared" si="191"/>
        <v>0</v>
      </c>
      <c r="O4145" s="28">
        <f>0.11*M4145</f>
        <v>0</v>
      </c>
      <c r="P4145" s="24">
        <f>0.00031*M4145</f>
        <v>0</v>
      </c>
      <c r="Q4145" s="25"/>
      <c r="R4145" s="26" t="s">
        <v>13120</v>
      </c>
      <c r="S4145" s="26" t="s">
        <v>93</v>
      </c>
      <c r="T4145" s="6" t="str">
        <f>HYPERLINK("https://kanzpp.ru/api/getInfo/image/932cc681-19cf-11ef-a25d-00155d82e908")</f>
        <v>https://kanzpp.ru/api/getInfo/image/932cc681-19cf-11ef-a25d-00155d82e908</v>
      </c>
      <c r="U4145" s="6"/>
      <c r="V4145" s="33" t="s">
        <v>35</v>
      </c>
    </row>
    <row r="4146" spans="2:22" ht="21" customHeight="1" outlineLevel="7" x14ac:dyDescent="0.2">
      <c r="B4146" s="69">
        <v>3122</v>
      </c>
      <c r="C4146" s="6" t="s">
        <v>13121</v>
      </c>
      <c r="D4146" s="6" t="s">
        <v>13122</v>
      </c>
      <c r="E4146" s="7" t="s">
        <v>13123</v>
      </c>
      <c r="F4146" s="13"/>
      <c r="G4146" s="14"/>
      <c r="H4146" s="15">
        <v>100</v>
      </c>
      <c r="I4146" s="15">
        <v>5</v>
      </c>
      <c r="J4146" s="17">
        <v>2075</v>
      </c>
      <c r="K4146" s="5">
        <v>100</v>
      </c>
      <c r="L4146" s="16">
        <v>37.866666666666667</v>
      </c>
      <c r="M4146" s="12"/>
      <c r="N4146" s="14">
        <f t="shared" si="191"/>
        <v>0</v>
      </c>
      <c r="O4146" s="28">
        <f>0.11*M4146</f>
        <v>0</v>
      </c>
      <c r="P4146" s="24">
        <f>0.00031*M4146</f>
        <v>0</v>
      </c>
      <c r="Q4146" s="25"/>
      <c r="R4146" s="26" t="s">
        <v>13124</v>
      </c>
      <c r="S4146" s="26" t="s">
        <v>93</v>
      </c>
      <c r="T4146" s="6" t="str">
        <f>HYPERLINK("https://kanzpp.ru/api/getInfo/image/be6a9edc-19cf-11ef-a25d-00155d82e908")</f>
        <v>https://kanzpp.ru/api/getInfo/image/be6a9edc-19cf-11ef-a25d-00155d82e908</v>
      </c>
      <c r="U4146" s="6"/>
      <c r="V4146" s="33" t="s">
        <v>35</v>
      </c>
    </row>
    <row r="4147" spans="2:22" ht="21" customHeight="1" outlineLevel="7" x14ac:dyDescent="0.2">
      <c r="B4147" s="69">
        <v>3123</v>
      </c>
      <c r="C4147" s="6" t="s">
        <v>13125</v>
      </c>
      <c r="D4147" s="6" t="s">
        <v>13126</v>
      </c>
      <c r="E4147" s="7" t="s">
        <v>13127</v>
      </c>
      <c r="F4147" s="13"/>
      <c r="G4147" s="14"/>
      <c r="H4147" s="15">
        <v>100</v>
      </c>
      <c r="I4147" s="15">
        <v>5</v>
      </c>
      <c r="J4147" s="17">
        <v>3275</v>
      </c>
      <c r="K4147" s="5">
        <v>100</v>
      </c>
      <c r="L4147" s="16">
        <v>37.866666666666667</v>
      </c>
      <c r="M4147" s="12"/>
      <c r="N4147" s="14">
        <f t="shared" si="191"/>
        <v>0</v>
      </c>
      <c r="O4147" s="28">
        <f>0.11*M4147</f>
        <v>0</v>
      </c>
      <c r="P4147" s="24">
        <f>0.00031*M4147</f>
        <v>0</v>
      </c>
      <c r="Q4147" s="25"/>
      <c r="R4147" s="26" t="s">
        <v>13128</v>
      </c>
      <c r="S4147" s="26" t="s">
        <v>93</v>
      </c>
      <c r="T4147" s="6" t="str">
        <f>HYPERLINK("https://kanzpp.ru/api/getInfo/image/dda99d83-19cf-11ef-a25d-00155d82e908")</f>
        <v>https://kanzpp.ru/api/getInfo/image/dda99d83-19cf-11ef-a25d-00155d82e908</v>
      </c>
      <c r="U4147" s="6"/>
      <c r="V4147" s="33" t="s">
        <v>35</v>
      </c>
    </row>
    <row r="4148" spans="2:22" ht="22.95" customHeight="1" outlineLevel="6" x14ac:dyDescent="0.2">
      <c r="B4148" s="84" t="s">
        <v>13129</v>
      </c>
      <c r="C4148" s="84"/>
      <c r="D4148" s="84"/>
      <c r="L4148">
        <v>0</v>
      </c>
    </row>
    <row r="4149" spans="2:22" ht="21" customHeight="1" outlineLevel="7" x14ac:dyDescent="0.2">
      <c r="B4149" s="69">
        <v>3124</v>
      </c>
      <c r="C4149" s="6" t="s">
        <v>13130</v>
      </c>
      <c r="D4149" s="6" t="s">
        <v>13131</v>
      </c>
      <c r="E4149" s="7" t="s">
        <v>13132</v>
      </c>
      <c r="F4149" s="13"/>
      <c r="G4149" s="14"/>
      <c r="H4149" s="15">
        <v>100</v>
      </c>
      <c r="I4149" s="15">
        <v>5</v>
      </c>
      <c r="J4149" s="17">
        <v>3330</v>
      </c>
      <c r="K4149" s="5">
        <v>100</v>
      </c>
      <c r="L4149" s="16">
        <v>37.866666666666667</v>
      </c>
      <c r="M4149" s="12"/>
      <c r="N4149" s="14">
        <f t="shared" ref="N4149:N4163" si="192">L4149*M4149</f>
        <v>0</v>
      </c>
      <c r="O4149" s="23">
        <f>0.113*M4149</f>
        <v>0</v>
      </c>
      <c r="P4149" s="24">
        <f>0.00017*M4149</f>
        <v>0</v>
      </c>
      <c r="Q4149" s="25"/>
      <c r="R4149" s="26" t="s">
        <v>13133</v>
      </c>
      <c r="S4149" s="26" t="s">
        <v>93</v>
      </c>
      <c r="T4149" s="6" t="str">
        <f>HYPERLINK("https://kanzpp.ru/api/getInfo/image/c26f7c12-19c2-11ef-a25d-00155d82e908")</f>
        <v>https://kanzpp.ru/api/getInfo/image/c26f7c12-19c2-11ef-a25d-00155d82e908</v>
      </c>
      <c r="U4149" s="6"/>
      <c r="V4149" s="33" t="s">
        <v>35</v>
      </c>
    </row>
    <row r="4150" spans="2:22" ht="21" customHeight="1" outlineLevel="7" x14ac:dyDescent="0.2">
      <c r="B4150" s="69">
        <v>3125</v>
      </c>
      <c r="C4150" s="6" t="s">
        <v>13134</v>
      </c>
      <c r="D4150" s="6" t="s">
        <v>13135</v>
      </c>
      <c r="E4150" s="7" t="s">
        <v>13136</v>
      </c>
      <c r="F4150" s="13"/>
      <c r="G4150" s="14"/>
      <c r="H4150" s="15">
        <v>100</v>
      </c>
      <c r="I4150" s="15">
        <v>5</v>
      </c>
      <c r="J4150" s="17">
        <v>2909</v>
      </c>
      <c r="K4150" s="5">
        <v>100</v>
      </c>
      <c r="L4150" s="16">
        <v>37.866666666666667</v>
      </c>
      <c r="M4150" s="12"/>
      <c r="N4150" s="14">
        <f t="shared" si="192"/>
        <v>0</v>
      </c>
      <c r="O4150" s="23">
        <f>0.113*M4150</f>
        <v>0</v>
      </c>
      <c r="P4150" s="24">
        <f>0.00017*M4150</f>
        <v>0</v>
      </c>
      <c r="Q4150" s="25"/>
      <c r="R4150" s="26" t="s">
        <v>13137</v>
      </c>
      <c r="S4150" s="26" t="s">
        <v>93</v>
      </c>
      <c r="T4150" s="6" t="str">
        <f>HYPERLINK("https://kanzpp.ru/api/getInfo/image/cc546703-19c3-11ef-a25d-00155d82e908")</f>
        <v>https://kanzpp.ru/api/getInfo/image/cc546703-19c3-11ef-a25d-00155d82e908</v>
      </c>
      <c r="U4150" s="6"/>
      <c r="V4150" s="33" t="s">
        <v>35</v>
      </c>
    </row>
    <row r="4151" spans="2:22" ht="21" customHeight="1" outlineLevel="7" x14ac:dyDescent="0.2">
      <c r="B4151" s="69">
        <v>3126</v>
      </c>
      <c r="C4151" s="6" t="s">
        <v>13138</v>
      </c>
      <c r="D4151" s="6" t="s">
        <v>13139</v>
      </c>
      <c r="E4151" s="7" t="s">
        <v>13140</v>
      </c>
      <c r="F4151" s="13"/>
      <c r="G4151" s="14"/>
      <c r="H4151" s="15">
        <v>100</v>
      </c>
      <c r="I4151" s="15">
        <v>5</v>
      </c>
      <c r="J4151" s="15">
        <v>103</v>
      </c>
      <c r="K4151" s="5">
        <v>100</v>
      </c>
      <c r="L4151" s="16">
        <v>37.866666666666667</v>
      </c>
      <c r="M4151" s="12"/>
      <c r="N4151" s="14">
        <f t="shared" si="192"/>
        <v>0</v>
      </c>
      <c r="O4151" s="28">
        <f>0.11*M4151</f>
        <v>0</v>
      </c>
      <c r="P4151" s="24">
        <f>0.00031*M4151</f>
        <v>0</v>
      </c>
      <c r="Q4151" s="25"/>
      <c r="R4151" s="26" t="s">
        <v>13141</v>
      </c>
      <c r="S4151" s="26" t="s">
        <v>93</v>
      </c>
      <c r="T4151" s="6" t="str">
        <f>HYPERLINK("https://kanzpp.ru/api/getInfo/image/9f603aec-19c1-11ef-a25d-00155d82e908")</f>
        <v>https://kanzpp.ru/api/getInfo/image/9f603aec-19c1-11ef-a25d-00155d82e908</v>
      </c>
      <c r="U4151" s="6"/>
      <c r="V4151" s="33" t="s">
        <v>35</v>
      </c>
    </row>
    <row r="4152" spans="2:22" ht="21" customHeight="1" outlineLevel="7" x14ac:dyDescent="0.2">
      <c r="B4152" s="69">
        <v>3127</v>
      </c>
      <c r="C4152" s="6" t="s">
        <v>13142</v>
      </c>
      <c r="D4152" s="6" t="s">
        <v>13143</v>
      </c>
      <c r="E4152" s="7" t="s">
        <v>13144</v>
      </c>
      <c r="F4152" s="13"/>
      <c r="G4152" s="14"/>
      <c r="H4152" s="15">
        <v>100</v>
      </c>
      <c r="I4152" s="15">
        <v>5</v>
      </c>
      <c r="J4152" s="17">
        <v>2200</v>
      </c>
      <c r="K4152" s="5">
        <v>100</v>
      </c>
      <c r="L4152" s="16">
        <v>37.866666666666667</v>
      </c>
      <c r="M4152" s="12"/>
      <c r="N4152" s="14">
        <f t="shared" si="192"/>
        <v>0</v>
      </c>
      <c r="O4152" s="28">
        <f>0.11*M4152</f>
        <v>0</v>
      </c>
      <c r="P4152" s="24">
        <f>0.00031*M4152</f>
        <v>0</v>
      </c>
      <c r="Q4152" s="25"/>
      <c r="R4152" s="26" t="s">
        <v>13145</v>
      </c>
      <c r="S4152" s="26" t="s">
        <v>93</v>
      </c>
      <c r="T4152" s="6" t="str">
        <f>HYPERLINK("https://kanzpp.ru/api/getInfo/image/46af7b68-19c1-11ef-a25d-00155d82e908")</f>
        <v>https://kanzpp.ru/api/getInfo/image/46af7b68-19c1-11ef-a25d-00155d82e908</v>
      </c>
      <c r="U4152" s="6"/>
      <c r="V4152" s="33" t="s">
        <v>35</v>
      </c>
    </row>
    <row r="4153" spans="2:22" ht="21" customHeight="1" outlineLevel="7" x14ac:dyDescent="0.2">
      <c r="B4153" s="69">
        <v>3128</v>
      </c>
      <c r="C4153" s="6" t="s">
        <v>13146</v>
      </c>
      <c r="D4153" s="6" t="s">
        <v>13147</v>
      </c>
      <c r="E4153" s="7" t="s">
        <v>13148</v>
      </c>
      <c r="F4153" s="13"/>
      <c r="G4153" s="14"/>
      <c r="H4153" s="15">
        <v>100</v>
      </c>
      <c r="I4153" s="15">
        <v>5</v>
      </c>
      <c r="J4153" s="17">
        <v>5795</v>
      </c>
      <c r="K4153" s="5">
        <v>100</v>
      </c>
      <c r="L4153" s="16">
        <v>37.866666666666667</v>
      </c>
      <c r="M4153" s="12"/>
      <c r="N4153" s="14">
        <f t="shared" si="192"/>
        <v>0</v>
      </c>
      <c r="O4153" s="23">
        <f>0.115*M4153</f>
        <v>0</v>
      </c>
      <c r="P4153" s="24">
        <f>0.00018*M4153</f>
        <v>0</v>
      </c>
      <c r="Q4153" s="25"/>
      <c r="R4153" s="26" t="s">
        <v>13149</v>
      </c>
      <c r="S4153" s="26" t="s">
        <v>93</v>
      </c>
      <c r="T4153" s="6" t="str">
        <f>HYPERLINK("https://kanzpp.ru/api/getInfo/image/bbe96bad-19c1-11ef-a25d-00155d82e908")</f>
        <v>https://kanzpp.ru/api/getInfo/image/bbe96bad-19c1-11ef-a25d-00155d82e908</v>
      </c>
      <c r="U4153" s="6"/>
      <c r="V4153" s="33" t="s">
        <v>35</v>
      </c>
    </row>
    <row r="4154" spans="2:22" ht="21" customHeight="1" outlineLevel="7" x14ac:dyDescent="0.2">
      <c r="B4154" s="69">
        <v>3129</v>
      </c>
      <c r="C4154" s="6" t="s">
        <v>13150</v>
      </c>
      <c r="D4154" s="6" t="s">
        <v>13151</v>
      </c>
      <c r="E4154" s="7" t="s">
        <v>13152</v>
      </c>
      <c r="F4154" s="13"/>
      <c r="G4154" s="14"/>
      <c r="H4154" s="15">
        <v>100</v>
      </c>
      <c r="I4154" s="15">
        <v>5</v>
      </c>
      <c r="J4154" s="17">
        <v>4125</v>
      </c>
      <c r="K4154" s="5">
        <v>100</v>
      </c>
      <c r="L4154" s="16">
        <v>37.866666666666667</v>
      </c>
      <c r="M4154" s="12"/>
      <c r="N4154" s="14">
        <f t="shared" si="192"/>
        <v>0</v>
      </c>
      <c r="O4154" s="23">
        <f>0.113*M4154</f>
        <v>0</v>
      </c>
      <c r="P4154" s="24">
        <f>0.00017*M4154</f>
        <v>0</v>
      </c>
      <c r="Q4154" s="25"/>
      <c r="R4154" s="26" t="s">
        <v>13153</v>
      </c>
      <c r="S4154" s="26" t="s">
        <v>93</v>
      </c>
      <c r="T4154" s="6" t="str">
        <f>HYPERLINK("https://kanzpp.ru/api/getInfo/image/a8e7831f-19cd-11ef-a25d-00155d82e908")</f>
        <v>https://kanzpp.ru/api/getInfo/image/a8e7831f-19cd-11ef-a25d-00155d82e908</v>
      </c>
      <c r="U4154" s="6"/>
      <c r="V4154" s="33" t="s">
        <v>35</v>
      </c>
    </row>
    <row r="4155" spans="2:22" ht="21" customHeight="1" outlineLevel="7" x14ac:dyDescent="0.2">
      <c r="B4155" s="69">
        <v>3130</v>
      </c>
      <c r="C4155" s="6" t="s">
        <v>13154</v>
      </c>
      <c r="D4155" s="6" t="s">
        <v>13155</v>
      </c>
      <c r="E4155" s="7" t="s">
        <v>13156</v>
      </c>
      <c r="F4155" s="13"/>
      <c r="G4155" s="14"/>
      <c r="H4155" s="15">
        <v>100</v>
      </c>
      <c r="I4155" s="15">
        <v>5</v>
      </c>
      <c r="J4155" s="15">
        <v>755</v>
      </c>
      <c r="K4155" s="5">
        <v>100</v>
      </c>
      <c r="L4155" s="16">
        <v>37.866666666666667</v>
      </c>
      <c r="M4155" s="12"/>
      <c r="N4155" s="14">
        <f t="shared" si="192"/>
        <v>0</v>
      </c>
      <c r="O4155" s="23">
        <f>0.113*M4155</f>
        <v>0</v>
      </c>
      <c r="P4155" s="24">
        <f>0.00017*M4155</f>
        <v>0</v>
      </c>
      <c r="Q4155" s="25"/>
      <c r="R4155" s="26" t="s">
        <v>13157</v>
      </c>
      <c r="S4155" s="26" t="s">
        <v>93</v>
      </c>
      <c r="T4155" s="6" t="str">
        <f>HYPERLINK("https://kanzpp.ru/api/getInfo/image/cb98b683-19cd-11ef-a25d-00155d82e908")</f>
        <v>https://kanzpp.ru/api/getInfo/image/cb98b683-19cd-11ef-a25d-00155d82e908</v>
      </c>
      <c r="U4155" s="6"/>
      <c r="V4155" s="33" t="s">
        <v>35</v>
      </c>
    </row>
    <row r="4156" spans="2:22" ht="21" customHeight="1" outlineLevel="7" x14ac:dyDescent="0.2">
      <c r="B4156" s="69">
        <v>3131</v>
      </c>
      <c r="C4156" s="6" t="s">
        <v>13158</v>
      </c>
      <c r="D4156" s="6" t="s">
        <v>13159</v>
      </c>
      <c r="E4156" s="7" t="s">
        <v>13160</v>
      </c>
      <c r="F4156" s="13"/>
      <c r="G4156" s="14"/>
      <c r="H4156" s="15">
        <v>100</v>
      </c>
      <c r="I4156" s="15">
        <v>5</v>
      </c>
      <c r="J4156" s="17">
        <v>5200</v>
      </c>
      <c r="K4156" s="5">
        <v>100</v>
      </c>
      <c r="L4156" s="16">
        <v>37.866666666666667</v>
      </c>
      <c r="M4156" s="12"/>
      <c r="N4156" s="14">
        <f t="shared" si="192"/>
        <v>0</v>
      </c>
      <c r="O4156" s="23">
        <f>0.113*M4156</f>
        <v>0</v>
      </c>
      <c r="P4156" s="24">
        <f>0.00017*M4156</f>
        <v>0</v>
      </c>
      <c r="Q4156" s="25"/>
      <c r="R4156" s="26" t="s">
        <v>13161</v>
      </c>
      <c r="S4156" s="26" t="s">
        <v>93</v>
      </c>
      <c r="T4156" s="6" t="str">
        <f>HYPERLINK("https://kanzpp.ru/api/getInfo/image/1f99913a-19c4-11ef-a25d-00155d82e908")</f>
        <v>https://kanzpp.ru/api/getInfo/image/1f99913a-19c4-11ef-a25d-00155d82e908</v>
      </c>
      <c r="U4156" s="6"/>
      <c r="V4156" s="33" t="s">
        <v>35</v>
      </c>
    </row>
    <row r="4157" spans="2:22" ht="21" customHeight="1" outlineLevel="7" x14ac:dyDescent="0.2">
      <c r="B4157" s="69">
        <v>3132</v>
      </c>
      <c r="C4157" s="6" t="s">
        <v>13162</v>
      </c>
      <c r="D4157" s="6" t="s">
        <v>13163</v>
      </c>
      <c r="E4157" s="7" t="s">
        <v>13164</v>
      </c>
      <c r="F4157" s="13"/>
      <c r="G4157" s="14"/>
      <c r="H4157" s="15">
        <v>100</v>
      </c>
      <c r="I4157" s="15">
        <v>5</v>
      </c>
      <c r="J4157" s="17">
        <v>4965</v>
      </c>
      <c r="K4157" s="5">
        <v>100</v>
      </c>
      <c r="L4157" s="16">
        <v>37.866666666666667</v>
      </c>
      <c r="M4157" s="12"/>
      <c r="N4157" s="14">
        <f t="shared" si="192"/>
        <v>0</v>
      </c>
      <c r="O4157" s="23">
        <f>0.113*M4157</f>
        <v>0</v>
      </c>
      <c r="P4157" s="24">
        <f>0.00017*M4157</f>
        <v>0</v>
      </c>
      <c r="Q4157" s="25"/>
      <c r="R4157" s="26" t="s">
        <v>13165</v>
      </c>
      <c r="S4157" s="26" t="s">
        <v>93</v>
      </c>
      <c r="T4157" s="6" t="str">
        <f>HYPERLINK("https://kanzpp.ru/api/getInfo/image/55a52d3a-19c4-11ef-a25d-00155d82e908")</f>
        <v>https://kanzpp.ru/api/getInfo/image/55a52d3a-19c4-11ef-a25d-00155d82e908</v>
      </c>
      <c r="U4157" s="6"/>
      <c r="V4157" s="33" t="s">
        <v>35</v>
      </c>
    </row>
    <row r="4158" spans="2:22" ht="21" customHeight="1" outlineLevel="7" x14ac:dyDescent="0.2">
      <c r="B4158" s="69">
        <v>3133</v>
      </c>
      <c r="C4158" s="6" t="s">
        <v>13166</v>
      </c>
      <c r="D4158" s="6" t="s">
        <v>13167</v>
      </c>
      <c r="E4158" s="7" t="s">
        <v>13168</v>
      </c>
      <c r="F4158" s="13"/>
      <c r="G4158" s="14"/>
      <c r="H4158" s="15">
        <v>100</v>
      </c>
      <c r="I4158" s="15">
        <v>5</v>
      </c>
      <c r="J4158" s="17">
        <v>6490</v>
      </c>
      <c r="K4158" s="5">
        <v>100</v>
      </c>
      <c r="L4158" s="16">
        <v>37.866666666666667</v>
      </c>
      <c r="M4158" s="12"/>
      <c r="N4158" s="14">
        <f t="shared" si="192"/>
        <v>0</v>
      </c>
      <c r="O4158" s="23">
        <f>0.118*M4158</f>
        <v>0</v>
      </c>
      <c r="P4158" s="31">
        <f>0.0001*M4158</f>
        <v>0</v>
      </c>
      <c r="Q4158" s="25"/>
      <c r="R4158" s="26" t="s">
        <v>13169</v>
      </c>
      <c r="S4158" s="26" t="s">
        <v>93</v>
      </c>
      <c r="T4158" s="6" t="str">
        <f>HYPERLINK("https://kanzpp.ru/api/getInfo/image/ef9edbfb-19cd-11ef-a25d-00155d82e908")</f>
        <v>https://kanzpp.ru/api/getInfo/image/ef9edbfb-19cd-11ef-a25d-00155d82e908</v>
      </c>
      <c r="U4158" s="6"/>
      <c r="V4158" s="33" t="s">
        <v>35</v>
      </c>
    </row>
    <row r="4159" spans="2:22" ht="21" customHeight="1" outlineLevel="7" x14ac:dyDescent="0.2">
      <c r="B4159" s="69">
        <v>3134</v>
      </c>
      <c r="C4159" s="6" t="s">
        <v>13170</v>
      </c>
      <c r="D4159" s="6" t="s">
        <v>13171</v>
      </c>
      <c r="E4159" s="7" t="s">
        <v>13172</v>
      </c>
      <c r="F4159" s="13"/>
      <c r="G4159" s="14"/>
      <c r="H4159" s="15">
        <v>100</v>
      </c>
      <c r="I4159" s="15">
        <v>5</v>
      </c>
      <c r="J4159" s="15">
        <v>160</v>
      </c>
      <c r="K4159" s="5">
        <v>100</v>
      </c>
      <c r="L4159" s="16">
        <v>37.866666666666667</v>
      </c>
      <c r="M4159" s="12"/>
      <c r="N4159" s="14">
        <f t="shared" si="192"/>
        <v>0</v>
      </c>
      <c r="O4159" s="28">
        <f>0.11*M4159</f>
        <v>0</v>
      </c>
      <c r="P4159" s="24">
        <f>0.00031*M4159</f>
        <v>0</v>
      </c>
      <c r="Q4159" s="25"/>
      <c r="R4159" s="26" t="s">
        <v>13173</v>
      </c>
      <c r="S4159" s="26" t="s">
        <v>93</v>
      </c>
      <c r="T4159" s="6" t="str">
        <f>HYPERLINK("https://kanzpp.ru/api/getInfo/image/db4e8fea-19c1-11ef-a25d-00155d82e908")</f>
        <v>https://kanzpp.ru/api/getInfo/image/db4e8fea-19c1-11ef-a25d-00155d82e908</v>
      </c>
      <c r="U4159" s="6"/>
      <c r="V4159" s="33" t="s">
        <v>35</v>
      </c>
    </row>
    <row r="4160" spans="2:22" ht="21" customHeight="1" outlineLevel="7" x14ac:dyDescent="0.2">
      <c r="B4160" s="69">
        <v>3135</v>
      </c>
      <c r="C4160" s="6" t="s">
        <v>13174</v>
      </c>
      <c r="D4160" s="6" t="s">
        <v>13175</v>
      </c>
      <c r="E4160" s="7" t="s">
        <v>13176</v>
      </c>
      <c r="F4160" s="13"/>
      <c r="G4160" s="14"/>
      <c r="H4160" s="15">
        <v>100</v>
      </c>
      <c r="I4160" s="15">
        <v>5</v>
      </c>
      <c r="J4160" s="17">
        <v>3470</v>
      </c>
      <c r="K4160" s="5">
        <v>100</v>
      </c>
      <c r="L4160" s="16">
        <v>37.866666666666667</v>
      </c>
      <c r="M4160" s="12"/>
      <c r="N4160" s="14">
        <f t="shared" si="192"/>
        <v>0</v>
      </c>
      <c r="O4160" s="23">
        <f>0.118*M4160</f>
        <v>0</v>
      </c>
      <c r="P4160" s="31">
        <f>0.0001*M4160</f>
        <v>0</v>
      </c>
      <c r="Q4160" s="25"/>
      <c r="R4160" s="26" t="s">
        <v>13177</v>
      </c>
      <c r="S4160" s="26" t="s">
        <v>93</v>
      </c>
      <c r="T4160" s="6" t="str">
        <f>HYPERLINK("https://kanzpp.ru/api/getInfo/image/405dacd3-19c2-11ef-a25d-00155d82e908")</f>
        <v>https://kanzpp.ru/api/getInfo/image/405dacd3-19c2-11ef-a25d-00155d82e908</v>
      </c>
      <c r="U4160" s="6"/>
      <c r="V4160" s="33" t="s">
        <v>35</v>
      </c>
    </row>
    <row r="4161" spans="2:22" ht="21" customHeight="1" outlineLevel="7" x14ac:dyDescent="0.2">
      <c r="B4161" s="69">
        <v>3136</v>
      </c>
      <c r="C4161" s="6" t="s">
        <v>13178</v>
      </c>
      <c r="D4161" s="6" t="s">
        <v>13179</v>
      </c>
      <c r="E4161" s="7" t="s">
        <v>13180</v>
      </c>
      <c r="F4161" s="13"/>
      <c r="G4161" s="14"/>
      <c r="H4161" s="15">
        <v>100</v>
      </c>
      <c r="I4161" s="15">
        <v>5</v>
      </c>
      <c r="J4161" s="17">
        <v>3800</v>
      </c>
      <c r="K4161" s="5">
        <v>100</v>
      </c>
      <c r="L4161" s="16">
        <v>37.866666666666667</v>
      </c>
      <c r="M4161" s="12"/>
      <c r="N4161" s="14">
        <f t="shared" si="192"/>
        <v>0</v>
      </c>
      <c r="O4161" s="23">
        <f>0.118*M4161</f>
        <v>0</v>
      </c>
      <c r="P4161" s="31">
        <f>0.0001*M4161</f>
        <v>0</v>
      </c>
      <c r="Q4161" s="25"/>
      <c r="R4161" s="26" t="s">
        <v>13181</v>
      </c>
      <c r="S4161" s="26" t="s">
        <v>93</v>
      </c>
      <c r="T4161" s="6" t="str">
        <f>HYPERLINK("https://kanzpp.ru/api/getInfo/image/5fd5f11f-19c2-11ef-a25d-00155d82e908")</f>
        <v>https://kanzpp.ru/api/getInfo/image/5fd5f11f-19c2-11ef-a25d-00155d82e908</v>
      </c>
      <c r="U4161" s="6"/>
      <c r="V4161" s="33" t="s">
        <v>35</v>
      </c>
    </row>
    <row r="4162" spans="2:22" ht="21" customHeight="1" outlineLevel="7" x14ac:dyDescent="0.2">
      <c r="B4162" s="69">
        <v>3137</v>
      </c>
      <c r="C4162" s="6" t="s">
        <v>13182</v>
      </c>
      <c r="D4162" s="6" t="s">
        <v>13183</v>
      </c>
      <c r="E4162" s="7" t="s">
        <v>13184</v>
      </c>
      <c r="F4162" s="13"/>
      <c r="G4162" s="14"/>
      <c r="H4162" s="15">
        <v>100</v>
      </c>
      <c r="I4162" s="15">
        <v>5</v>
      </c>
      <c r="J4162" s="17">
        <v>7395</v>
      </c>
      <c r="K4162" s="5">
        <v>100</v>
      </c>
      <c r="L4162" s="16">
        <v>37.866666666666667</v>
      </c>
      <c r="M4162" s="12"/>
      <c r="N4162" s="14">
        <f t="shared" si="192"/>
        <v>0</v>
      </c>
      <c r="O4162" s="23">
        <f>0.118*M4162</f>
        <v>0</v>
      </c>
      <c r="P4162" s="31">
        <f>0.0001*M4162</f>
        <v>0</v>
      </c>
      <c r="Q4162" s="25"/>
      <c r="R4162" s="26" t="s">
        <v>13185</v>
      </c>
      <c r="S4162" s="26" t="s">
        <v>93</v>
      </c>
      <c r="T4162" s="6" t="str">
        <f>HYPERLINK("https://kanzpp.ru/api/getInfo/image/144468e5-19c2-11ef-a25d-00155d82e908")</f>
        <v>https://kanzpp.ru/api/getInfo/image/144468e5-19c2-11ef-a25d-00155d82e908</v>
      </c>
      <c r="U4162" s="6"/>
      <c r="V4162" s="33" t="s">
        <v>35</v>
      </c>
    </row>
    <row r="4163" spans="2:22" ht="21" customHeight="1" outlineLevel="7" x14ac:dyDescent="0.2">
      <c r="B4163" s="69">
        <v>3138</v>
      </c>
      <c r="C4163" s="6" t="s">
        <v>13186</v>
      </c>
      <c r="D4163" s="6" t="s">
        <v>13187</v>
      </c>
      <c r="E4163" s="7" t="s">
        <v>13188</v>
      </c>
      <c r="F4163" s="13"/>
      <c r="G4163" s="14"/>
      <c r="H4163" s="15">
        <v>100</v>
      </c>
      <c r="I4163" s="15">
        <v>5</v>
      </c>
      <c r="J4163" s="17">
        <v>6400</v>
      </c>
      <c r="K4163" s="5">
        <v>100</v>
      </c>
      <c r="L4163" s="16">
        <v>37.866666666666667</v>
      </c>
      <c r="M4163" s="12"/>
      <c r="N4163" s="14">
        <f t="shared" si="192"/>
        <v>0</v>
      </c>
      <c r="O4163" s="28">
        <f>0.11*M4163</f>
        <v>0</v>
      </c>
      <c r="P4163" s="24">
        <f>0.00031*M4163</f>
        <v>0</v>
      </c>
      <c r="Q4163" s="25"/>
      <c r="R4163" s="26" t="s">
        <v>13189</v>
      </c>
      <c r="S4163" s="26" t="s">
        <v>93</v>
      </c>
      <c r="T4163" s="6" t="str">
        <f>HYPERLINK("https://kanzpp.ru/api/getInfo/image/7e58a278-19c2-11ef-a25d-00155d82e908")</f>
        <v>https://kanzpp.ru/api/getInfo/image/7e58a278-19c2-11ef-a25d-00155d82e908</v>
      </c>
      <c r="U4163" s="6"/>
      <c r="V4163" s="33" t="s">
        <v>35</v>
      </c>
    </row>
    <row r="4164" spans="2:22" ht="22.95" customHeight="1" outlineLevel="5" x14ac:dyDescent="0.2">
      <c r="B4164" s="83" t="s">
        <v>13190</v>
      </c>
      <c r="C4164" s="83"/>
      <c r="D4164" s="83"/>
      <c r="L4164">
        <v>0</v>
      </c>
    </row>
    <row r="4165" spans="2:22" ht="21" customHeight="1" outlineLevel="6" x14ac:dyDescent="0.2">
      <c r="B4165" s="69">
        <v>3139</v>
      </c>
      <c r="C4165" s="6" t="s">
        <v>13191</v>
      </c>
      <c r="D4165" s="6" t="s">
        <v>13192</v>
      </c>
      <c r="E4165" s="7" t="s">
        <v>13193</v>
      </c>
      <c r="F4165" s="13"/>
      <c r="G4165" s="14"/>
      <c r="H4165" s="15">
        <v>80</v>
      </c>
      <c r="I4165" s="15">
        <v>10</v>
      </c>
      <c r="J4165" s="15">
        <v>520</v>
      </c>
      <c r="K4165" s="5">
        <v>80</v>
      </c>
      <c r="L4165" s="16">
        <v>33.199999999999996</v>
      </c>
      <c r="M4165" s="12"/>
      <c r="N4165" s="14">
        <f t="shared" ref="N4165:N4176" si="193">L4165*M4165</f>
        <v>0</v>
      </c>
      <c r="O4165" s="23">
        <f>0.141*M4165</f>
        <v>0</v>
      </c>
      <c r="P4165" s="24">
        <f>0.00017*M4165</f>
        <v>0</v>
      </c>
      <c r="Q4165" s="25"/>
      <c r="R4165" s="26" t="s">
        <v>13194</v>
      </c>
      <c r="S4165" s="26" t="s">
        <v>93</v>
      </c>
      <c r="T4165" s="6" t="str">
        <f>HYPERLINK("https://kanzpp.ru/api/getInfo/image/f36b047b-9616-11ec-a211-ac1f6b442185")</f>
        <v>https://kanzpp.ru/api/getInfo/image/f36b047b-9616-11ec-a211-ac1f6b442185</v>
      </c>
      <c r="U4165" s="6"/>
      <c r="V4165" s="33" t="s">
        <v>35</v>
      </c>
    </row>
    <row r="4166" spans="2:22" ht="21" customHeight="1" outlineLevel="6" x14ac:dyDescent="0.2">
      <c r="B4166" s="69">
        <v>3140</v>
      </c>
      <c r="C4166" s="6" t="s">
        <v>13195</v>
      </c>
      <c r="D4166" s="6" t="s">
        <v>13196</v>
      </c>
      <c r="E4166" s="7" t="s">
        <v>13197</v>
      </c>
      <c r="F4166" s="13"/>
      <c r="G4166" s="14"/>
      <c r="H4166" s="15">
        <v>80</v>
      </c>
      <c r="I4166" s="15">
        <v>10</v>
      </c>
      <c r="J4166" s="17">
        <v>4600</v>
      </c>
      <c r="K4166" s="5">
        <v>80</v>
      </c>
      <c r="L4166" s="16">
        <v>33.199999999999996</v>
      </c>
      <c r="M4166" s="12"/>
      <c r="N4166" s="14">
        <f t="shared" si="193"/>
        <v>0</v>
      </c>
      <c r="O4166" s="23">
        <f>0.142*M4166</f>
        <v>0</v>
      </c>
      <c r="P4166" s="24">
        <f>0.00021*M4166</f>
        <v>0</v>
      </c>
      <c r="Q4166" s="25"/>
      <c r="R4166" s="26" t="s">
        <v>13198</v>
      </c>
      <c r="S4166" s="26" t="s">
        <v>93</v>
      </c>
      <c r="T4166" s="6" t="str">
        <f>HYPERLINK("https://kanzpp.ru/api/getInfo/image/a4e672b0-9616-11ec-a211-ac1f6b442185")</f>
        <v>https://kanzpp.ru/api/getInfo/image/a4e672b0-9616-11ec-a211-ac1f6b442185</v>
      </c>
      <c r="U4166" s="6"/>
      <c r="V4166" s="33" t="s">
        <v>35</v>
      </c>
    </row>
    <row r="4167" spans="2:22" ht="21" customHeight="1" outlineLevel="6" x14ac:dyDescent="0.2">
      <c r="B4167" s="69">
        <v>3141</v>
      </c>
      <c r="C4167" s="6" t="s">
        <v>13199</v>
      </c>
      <c r="D4167" s="6" t="s">
        <v>13200</v>
      </c>
      <c r="E4167" s="7" t="s">
        <v>13201</v>
      </c>
      <c r="F4167" s="13"/>
      <c r="G4167" s="14"/>
      <c r="H4167" s="15">
        <v>80</v>
      </c>
      <c r="I4167" s="15">
        <v>10</v>
      </c>
      <c r="J4167" s="17">
        <v>6620</v>
      </c>
      <c r="K4167" s="5">
        <v>80</v>
      </c>
      <c r="L4167" s="16">
        <v>33.199999999999996</v>
      </c>
      <c r="M4167" s="12"/>
      <c r="N4167" s="14">
        <f t="shared" si="193"/>
        <v>0</v>
      </c>
      <c r="O4167" s="23">
        <f>0.139*M4167</f>
        <v>0</v>
      </c>
      <c r="P4167" s="31">
        <f>0.0002*M4167</f>
        <v>0</v>
      </c>
      <c r="Q4167" s="25"/>
      <c r="R4167" s="26" t="s">
        <v>13202</v>
      </c>
      <c r="S4167" s="26" t="s">
        <v>93</v>
      </c>
      <c r="T4167" s="6" t="str">
        <f>HYPERLINK("https://kanzpp.ru/api/getInfo/image/ce4d24e5-9616-11ec-a211-ac1f6b442185")</f>
        <v>https://kanzpp.ru/api/getInfo/image/ce4d24e5-9616-11ec-a211-ac1f6b442185</v>
      </c>
      <c r="U4167" s="6"/>
      <c r="V4167" s="33" t="s">
        <v>35</v>
      </c>
    </row>
    <row r="4168" spans="2:22" ht="21" customHeight="1" outlineLevel="6" x14ac:dyDescent="0.2">
      <c r="B4168" s="69">
        <v>3142</v>
      </c>
      <c r="C4168" s="6" t="s">
        <v>13203</v>
      </c>
      <c r="D4168" s="6" t="s">
        <v>13204</v>
      </c>
      <c r="E4168" s="7" t="s">
        <v>13205</v>
      </c>
      <c r="F4168" s="13"/>
      <c r="G4168" s="14"/>
      <c r="H4168" s="15">
        <v>80</v>
      </c>
      <c r="I4168" s="15">
        <v>10</v>
      </c>
      <c r="J4168" s="15">
        <v>141</v>
      </c>
      <c r="K4168" s="5">
        <v>80</v>
      </c>
      <c r="L4168" s="16">
        <v>33.199999999999996</v>
      </c>
      <c r="M4168" s="12"/>
      <c r="N4168" s="14">
        <f t="shared" si="193"/>
        <v>0</v>
      </c>
      <c r="O4168" s="23">
        <f>0.142*M4168</f>
        <v>0</v>
      </c>
      <c r="P4168" s="24">
        <f>0.00021*M4168</f>
        <v>0</v>
      </c>
      <c r="Q4168" s="25"/>
      <c r="R4168" s="26" t="s">
        <v>13206</v>
      </c>
      <c r="S4168" s="26" t="s">
        <v>93</v>
      </c>
      <c r="T4168" s="6" t="str">
        <f>HYPERLINK("https://kanzpp.ru/api/getInfo/image/22f76cd4-9617-11ec-a211-ac1f6b442185")</f>
        <v>https://kanzpp.ru/api/getInfo/image/22f76cd4-9617-11ec-a211-ac1f6b442185</v>
      </c>
      <c r="U4168" s="6"/>
      <c r="V4168" s="33" t="s">
        <v>35</v>
      </c>
    </row>
    <row r="4169" spans="2:22" ht="21" customHeight="1" outlineLevel="6" x14ac:dyDescent="0.2">
      <c r="B4169" s="69">
        <v>3143</v>
      </c>
      <c r="C4169" s="6" t="s">
        <v>13207</v>
      </c>
      <c r="D4169" s="6" t="s">
        <v>13208</v>
      </c>
      <c r="E4169" s="7" t="s">
        <v>1048</v>
      </c>
      <c r="F4169" s="13"/>
      <c r="G4169" s="14"/>
      <c r="H4169" s="15">
        <v>80</v>
      </c>
      <c r="I4169" s="15">
        <v>10</v>
      </c>
      <c r="J4169" s="17">
        <v>3451</v>
      </c>
      <c r="K4169" s="5">
        <v>80</v>
      </c>
      <c r="L4169" s="16">
        <v>33.199999999999996</v>
      </c>
      <c r="M4169" s="12"/>
      <c r="N4169" s="14">
        <f t="shared" si="193"/>
        <v>0</v>
      </c>
      <c r="O4169" s="23">
        <f>0.136*M4169</f>
        <v>0</v>
      </c>
      <c r="P4169" s="24">
        <f>0.00018*M4169</f>
        <v>0</v>
      </c>
      <c r="Q4169" s="25"/>
      <c r="R4169" s="26" t="s">
        <v>1049</v>
      </c>
      <c r="S4169" s="26" t="s">
        <v>93</v>
      </c>
      <c r="T4169" s="6" t="str">
        <f>HYPERLINK("https://kanzpp.ru/api/getInfo/image/477f1454-9617-11ec-a211-ac1f6b442185")</f>
        <v>https://kanzpp.ru/api/getInfo/image/477f1454-9617-11ec-a211-ac1f6b442185</v>
      </c>
      <c r="U4169" s="6"/>
      <c r="V4169" s="33" t="s">
        <v>35</v>
      </c>
    </row>
    <row r="4170" spans="2:22" ht="21" customHeight="1" outlineLevel="6" x14ac:dyDescent="0.2">
      <c r="B4170" s="69">
        <v>3144</v>
      </c>
      <c r="C4170" s="6" t="s">
        <v>13209</v>
      </c>
      <c r="D4170" s="6" t="s">
        <v>13210</v>
      </c>
      <c r="E4170" s="7" t="s">
        <v>13211</v>
      </c>
      <c r="F4170" s="13"/>
      <c r="G4170" s="14"/>
      <c r="H4170" s="15">
        <v>100</v>
      </c>
      <c r="I4170" s="15">
        <v>10</v>
      </c>
      <c r="J4170" s="15">
        <v>458</v>
      </c>
      <c r="K4170" s="5">
        <v>100</v>
      </c>
      <c r="L4170" s="16">
        <v>33.199999999999996</v>
      </c>
      <c r="M4170" s="12"/>
      <c r="N4170" s="14">
        <f t="shared" si="193"/>
        <v>0</v>
      </c>
      <c r="O4170" s="28">
        <f>0.14*M4170</f>
        <v>0</v>
      </c>
      <c r="P4170" s="24">
        <f>0.00014*M4170</f>
        <v>0</v>
      </c>
      <c r="Q4170" s="25"/>
      <c r="R4170" s="26" t="s">
        <v>13212</v>
      </c>
      <c r="S4170" s="26" t="s">
        <v>93</v>
      </c>
      <c r="T4170" s="6" t="str">
        <f>HYPERLINK("https://kanzpp.ru/api/getInfo/image/9b30ab11-ecd0-11ee-a25b-00155d82e908")</f>
        <v>https://kanzpp.ru/api/getInfo/image/9b30ab11-ecd0-11ee-a25b-00155d82e908</v>
      </c>
      <c r="U4170" s="6"/>
      <c r="V4170" s="33" t="s">
        <v>35</v>
      </c>
    </row>
    <row r="4171" spans="2:22" ht="21" customHeight="1" outlineLevel="6" x14ac:dyDescent="0.2">
      <c r="B4171" s="69">
        <v>3145</v>
      </c>
      <c r="C4171" s="6" t="s">
        <v>13213</v>
      </c>
      <c r="D4171" s="6" t="s">
        <v>13214</v>
      </c>
      <c r="E4171" s="7" t="s">
        <v>13215</v>
      </c>
      <c r="F4171" s="13"/>
      <c r="G4171" s="14"/>
      <c r="H4171" s="15">
        <v>100</v>
      </c>
      <c r="I4171" s="15">
        <v>10</v>
      </c>
      <c r="J4171" s="15">
        <v>640</v>
      </c>
      <c r="K4171" s="5">
        <v>100</v>
      </c>
      <c r="L4171" s="16">
        <v>33.199999999999996</v>
      </c>
      <c r="M4171" s="12"/>
      <c r="N4171" s="14">
        <f t="shared" si="193"/>
        <v>0</v>
      </c>
      <c r="O4171" s="23">
        <f>0.105*M4171</f>
        <v>0</v>
      </c>
      <c r="P4171" s="24">
        <f>0.00014*M4171</f>
        <v>0</v>
      </c>
      <c r="Q4171" s="25"/>
      <c r="R4171" s="26" t="s">
        <v>13216</v>
      </c>
      <c r="S4171" s="26" t="s">
        <v>93</v>
      </c>
      <c r="T4171" s="6" t="str">
        <f>HYPERLINK("https://kanzpp.ru/api/getInfo/image/c320609a-ecd0-11ee-a25b-00155d82e908")</f>
        <v>https://kanzpp.ru/api/getInfo/image/c320609a-ecd0-11ee-a25b-00155d82e908</v>
      </c>
      <c r="U4171" s="6"/>
      <c r="V4171" s="33" t="s">
        <v>35</v>
      </c>
    </row>
    <row r="4172" spans="2:22" ht="21" customHeight="1" outlineLevel="6" x14ac:dyDescent="0.2">
      <c r="B4172" s="69">
        <v>3146</v>
      </c>
      <c r="C4172" s="6" t="s">
        <v>13217</v>
      </c>
      <c r="D4172" s="6" t="s">
        <v>13218</v>
      </c>
      <c r="E4172" s="7" t="s">
        <v>13219</v>
      </c>
      <c r="F4172" s="13"/>
      <c r="G4172" s="14"/>
      <c r="H4172" s="15">
        <v>100</v>
      </c>
      <c r="I4172" s="15">
        <v>10</v>
      </c>
      <c r="J4172" s="17">
        <v>1990</v>
      </c>
      <c r="K4172" s="5">
        <v>100</v>
      </c>
      <c r="L4172" s="16">
        <v>33.199999999999996</v>
      </c>
      <c r="M4172" s="12"/>
      <c r="N4172" s="14">
        <f t="shared" si="193"/>
        <v>0</v>
      </c>
      <c r="O4172" s="23">
        <f>0.155*M4172</f>
        <v>0</v>
      </c>
      <c r="P4172" s="24">
        <f>0.00024*M4172</f>
        <v>0</v>
      </c>
      <c r="Q4172" s="25"/>
      <c r="R4172" s="26" t="s">
        <v>13220</v>
      </c>
      <c r="S4172" s="26" t="s">
        <v>93</v>
      </c>
      <c r="T4172" s="6"/>
      <c r="U4172" s="6"/>
      <c r="V4172" s="33" t="s">
        <v>35</v>
      </c>
    </row>
    <row r="4173" spans="2:22" ht="21" customHeight="1" outlineLevel="6" x14ac:dyDescent="0.2">
      <c r="B4173" s="69">
        <v>3147</v>
      </c>
      <c r="C4173" s="6" t="s">
        <v>13221</v>
      </c>
      <c r="D4173" s="6" t="s">
        <v>13222</v>
      </c>
      <c r="E4173" s="7" t="s">
        <v>13223</v>
      </c>
      <c r="F4173" s="13"/>
      <c r="G4173" s="14"/>
      <c r="H4173" s="15">
        <v>100</v>
      </c>
      <c r="I4173" s="15">
        <v>10</v>
      </c>
      <c r="J4173" s="17">
        <v>3300</v>
      </c>
      <c r="K4173" s="5">
        <v>100</v>
      </c>
      <c r="L4173" s="16">
        <v>33.199999999999996</v>
      </c>
      <c r="M4173" s="12"/>
      <c r="N4173" s="14">
        <f t="shared" si="193"/>
        <v>0</v>
      </c>
      <c r="O4173" s="23">
        <f>0.142*M4173</f>
        <v>0</v>
      </c>
      <c r="P4173" s="24">
        <f>0.00017*M4173</f>
        <v>0</v>
      </c>
      <c r="Q4173" s="25"/>
      <c r="R4173" s="26" t="s">
        <v>13224</v>
      </c>
      <c r="S4173" s="26" t="s">
        <v>93</v>
      </c>
      <c r="T4173" s="6"/>
      <c r="U4173" s="6"/>
      <c r="V4173" s="33" t="s">
        <v>35</v>
      </c>
    </row>
    <row r="4174" spans="2:22" ht="21" customHeight="1" outlineLevel="6" x14ac:dyDescent="0.2">
      <c r="B4174" s="69">
        <v>3148</v>
      </c>
      <c r="C4174" s="6" t="s">
        <v>13225</v>
      </c>
      <c r="D4174" s="6" t="s">
        <v>13226</v>
      </c>
      <c r="E4174" s="7" t="s">
        <v>13227</v>
      </c>
      <c r="F4174" s="13"/>
      <c r="G4174" s="14"/>
      <c r="H4174" s="15">
        <v>100</v>
      </c>
      <c r="I4174" s="15">
        <v>10</v>
      </c>
      <c r="J4174" s="17">
        <v>1635</v>
      </c>
      <c r="K4174" s="5">
        <v>100</v>
      </c>
      <c r="L4174" s="16">
        <v>33.199999999999996</v>
      </c>
      <c r="M4174" s="12"/>
      <c r="N4174" s="14">
        <f t="shared" si="193"/>
        <v>0</v>
      </c>
      <c r="O4174" s="23">
        <f>0.155*M4174</f>
        <v>0</v>
      </c>
      <c r="P4174" s="24">
        <f>0.00024*M4174</f>
        <v>0</v>
      </c>
      <c r="Q4174" s="25"/>
      <c r="R4174" s="26" t="s">
        <v>13228</v>
      </c>
      <c r="S4174" s="26" t="s">
        <v>93</v>
      </c>
      <c r="T4174" s="6"/>
      <c r="U4174" s="6"/>
      <c r="V4174" s="33" t="s">
        <v>35</v>
      </c>
    </row>
    <row r="4175" spans="2:22" ht="21" customHeight="1" outlineLevel="6" x14ac:dyDescent="0.2">
      <c r="B4175" s="69">
        <v>3149</v>
      </c>
      <c r="C4175" s="6" t="s">
        <v>13229</v>
      </c>
      <c r="D4175" s="6" t="s">
        <v>13230</v>
      </c>
      <c r="E4175" s="7" t="s">
        <v>13231</v>
      </c>
      <c r="F4175" s="13"/>
      <c r="G4175" s="14"/>
      <c r="H4175" s="15">
        <v>100</v>
      </c>
      <c r="I4175" s="15">
        <v>10</v>
      </c>
      <c r="J4175" s="17">
        <v>2980</v>
      </c>
      <c r="K4175" s="5">
        <v>100</v>
      </c>
      <c r="L4175" s="16">
        <v>33.199999999999996</v>
      </c>
      <c r="M4175" s="12"/>
      <c r="N4175" s="14">
        <f t="shared" si="193"/>
        <v>0</v>
      </c>
      <c r="O4175" s="23">
        <f>0.155*M4175</f>
        <v>0</v>
      </c>
      <c r="P4175" s="24">
        <f>0.00024*M4175</f>
        <v>0</v>
      </c>
      <c r="Q4175" s="25"/>
      <c r="R4175" s="26" t="s">
        <v>13232</v>
      </c>
      <c r="S4175" s="26" t="s">
        <v>93</v>
      </c>
      <c r="T4175" s="6"/>
      <c r="U4175" s="6"/>
      <c r="V4175" s="33" t="s">
        <v>35</v>
      </c>
    </row>
    <row r="4176" spans="2:22" ht="21" customHeight="1" outlineLevel="6" x14ac:dyDescent="0.2">
      <c r="B4176" s="69">
        <v>3150</v>
      </c>
      <c r="C4176" s="6" t="s">
        <v>13233</v>
      </c>
      <c r="D4176" s="6" t="s">
        <v>13234</v>
      </c>
      <c r="E4176" s="7" t="s">
        <v>13235</v>
      </c>
      <c r="F4176" s="13"/>
      <c r="G4176" s="14"/>
      <c r="H4176" s="15">
        <v>100</v>
      </c>
      <c r="I4176" s="15">
        <v>10</v>
      </c>
      <c r="J4176" s="17">
        <v>3000</v>
      </c>
      <c r="K4176" s="5">
        <v>100</v>
      </c>
      <c r="L4176" s="16">
        <v>33.199999999999996</v>
      </c>
      <c r="M4176" s="12"/>
      <c r="N4176" s="14">
        <f t="shared" si="193"/>
        <v>0</v>
      </c>
      <c r="O4176" s="23">
        <f>0.141*M4176</f>
        <v>0</v>
      </c>
      <c r="P4176" s="24">
        <f>0.00027*M4176</f>
        <v>0</v>
      </c>
      <c r="Q4176" s="25"/>
      <c r="R4176" s="26" t="s">
        <v>13236</v>
      </c>
      <c r="S4176" s="26" t="s">
        <v>93</v>
      </c>
      <c r="T4176" s="6"/>
      <c r="U4176" s="6"/>
      <c r="V4176" s="33" t="s">
        <v>35</v>
      </c>
    </row>
    <row r="4177" spans="2:21" ht="22.95" customHeight="1" outlineLevel="5" x14ac:dyDescent="0.2">
      <c r="B4177" s="83" t="s">
        <v>13237</v>
      </c>
      <c r="C4177" s="83"/>
      <c r="D4177" s="83"/>
      <c r="L4177">
        <v>0</v>
      </c>
    </row>
    <row r="4178" spans="2:21" ht="21" customHeight="1" outlineLevel="6" x14ac:dyDescent="0.2">
      <c r="B4178" s="71">
        <v>3151</v>
      </c>
      <c r="C4178" s="37" t="s">
        <v>13238</v>
      </c>
      <c r="D4178" s="37" t="s">
        <v>13239</v>
      </c>
      <c r="E4178" s="38" t="s">
        <v>13240</v>
      </c>
      <c r="F4178" s="39"/>
      <c r="G4178" s="40"/>
      <c r="H4178" s="41">
        <v>100</v>
      </c>
      <c r="I4178" s="41">
        <v>5</v>
      </c>
      <c r="J4178" s="50">
        <v>5910</v>
      </c>
      <c r="K4178" s="36">
        <v>100</v>
      </c>
      <c r="L4178" s="42">
        <f>(39.49*(1-O3/100))/0.75</f>
        <v>52.653333333333336</v>
      </c>
      <c r="M4178" s="12"/>
      <c r="N4178" s="40">
        <f>L4178*M4178</f>
        <v>0</v>
      </c>
      <c r="O4178" s="43">
        <f>0.108*M4178</f>
        <v>0</v>
      </c>
      <c r="P4178" s="47">
        <f>0.00024*M4178</f>
        <v>0</v>
      </c>
      <c r="Q4178" s="44"/>
      <c r="R4178" s="45" t="s">
        <v>13241</v>
      </c>
      <c r="S4178" s="45" t="s">
        <v>93</v>
      </c>
      <c r="T4178" s="37" t="str">
        <f>HYPERLINK("https://kanzpp.ru/api/getInfo/image/66b186ce-a8f3-11f0-a286-00155d82e908")</f>
        <v>https://kanzpp.ru/api/getInfo/image/66b186ce-a8f3-11f0-a286-00155d82e908</v>
      </c>
      <c r="U4178" s="37"/>
    </row>
    <row r="4179" spans="2:21" ht="21" customHeight="1" outlineLevel="6" x14ac:dyDescent="0.2">
      <c r="B4179" s="71">
        <v>3152</v>
      </c>
      <c r="C4179" s="37" t="s">
        <v>13242</v>
      </c>
      <c r="D4179" s="37" t="s">
        <v>13243</v>
      </c>
      <c r="E4179" s="38" t="s">
        <v>13244</v>
      </c>
      <c r="F4179" s="39"/>
      <c r="G4179" s="40"/>
      <c r="H4179" s="41">
        <v>100</v>
      </c>
      <c r="I4179" s="41">
        <v>5</v>
      </c>
      <c r="J4179" s="50">
        <v>2939</v>
      </c>
      <c r="K4179" s="36">
        <v>100</v>
      </c>
      <c r="L4179" s="42">
        <f>(39.49*(1-O3/100))/0.75</f>
        <v>52.653333333333336</v>
      </c>
      <c r="M4179" s="12"/>
      <c r="N4179" s="40">
        <f>L4179*M4179</f>
        <v>0</v>
      </c>
      <c r="O4179" s="43">
        <f>0.105*M4179</f>
        <v>0</v>
      </c>
      <c r="P4179" s="47">
        <f>0.00031*M4179</f>
        <v>0</v>
      </c>
      <c r="Q4179" s="44"/>
      <c r="R4179" s="45" t="s">
        <v>13245</v>
      </c>
      <c r="S4179" s="45" t="s">
        <v>93</v>
      </c>
      <c r="T4179" s="37" t="str">
        <f>HYPERLINK("https://kanzpp.ru/api/getInfo/image/ad170905-a8f3-11f0-a286-00155d82e908")</f>
        <v>https://kanzpp.ru/api/getInfo/image/ad170905-a8f3-11f0-a286-00155d82e908</v>
      </c>
      <c r="U4179" s="37"/>
    </row>
    <row r="4180" spans="2:21" ht="21" customHeight="1" outlineLevel="6" x14ac:dyDescent="0.2">
      <c r="B4180" s="71">
        <v>3153</v>
      </c>
      <c r="C4180" s="37" t="s">
        <v>13246</v>
      </c>
      <c r="D4180" s="37" t="s">
        <v>13247</v>
      </c>
      <c r="E4180" s="38" t="s">
        <v>13248</v>
      </c>
      <c r="F4180" s="39"/>
      <c r="G4180" s="40"/>
      <c r="H4180" s="41">
        <v>100</v>
      </c>
      <c r="I4180" s="41">
        <v>5</v>
      </c>
      <c r="J4180" s="50">
        <v>5750</v>
      </c>
      <c r="K4180" s="36">
        <v>100</v>
      </c>
      <c r="L4180" s="42">
        <f>(39.49*(1-O3/100))/0.75</f>
        <v>52.653333333333336</v>
      </c>
      <c r="M4180" s="12"/>
      <c r="N4180" s="40">
        <f>L4180*M4180</f>
        <v>0</v>
      </c>
      <c r="O4180" s="43">
        <f>0.207*M4180</f>
        <v>0</v>
      </c>
      <c r="P4180" s="47">
        <f>0.00048*M4180</f>
        <v>0</v>
      </c>
      <c r="Q4180" s="44"/>
      <c r="R4180" s="45" t="s">
        <v>13249</v>
      </c>
      <c r="S4180" s="45" t="s">
        <v>93</v>
      </c>
      <c r="T4180" s="37" t="str">
        <f>HYPERLINK("https://kanzpp.ru/api/getInfo/image/25cd6c9d-a8f5-11f0-a286-00155d82e908")</f>
        <v>https://kanzpp.ru/api/getInfo/image/25cd6c9d-a8f5-11f0-a286-00155d82e908</v>
      </c>
      <c r="U4180" s="37"/>
    </row>
    <row r="4181" spans="2:21" ht="21" customHeight="1" outlineLevel="6" x14ac:dyDescent="0.2">
      <c r="B4181" s="71">
        <v>3154</v>
      </c>
      <c r="C4181" s="37" t="s">
        <v>13250</v>
      </c>
      <c r="D4181" s="37" t="s">
        <v>13251</v>
      </c>
      <c r="E4181" s="38" t="s">
        <v>13252</v>
      </c>
      <c r="F4181" s="39"/>
      <c r="G4181" s="40"/>
      <c r="H4181" s="41">
        <v>100</v>
      </c>
      <c r="I4181" s="41">
        <v>5</v>
      </c>
      <c r="J4181" s="50">
        <v>9460</v>
      </c>
      <c r="K4181" s="36">
        <v>100</v>
      </c>
      <c r="L4181" s="42">
        <f>(39.49*(1-O3/100))/0.75</f>
        <v>52.653333333333336</v>
      </c>
      <c r="M4181" s="12"/>
      <c r="N4181" s="40">
        <f>L4181*M4181</f>
        <v>0</v>
      </c>
      <c r="O4181" s="43">
        <f>0.108*M4181</f>
        <v>0</v>
      </c>
      <c r="P4181" s="47">
        <f>0.00021*M4181</f>
        <v>0</v>
      </c>
      <c r="Q4181" s="44"/>
      <c r="R4181" s="45" t="s">
        <v>13253</v>
      </c>
      <c r="S4181" s="45" t="s">
        <v>93</v>
      </c>
      <c r="T4181" s="37" t="str">
        <f>HYPERLINK("https://kanzpp.ru/api/getInfo/image/55ad92ed-a8f4-11f0-a286-00155d82e908")</f>
        <v>https://kanzpp.ru/api/getInfo/image/55ad92ed-a8f4-11f0-a286-00155d82e908</v>
      </c>
      <c r="U4181" s="37"/>
    </row>
    <row r="4182" spans="2:21" ht="22.95" customHeight="1" outlineLevel="5" x14ac:dyDescent="0.2">
      <c r="B4182" s="83" t="s">
        <v>13254</v>
      </c>
      <c r="C4182" s="83"/>
      <c r="D4182" s="83"/>
      <c r="L4182">
        <v>0</v>
      </c>
    </row>
    <row r="4183" spans="2:21" ht="21" customHeight="1" outlineLevel="6" x14ac:dyDescent="0.2">
      <c r="B4183" s="71">
        <v>3155</v>
      </c>
      <c r="C4183" s="37" t="s">
        <v>13255</v>
      </c>
      <c r="D4183" s="37" t="s">
        <v>13256</v>
      </c>
      <c r="E4183" s="38" t="s">
        <v>13257</v>
      </c>
      <c r="F4183" s="39"/>
      <c r="G4183" s="40"/>
      <c r="H4183" s="41">
        <v>100</v>
      </c>
      <c r="I4183" s="41">
        <v>5</v>
      </c>
      <c r="J4183" s="50">
        <v>5050</v>
      </c>
      <c r="K4183" s="36">
        <v>100</v>
      </c>
      <c r="L4183" s="42">
        <f>(37.87*(1-O3/100))/0.75</f>
        <v>50.493333333333332</v>
      </c>
      <c r="M4183" s="12"/>
      <c r="N4183" s="40">
        <f>L4183*M4183</f>
        <v>0</v>
      </c>
      <c r="O4183" s="43">
        <f>0.107*M4183</f>
        <v>0</v>
      </c>
      <c r="P4183" s="47">
        <f>0.00021*M4183</f>
        <v>0</v>
      </c>
      <c r="Q4183" s="44"/>
      <c r="R4183" s="45" t="s">
        <v>13258</v>
      </c>
      <c r="S4183" s="45" t="s">
        <v>93</v>
      </c>
      <c r="T4183" s="37" t="str">
        <f>HYPERLINK("https://kanzpp.ru/api/getInfo/image/8c469b28-b2f4-11ef-a267-00155d82e908")</f>
        <v>https://kanzpp.ru/api/getInfo/image/8c469b28-b2f4-11ef-a267-00155d82e908</v>
      </c>
      <c r="U4183" s="37"/>
    </row>
    <row r="4184" spans="2:21" ht="22.95" customHeight="1" outlineLevel="5" x14ac:dyDescent="0.2">
      <c r="B4184" s="83" t="s">
        <v>13259</v>
      </c>
      <c r="C4184" s="83"/>
      <c r="D4184" s="83"/>
      <c r="L4184">
        <v>0</v>
      </c>
    </row>
    <row r="4185" spans="2:21" ht="21" customHeight="1" outlineLevel="6" x14ac:dyDescent="0.2">
      <c r="B4185" s="71">
        <v>3156</v>
      </c>
      <c r="C4185" s="37" t="s">
        <v>13260</v>
      </c>
      <c r="D4185" s="37" t="s">
        <v>13261</v>
      </c>
      <c r="E4185" s="38" t="s">
        <v>13262</v>
      </c>
      <c r="F4185" s="39"/>
      <c r="G4185" s="40"/>
      <c r="H4185" s="41">
        <v>100</v>
      </c>
      <c r="I4185" s="41">
        <v>5</v>
      </c>
      <c r="J4185" s="41">
        <v>220</v>
      </c>
      <c r="K4185" s="36">
        <v>100</v>
      </c>
      <c r="L4185" s="42">
        <f>(39.49*(1-O3/100))/0.75</f>
        <v>52.653333333333336</v>
      </c>
      <c r="M4185" s="12"/>
      <c r="N4185" s="40">
        <f>L4185*M4185</f>
        <v>0</v>
      </c>
      <c r="O4185" s="43">
        <f>0.109*M4185</f>
        <v>0</v>
      </c>
      <c r="P4185" s="47">
        <f>0.00024*M4185</f>
        <v>0</v>
      </c>
      <c r="Q4185" s="44"/>
      <c r="R4185" s="45" t="s">
        <v>13263</v>
      </c>
      <c r="S4185" s="45" t="s">
        <v>93</v>
      </c>
      <c r="T4185" s="37" t="str">
        <f>HYPERLINK("https://kanzpp.ru/api/getInfo/image/dd8bd6f1-58ab-11f0-a27f-00155d82e908")</f>
        <v>https://kanzpp.ru/api/getInfo/image/dd8bd6f1-58ab-11f0-a27f-00155d82e908</v>
      </c>
      <c r="U4185" s="37"/>
    </row>
    <row r="4186" spans="2:21" ht="21" customHeight="1" outlineLevel="6" x14ac:dyDescent="0.2">
      <c r="B4186" s="71">
        <v>3157</v>
      </c>
      <c r="C4186" s="37" t="s">
        <v>13264</v>
      </c>
      <c r="D4186" s="37" t="s">
        <v>13265</v>
      </c>
      <c r="E4186" s="38" t="s">
        <v>13266</v>
      </c>
      <c r="F4186" s="39"/>
      <c r="G4186" s="40"/>
      <c r="H4186" s="41">
        <v>100</v>
      </c>
      <c r="I4186" s="41">
        <v>5</v>
      </c>
      <c r="J4186" s="50">
        <v>3060</v>
      </c>
      <c r="K4186" s="36">
        <v>100</v>
      </c>
      <c r="L4186" s="42">
        <f>(39.49*(1-O3/100))/0.75</f>
        <v>52.653333333333336</v>
      </c>
      <c r="M4186" s="12"/>
      <c r="N4186" s="40">
        <f>L4186*M4186</f>
        <v>0</v>
      </c>
      <c r="O4186" s="43">
        <f>0.111*M4186</f>
        <v>0</v>
      </c>
      <c r="P4186" s="47">
        <f>0.00018*M4186</f>
        <v>0</v>
      </c>
      <c r="Q4186" s="44"/>
      <c r="R4186" s="45" t="s">
        <v>13267</v>
      </c>
      <c r="S4186" s="45" t="s">
        <v>93</v>
      </c>
      <c r="T4186" s="37" t="str">
        <f>HYPERLINK("https://kanzpp.ru/api/getInfo/image/e2209f25-7f24-11ef-a265-00155d82e908")</f>
        <v>https://kanzpp.ru/api/getInfo/image/e2209f25-7f24-11ef-a265-00155d82e908</v>
      </c>
      <c r="U4186" s="37"/>
    </row>
    <row r="4187" spans="2:21" ht="21" customHeight="1" outlineLevel="6" x14ac:dyDescent="0.2">
      <c r="B4187" s="71">
        <v>3158</v>
      </c>
      <c r="C4187" s="37" t="s">
        <v>13268</v>
      </c>
      <c r="D4187" s="37" t="s">
        <v>13269</v>
      </c>
      <c r="E4187" s="38" t="s">
        <v>13270</v>
      </c>
      <c r="F4187" s="39"/>
      <c r="G4187" s="40"/>
      <c r="H4187" s="41">
        <v>100</v>
      </c>
      <c r="I4187" s="41">
        <v>5</v>
      </c>
      <c r="J4187" s="50">
        <v>7320</v>
      </c>
      <c r="K4187" s="36">
        <v>100</v>
      </c>
      <c r="L4187" s="42">
        <f>(39.49*(1-O3/100))/0.75</f>
        <v>52.653333333333336</v>
      </c>
      <c r="M4187" s="12"/>
      <c r="N4187" s="40">
        <f>L4187*M4187</f>
        <v>0</v>
      </c>
      <c r="O4187" s="43">
        <f>11.106*M4187</f>
        <v>0</v>
      </c>
      <c r="P4187" s="46">
        <f>0.0222*M4187</f>
        <v>0</v>
      </c>
      <c r="Q4187" s="44"/>
      <c r="R4187" s="45" t="s">
        <v>13271</v>
      </c>
      <c r="S4187" s="45" t="s">
        <v>93</v>
      </c>
      <c r="T4187" s="37" t="str">
        <f>HYPERLINK("https://kanzpp.ru/api/getInfo/image/13d6898d-7f25-11ef-a265-00155d82e908")</f>
        <v>https://kanzpp.ru/api/getInfo/image/13d6898d-7f25-11ef-a265-00155d82e908</v>
      </c>
      <c r="U4187" s="37"/>
    </row>
    <row r="4188" spans="2:21" ht="22.95" customHeight="1" outlineLevel="5" x14ac:dyDescent="0.2">
      <c r="B4188" s="83" t="s">
        <v>13272</v>
      </c>
      <c r="C4188" s="83"/>
      <c r="D4188" s="83"/>
      <c r="L4188">
        <v>0</v>
      </c>
    </row>
    <row r="4189" spans="2:21" ht="21" customHeight="1" outlineLevel="6" x14ac:dyDescent="0.2">
      <c r="B4189" s="71">
        <v>3159</v>
      </c>
      <c r="C4189" s="37" t="s">
        <v>13273</v>
      </c>
      <c r="D4189" s="37" t="s">
        <v>13274</v>
      </c>
      <c r="E4189" s="38" t="s">
        <v>13275</v>
      </c>
      <c r="F4189" s="39"/>
      <c r="G4189" s="40"/>
      <c r="H4189" s="41">
        <v>100</v>
      </c>
      <c r="I4189" s="41">
        <v>5</v>
      </c>
      <c r="J4189" s="40" t="s">
        <v>144</v>
      </c>
      <c r="K4189" s="36">
        <v>100</v>
      </c>
      <c r="L4189" s="42">
        <f>(39.49*(1-O3/100))/0.75</f>
        <v>52.653333333333336</v>
      </c>
      <c r="M4189" s="12"/>
      <c r="N4189" s="40">
        <f>L4189*M4189</f>
        <v>0</v>
      </c>
      <c r="O4189" s="43">
        <f>0.109*M4189</f>
        <v>0</v>
      </c>
      <c r="P4189" s="47">
        <f>0.00024*M4189</f>
        <v>0</v>
      </c>
      <c r="Q4189" s="44"/>
      <c r="R4189" s="45" t="s">
        <v>13276</v>
      </c>
      <c r="S4189" s="45" t="s">
        <v>93</v>
      </c>
      <c r="T4189" s="37" t="str">
        <f>HYPERLINK("https://kanzpp.ru/api/getInfo/image/c254175f-58aa-11f0-a27f-00155d82e908")</f>
        <v>https://kanzpp.ru/api/getInfo/image/c254175f-58aa-11f0-a27f-00155d82e908</v>
      </c>
      <c r="U4189" s="37"/>
    </row>
    <row r="4190" spans="2:21" ht="21" customHeight="1" outlineLevel="6" x14ac:dyDescent="0.2">
      <c r="B4190" s="71">
        <v>3160</v>
      </c>
      <c r="C4190" s="37" t="s">
        <v>13277</v>
      </c>
      <c r="D4190" s="37" t="s">
        <v>13278</v>
      </c>
      <c r="E4190" s="38" t="s">
        <v>13279</v>
      </c>
      <c r="F4190" s="39"/>
      <c r="G4190" s="40"/>
      <c r="H4190" s="41">
        <v>100</v>
      </c>
      <c r="I4190" s="41">
        <v>5</v>
      </c>
      <c r="J4190" s="50">
        <v>1010</v>
      </c>
      <c r="K4190" s="36">
        <v>100</v>
      </c>
      <c r="L4190" s="42">
        <f>(39.49*(1-O3/100))/0.75</f>
        <v>52.653333333333336</v>
      </c>
      <c r="M4190" s="12"/>
      <c r="N4190" s="40">
        <f>L4190*M4190</f>
        <v>0</v>
      </c>
      <c r="O4190" s="43">
        <f>0.108*M4190</f>
        <v>0</v>
      </c>
      <c r="P4190" s="47">
        <f>0.00021*M4190</f>
        <v>0</v>
      </c>
      <c r="Q4190" s="44"/>
      <c r="R4190" s="45" t="s">
        <v>13280</v>
      </c>
      <c r="S4190" s="45" t="s">
        <v>93</v>
      </c>
      <c r="T4190" s="37" t="str">
        <f>HYPERLINK("https://kanzpp.ru/api/getInfo/image/a484a11a-ce7b-11f0-a28b-00155d82e908")</f>
        <v>https://kanzpp.ru/api/getInfo/image/a484a11a-ce7b-11f0-a28b-00155d82e908</v>
      </c>
      <c r="U4190" s="37"/>
    </row>
    <row r="4191" spans="2:21" ht="21" customHeight="1" outlineLevel="6" x14ac:dyDescent="0.2">
      <c r="B4191" s="71">
        <v>3161</v>
      </c>
      <c r="C4191" s="37" t="s">
        <v>13281</v>
      </c>
      <c r="D4191" s="37" t="s">
        <v>13282</v>
      </c>
      <c r="E4191" s="38" t="s">
        <v>13283</v>
      </c>
      <c r="F4191" s="39"/>
      <c r="G4191" s="40"/>
      <c r="H4191" s="41">
        <v>100</v>
      </c>
      <c r="I4191" s="41">
        <v>5</v>
      </c>
      <c r="J4191" s="41">
        <v>300</v>
      </c>
      <c r="K4191" s="36">
        <v>100</v>
      </c>
      <c r="L4191" s="42">
        <f>(39.49*(1-O3/100))/0.75</f>
        <v>52.653333333333336</v>
      </c>
      <c r="M4191" s="12"/>
      <c r="N4191" s="40">
        <f>L4191*M4191</f>
        <v>0</v>
      </c>
      <c r="O4191" s="43">
        <f>0.109*M4191</f>
        <v>0</v>
      </c>
      <c r="P4191" s="47">
        <f>0.00024*M4191</f>
        <v>0</v>
      </c>
      <c r="Q4191" s="44"/>
      <c r="R4191" s="45" t="s">
        <v>13284</v>
      </c>
      <c r="S4191" s="45" t="s">
        <v>93</v>
      </c>
      <c r="T4191" s="37" t="str">
        <f>HYPERLINK("https://kanzpp.ru/api/getInfo/image/edb99d49-58aa-11f0-a27f-00155d82e908")</f>
        <v>https://kanzpp.ru/api/getInfo/image/edb99d49-58aa-11f0-a27f-00155d82e908</v>
      </c>
      <c r="U4191" s="37"/>
    </row>
    <row r="4192" spans="2:21" ht="21" customHeight="1" outlineLevel="6" x14ac:dyDescent="0.2">
      <c r="B4192" s="71">
        <v>3162</v>
      </c>
      <c r="C4192" s="37" t="s">
        <v>13285</v>
      </c>
      <c r="D4192" s="37" t="s">
        <v>13286</v>
      </c>
      <c r="E4192" s="38" t="s">
        <v>13287</v>
      </c>
      <c r="F4192" s="39"/>
      <c r="G4192" s="40"/>
      <c r="H4192" s="41">
        <v>100</v>
      </c>
      <c r="I4192" s="41">
        <v>5</v>
      </c>
      <c r="J4192" s="50">
        <v>5980</v>
      </c>
      <c r="K4192" s="36">
        <v>100</v>
      </c>
      <c r="L4192" s="42">
        <f>(39.49*(1-O3/100))/0.75</f>
        <v>52.653333333333336</v>
      </c>
      <c r="M4192" s="12"/>
      <c r="N4192" s="40">
        <f>L4192*M4192</f>
        <v>0</v>
      </c>
      <c r="O4192" s="48">
        <f>0.11*M4192</f>
        <v>0</v>
      </c>
      <c r="P4192" s="47">
        <f>0.00017*M4192</f>
        <v>0</v>
      </c>
      <c r="Q4192" s="44"/>
      <c r="R4192" s="45" t="s">
        <v>13288</v>
      </c>
      <c r="S4192" s="45" t="s">
        <v>93</v>
      </c>
      <c r="T4192" s="37" t="str">
        <f>HYPERLINK("https://kanzpp.ru/api/getInfo/image/b4d154a9-7f21-11ef-a265-00155d82e908")</f>
        <v>https://kanzpp.ru/api/getInfo/image/b4d154a9-7f21-11ef-a265-00155d82e908</v>
      </c>
      <c r="U4192" s="37"/>
    </row>
    <row r="4193" spans="2:22" ht="22.95" customHeight="1" outlineLevel="5" x14ac:dyDescent="0.2">
      <c r="B4193" s="83" t="s">
        <v>13289</v>
      </c>
      <c r="C4193" s="83"/>
      <c r="D4193" s="83"/>
      <c r="L4193">
        <v>0</v>
      </c>
    </row>
    <row r="4194" spans="2:22" ht="21" customHeight="1" outlineLevel="6" x14ac:dyDescent="0.2">
      <c r="B4194" s="71">
        <v>3163</v>
      </c>
      <c r="C4194" s="37" t="s">
        <v>13290</v>
      </c>
      <c r="D4194" s="37" t="s">
        <v>13291</v>
      </c>
      <c r="E4194" s="38" t="s">
        <v>13292</v>
      </c>
      <c r="F4194" s="39"/>
      <c r="G4194" s="40"/>
      <c r="H4194" s="41">
        <v>100</v>
      </c>
      <c r="I4194" s="41">
        <v>5</v>
      </c>
      <c r="J4194" s="50">
        <v>5347</v>
      </c>
      <c r="K4194" s="36">
        <v>100</v>
      </c>
      <c r="L4194" s="42">
        <f>(39.49*(1-O3/100))/0.75</f>
        <v>52.653333333333336</v>
      </c>
      <c r="M4194" s="12"/>
      <c r="N4194" s="40">
        <f>L4194*M4194</f>
        <v>0</v>
      </c>
      <c r="O4194" s="48">
        <f>0.11*M4194</f>
        <v>0</v>
      </c>
      <c r="P4194" s="47">
        <f>0.00032*M4194</f>
        <v>0</v>
      </c>
      <c r="Q4194" s="44"/>
      <c r="R4194" s="45" t="s">
        <v>13293</v>
      </c>
      <c r="S4194" s="45" t="s">
        <v>93</v>
      </c>
      <c r="T4194" s="37" t="str">
        <f>HYPERLINK("https://kanzpp.ru/api/getInfo/image/56c1eaf5-58a9-11f0-a27f-00155d82e908")</f>
        <v>https://kanzpp.ru/api/getInfo/image/56c1eaf5-58a9-11f0-a27f-00155d82e908</v>
      </c>
      <c r="U4194" s="37"/>
    </row>
    <row r="4195" spans="2:22" ht="21" customHeight="1" outlineLevel="6" x14ac:dyDescent="0.2">
      <c r="B4195" s="71">
        <v>3164</v>
      </c>
      <c r="C4195" s="37" t="s">
        <v>13294</v>
      </c>
      <c r="D4195" s="37" t="s">
        <v>13295</v>
      </c>
      <c r="E4195" s="38" t="s">
        <v>13296</v>
      </c>
      <c r="F4195" s="39"/>
      <c r="G4195" s="40"/>
      <c r="H4195" s="41">
        <v>100</v>
      </c>
      <c r="I4195" s="41">
        <v>5</v>
      </c>
      <c r="J4195" s="50">
        <v>2749</v>
      </c>
      <c r="K4195" s="36">
        <v>100</v>
      </c>
      <c r="L4195" s="42">
        <f>(39.49*(1-O3/100))/0.75</f>
        <v>52.653333333333336</v>
      </c>
      <c r="M4195" s="12"/>
      <c r="N4195" s="40">
        <f>L4195*M4195</f>
        <v>0</v>
      </c>
      <c r="O4195" s="43">
        <f>0.109*M4195</f>
        <v>0</v>
      </c>
      <c r="P4195" s="47">
        <f>0.00028*M4195</f>
        <v>0</v>
      </c>
      <c r="Q4195" s="44"/>
      <c r="R4195" s="45" t="s">
        <v>13297</v>
      </c>
      <c r="S4195" s="45" t="s">
        <v>93</v>
      </c>
      <c r="T4195" s="37" t="str">
        <f>HYPERLINK("https://kanzpp.ru/api/getInfo/image/b11abb20-21a1-11ef-a25f-00155d82e908")</f>
        <v>https://kanzpp.ru/api/getInfo/image/b11abb20-21a1-11ef-a25f-00155d82e908</v>
      </c>
      <c r="U4195" s="37"/>
    </row>
    <row r="4196" spans="2:22" ht="21" customHeight="1" outlineLevel="6" x14ac:dyDescent="0.2">
      <c r="B4196" s="71">
        <v>3165</v>
      </c>
      <c r="C4196" s="37" t="s">
        <v>13298</v>
      </c>
      <c r="D4196" s="37" t="s">
        <v>13299</v>
      </c>
      <c r="E4196" s="38" t="s">
        <v>13300</v>
      </c>
      <c r="F4196" s="39"/>
      <c r="G4196" s="40"/>
      <c r="H4196" s="41">
        <v>100</v>
      </c>
      <c r="I4196" s="41">
        <v>5</v>
      </c>
      <c r="J4196" s="50">
        <v>6345</v>
      </c>
      <c r="K4196" s="36">
        <v>100</v>
      </c>
      <c r="L4196" s="42">
        <f>(39.49*(1-O3/100))/0.75</f>
        <v>52.653333333333336</v>
      </c>
      <c r="M4196" s="12"/>
      <c r="N4196" s="40">
        <f>L4196*M4196</f>
        <v>0</v>
      </c>
      <c r="O4196" s="43">
        <f>0.108*M4196</f>
        <v>0</v>
      </c>
      <c r="P4196" s="47">
        <f>0.00021*M4196</f>
        <v>0</v>
      </c>
      <c r="Q4196" s="44"/>
      <c r="R4196" s="45" t="s">
        <v>13301</v>
      </c>
      <c r="S4196" s="45" t="s">
        <v>93</v>
      </c>
      <c r="T4196" s="37" t="str">
        <f>HYPERLINK("https://kanzpp.ru/api/getInfo/image/07ea1e0a-58ac-11f0-a27f-00155d82e908")</f>
        <v>https://kanzpp.ru/api/getInfo/image/07ea1e0a-58ac-11f0-a27f-00155d82e908</v>
      </c>
      <c r="U4196" s="37"/>
    </row>
    <row r="4197" spans="2:22" ht="21" customHeight="1" outlineLevel="6" x14ac:dyDescent="0.2">
      <c r="B4197" s="71">
        <v>3166</v>
      </c>
      <c r="C4197" s="37" t="s">
        <v>13302</v>
      </c>
      <c r="D4197" s="37" t="s">
        <v>13303</v>
      </c>
      <c r="E4197" s="38" t="s">
        <v>13304</v>
      </c>
      <c r="F4197" s="39"/>
      <c r="G4197" s="40"/>
      <c r="H4197" s="41">
        <v>100</v>
      </c>
      <c r="I4197" s="41">
        <v>5</v>
      </c>
      <c r="J4197" s="50">
        <v>4627</v>
      </c>
      <c r="K4197" s="36">
        <v>100</v>
      </c>
      <c r="L4197" s="42">
        <f>(39.49*(1-O3/100))/0.75</f>
        <v>52.653333333333336</v>
      </c>
      <c r="M4197" s="12"/>
      <c r="N4197" s="40">
        <f>L4197*M4197</f>
        <v>0</v>
      </c>
      <c r="O4197" s="48">
        <f>0.11*M4197</f>
        <v>0</v>
      </c>
      <c r="P4197" s="47">
        <f>0.00031*M4197</f>
        <v>0</v>
      </c>
      <c r="Q4197" s="44"/>
      <c r="R4197" s="45" t="s">
        <v>13305</v>
      </c>
      <c r="S4197" s="45" t="s">
        <v>93</v>
      </c>
      <c r="T4197" s="37" t="str">
        <f>HYPERLINK("https://kanzpp.ru/api/getInfo/image/debaeed1-21a1-11ef-a25f-00155d82e908")</f>
        <v>https://kanzpp.ru/api/getInfo/image/debaeed1-21a1-11ef-a25f-00155d82e908</v>
      </c>
      <c r="U4197" s="37"/>
    </row>
    <row r="4198" spans="2:22" ht="22.95" customHeight="1" outlineLevel="5" x14ac:dyDescent="0.2">
      <c r="B4198" s="83" t="s">
        <v>13306</v>
      </c>
      <c r="C4198" s="83"/>
      <c r="D4198" s="83"/>
      <c r="L4198">
        <v>0</v>
      </c>
    </row>
    <row r="4199" spans="2:22" ht="21" customHeight="1" outlineLevel="6" x14ac:dyDescent="0.2">
      <c r="B4199" s="71">
        <v>3167</v>
      </c>
      <c r="C4199" s="37" t="s">
        <v>13307</v>
      </c>
      <c r="D4199" s="37" t="s">
        <v>13308</v>
      </c>
      <c r="E4199" s="38" t="s">
        <v>13309</v>
      </c>
      <c r="F4199" s="39"/>
      <c r="G4199" s="40"/>
      <c r="H4199" s="41">
        <v>100</v>
      </c>
      <c r="I4199" s="41">
        <v>5</v>
      </c>
      <c r="J4199" s="50">
        <v>8910</v>
      </c>
      <c r="K4199" s="36">
        <v>100</v>
      </c>
      <c r="L4199" s="42">
        <f>(39.49*(1-O3/100))/0.75</f>
        <v>52.653333333333336</v>
      </c>
      <c r="M4199" s="12"/>
      <c r="N4199" s="40">
        <f>L4199*M4199</f>
        <v>0</v>
      </c>
      <c r="O4199" s="48">
        <f>0.11*M4199</f>
        <v>0</v>
      </c>
      <c r="P4199" s="47">
        <f>0.00038*M4199</f>
        <v>0</v>
      </c>
      <c r="Q4199" s="44"/>
      <c r="R4199" s="45" t="s">
        <v>13310</v>
      </c>
      <c r="S4199" s="45" t="s">
        <v>93</v>
      </c>
      <c r="T4199" s="37" t="str">
        <f>HYPERLINK("https://kanzpp.ru/api/getInfo/image/0fd5ca0e-fc25-11f0-a28e-00155d82e908")</f>
        <v>https://kanzpp.ru/api/getInfo/image/0fd5ca0e-fc25-11f0-a28e-00155d82e908</v>
      </c>
      <c r="U4199" s="37"/>
    </row>
    <row r="4200" spans="2:22" ht="22.95" customHeight="1" outlineLevel="5" x14ac:dyDescent="0.2">
      <c r="B4200" s="83" t="s">
        <v>13311</v>
      </c>
      <c r="C4200" s="83"/>
      <c r="D4200" s="83"/>
      <c r="L4200">
        <v>0</v>
      </c>
    </row>
    <row r="4201" spans="2:22" ht="22.95" customHeight="1" outlineLevel="6" x14ac:dyDescent="0.2">
      <c r="B4201" s="84" t="s">
        <v>13312</v>
      </c>
      <c r="C4201" s="84"/>
      <c r="D4201" s="84"/>
      <c r="L4201">
        <v>0</v>
      </c>
    </row>
    <row r="4202" spans="2:22" ht="21" customHeight="1" outlineLevel="7" x14ac:dyDescent="0.2">
      <c r="B4202" s="71">
        <v>3168</v>
      </c>
      <c r="C4202" s="37" t="s">
        <v>13313</v>
      </c>
      <c r="D4202" s="37" t="s">
        <v>13314</v>
      </c>
      <c r="E4202" s="38" t="s">
        <v>13315</v>
      </c>
      <c r="F4202" s="39"/>
      <c r="G4202" s="40"/>
      <c r="H4202" s="41">
        <v>100</v>
      </c>
      <c r="I4202" s="41">
        <v>5</v>
      </c>
      <c r="J4202" s="50">
        <v>3949</v>
      </c>
      <c r="K4202" s="36">
        <v>100</v>
      </c>
      <c r="L4202" s="42">
        <f>(41.2*(1-O3/100))/0.75</f>
        <v>54.933333333333337</v>
      </c>
      <c r="M4202" s="12"/>
      <c r="N4202" s="40">
        <f>L4202*M4202</f>
        <v>0</v>
      </c>
      <c r="O4202" s="43">
        <f>0.106*M4202</f>
        <v>0</v>
      </c>
      <c r="P4202" s="47">
        <f>0.00028*M4202</f>
        <v>0</v>
      </c>
      <c r="Q4202" s="44"/>
      <c r="R4202" s="45" t="s">
        <v>13316</v>
      </c>
      <c r="S4202" s="45" t="s">
        <v>93</v>
      </c>
      <c r="T4202" s="37" t="str">
        <f>HYPERLINK("https://kanzpp.ru/api/getInfo/image/1ace2a43-94e5-11ee-a250-00155d82e908")</f>
        <v>https://kanzpp.ru/api/getInfo/image/1ace2a43-94e5-11ee-a250-00155d82e908</v>
      </c>
      <c r="U4202" s="37"/>
    </row>
    <row r="4203" spans="2:22" ht="21" customHeight="1" outlineLevel="7" x14ac:dyDescent="0.2">
      <c r="B4203" s="71">
        <v>3169</v>
      </c>
      <c r="C4203" s="37" t="s">
        <v>13317</v>
      </c>
      <c r="D4203" s="37" t="s">
        <v>13318</v>
      </c>
      <c r="E4203" s="38" t="s">
        <v>13319</v>
      </c>
      <c r="F4203" s="39"/>
      <c r="G4203" s="40"/>
      <c r="H4203" s="41">
        <v>100</v>
      </c>
      <c r="I4203" s="41">
        <v>5</v>
      </c>
      <c r="J4203" s="50">
        <v>9059</v>
      </c>
      <c r="K4203" s="36">
        <v>100</v>
      </c>
      <c r="L4203" s="42">
        <f>(41.2*(1-O3/100))/0.75</f>
        <v>54.933333333333337</v>
      </c>
      <c r="M4203" s="12"/>
      <c r="N4203" s="40">
        <f>L4203*M4203</f>
        <v>0</v>
      </c>
      <c r="O4203" s="43">
        <f>0.105*M4203</f>
        <v>0</v>
      </c>
      <c r="P4203" s="47">
        <f>0.00028*M4203</f>
        <v>0</v>
      </c>
      <c r="Q4203" s="44"/>
      <c r="R4203" s="45" t="s">
        <v>13320</v>
      </c>
      <c r="S4203" s="45" t="s">
        <v>93</v>
      </c>
      <c r="T4203" s="37" t="str">
        <f>HYPERLINK("https://kanzpp.ru/api/getInfo/image/cd067bf0-0008-11f1-a28e-00155d82e908")</f>
        <v>https://kanzpp.ru/api/getInfo/image/cd067bf0-0008-11f1-a28e-00155d82e908</v>
      </c>
      <c r="U4203" s="37"/>
    </row>
    <row r="4204" spans="2:22" ht="21" customHeight="1" outlineLevel="7" x14ac:dyDescent="0.2">
      <c r="B4204" s="71">
        <v>3170</v>
      </c>
      <c r="C4204" s="37" t="s">
        <v>13321</v>
      </c>
      <c r="D4204" s="37" t="s">
        <v>13322</v>
      </c>
      <c r="E4204" s="38" t="s">
        <v>13323</v>
      </c>
      <c r="F4204" s="39"/>
      <c r="G4204" s="40"/>
      <c r="H4204" s="41">
        <v>100</v>
      </c>
      <c r="I4204" s="41">
        <v>5</v>
      </c>
      <c r="J4204" s="50">
        <v>6559</v>
      </c>
      <c r="K4204" s="36">
        <v>100</v>
      </c>
      <c r="L4204" s="42">
        <f>(41.2*(1-O3/100))/0.75</f>
        <v>54.933333333333337</v>
      </c>
      <c r="M4204" s="12"/>
      <c r="N4204" s="40">
        <f>L4204*M4204</f>
        <v>0</v>
      </c>
      <c r="O4204" s="43">
        <f>0.108*M4204</f>
        <v>0</v>
      </c>
      <c r="P4204" s="47">
        <f>0.00028*M4204</f>
        <v>0</v>
      </c>
      <c r="Q4204" s="44"/>
      <c r="R4204" s="45" t="s">
        <v>13324</v>
      </c>
      <c r="S4204" s="45" t="s">
        <v>93</v>
      </c>
      <c r="T4204" s="37" t="str">
        <f>HYPERLINK("https://kanzpp.ru/api/getInfo/image/716182ee-000a-11f1-a28e-00155d82e908")</f>
        <v>https://kanzpp.ru/api/getInfo/image/716182ee-000a-11f1-a28e-00155d82e908</v>
      </c>
      <c r="U4204" s="37"/>
    </row>
    <row r="4205" spans="2:22" ht="22.95" customHeight="1" outlineLevel="6" x14ac:dyDescent="0.2">
      <c r="B4205" s="84" t="s">
        <v>13325</v>
      </c>
      <c r="C4205" s="84"/>
      <c r="D4205" s="84"/>
      <c r="L4205">
        <v>0</v>
      </c>
    </row>
    <row r="4206" spans="2:22" ht="21" customHeight="1" outlineLevel="7" x14ac:dyDescent="0.2">
      <c r="B4206" s="71">
        <v>3171</v>
      </c>
      <c r="C4206" s="37" t="s">
        <v>13326</v>
      </c>
      <c r="D4206" s="37" t="s">
        <v>13327</v>
      </c>
      <c r="E4206" s="38" t="s">
        <v>13328</v>
      </c>
      <c r="F4206" s="39"/>
      <c r="G4206" s="40"/>
      <c r="H4206" s="41">
        <v>100</v>
      </c>
      <c r="I4206" s="41">
        <v>5</v>
      </c>
      <c r="J4206" s="40" t="s">
        <v>144</v>
      </c>
      <c r="K4206" s="36">
        <v>100</v>
      </c>
      <c r="L4206" s="42">
        <f>(42.1*(1-O3/100))/0.75</f>
        <v>56.133333333333333</v>
      </c>
      <c r="M4206" s="12"/>
      <c r="N4206" s="40">
        <f t="shared" ref="N4206:N4215" si="194">L4206*M4206</f>
        <v>0</v>
      </c>
      <c r="O4206" s="43">
        <f>0.108*M4206</f>
        <v>0</v>
      </c>
      <c r="P4206" s="47">
        <f>0.00027*M4206</f>
        <v>0</v>
      </c>
      <c r="Q4206" s="44"/>
      <c r="R4206" s="45" t="s">
        <v>13329</v>
      </c>
      <c r="S4206" s="45" t="s">
        <v>93</v>
      </c>
      <c r="T4206" s="37" t="str">
        <f>HYPERLINK("https://kanzpp.ru/api/getInfo/image/eaa37679-99de-11f0-a285-00155d82e908")</f>
        <v>https://kanzpp.ru/api/getInfo/image/eaa37679-99de-11f0-a285-00155d82e908</v>
      </c>
      <c r="U4206" s="37"/>
    </row>
    <row r="4207" spans="2:22" ht="21" customHeight="1" outlineLevel="7" x14ac:dyDescent="0.2">
      <c r="B4207" s="71">
        <v>3172</v>
      </c>
      <c r="C4207" s="37" t="s">
        <v>13330</v>
      </c>
      <c r="D4207" s="37" t="s">
        <v>13331</v>
      </c>
      <c r="E4207" s="38" t="s">
        <v>13332</v>
      </c>
      <c r="F4207" s="39"/>
      <c r="G4207" s="40"/>
      <c r="H4207" s="41">
        <v>100</v>
      </c>
      <c r="I4207" s="41">
        <v>5</v>
      </c>
      <c r="J4207" s="50">
        <v>2119</v>
      </c>
      <c r="K4207" s="36">
        <v>100</v>
      </c>
      <c r="L4207" s="42">
        <f>(43.87*(1-O3/100))/0.75</f>
        <v>58.493333333333332</v>
      </c>
      <c r="M4207" s="12"/>
      <c r="N4207" s="40">
        <f t="shared" si="194"/>
        <v>0</v>
      </c>
      <c r="O4207" s="43">
        <f>0.112*M4207</f>
        <v>0</v>
      </c>
      <c r="P4207" s="47">
        <f>0.00024*M4207</f>
        <v>0</v>
      </c>
      <c r="Q4207" s="44"/>
      <c r="R4207" s="45" t="s">
        <v>13333</v>
      </c>
      <c r="S4207" s="45" t="s">
        <v>93</v>
      </c>
      <c r="T4207" s="37" t="str">
        <f>HYPERLINK("https://kanzpp.ru/api/getInfo/image/6d928292-99de-11f0-a285-00155d82e908")</f>
        <v>https://kanzpp.ru/api/getInfo/image/6d928292-99de-11f0-a285-00155d82e908</v>
      </c>
      <c r="U4207" s="37"/>
    </row>
    <row r="4208" spans="2:22" ht="21" customHeight="1" outlineLevel="7" x14ac:dyDescent="0.2">
      <c r="B4208" s="69">
        <v>3173</v>
      </c>
      <c r="C4208" s="6" t="s">
        <v>13334</v>
      </c>
      <c r="D4208" s="6" t="s">
        <v>13335</v>
      </c>
      <c r="E4208" s="7" t="s">
        <v>152</v>
      </c>
      <c r="F4208" s="13"/>
      <c r="G4208" s="14"/>
      <c r="H4208" s="14"/>
      <c r="I4208" s="15">
        <v>20</v>
      </c>
      <c r="J4208" s="17">
        <v>5000</v>
      </c>
      <c r="K4208" s="5">
        <v>20</v>
      </c>
      <c r="L4208" s="16">
        <v>39.866666666666667</v>
      </c>
      <c r="M4208" s="12"/>
      <c r="N4208" s="14">
        <f t="shared" si="194"/>
        <v>0</v>
      </c>
      <c r="O4208" s="23">
        <f>0.108*M4208</f>
        <v>0</v>
      </c>
      <c r="P4208" s="24">
        <f>0.00016*M4208</f>
        <v>0</v>
      </c>
      <c r="Q4208" s="25"/>
      <c r="R4208" s="26"/>
      <c r="S4208" s="26" t="s">
        <v>93</v>
      </c>
      <c r="T4208" s="6"/>
      <c r="U4208" s="6"/>
      <c r="V4208" s="33" t="s">
        <v>35</v>
      </c>
    </row>
    <row r="4209" spans="2:22" ht="21" customHeight="1" outlineLevel="7" x14ac:dyDescent="0.2">
      <c r="B4209" s="71">
        <v>3174</v>
      </c>
      <c r="C4209" s="37" t="s">
        <v>13336</v>
      </c>
      <c r="D4209" s="37" t="s">
        <v>13337</v>
      </c>
      <c r="E4209" s="38" t="s">
        <v>13338</v>
      </c>
      <c r="F4209" s="39"/>
      <c r="G4209" s="40"/>
      <c r="H4209" s="41">
        <v>100</v>
      </c>
      <c r="I4209" s="41">
        <v>5</v>
      </c>
      <c r="J4209" s="40" t="s">
        <v>144</v>
      </c>
      <c r="K4209" s="36">
        <v>100</v>
      </c>
      <c r="L4209" s="42">
        <f>(43.87*(1-O3/100))/0.75</f>
        <v>58.493333333333332</v>
      </c>
      <c r="M4209" s="12"/>
      <c r="N4209" s="40">
        <f t="shared" si="194"/>
        <v>0</v>
      </c>
      <c r="O4209" s="43">
        <f>0.105*M4209</f>
        <v>0</v>
      </c>
      <c r="P4209" s="47">
        <f>0.00027*M4209</f>
        <v>0</v>
      </c>
      <c r="Q4209" s="44"/>
      <c r="R4209" s="45" t="s">
        <v>13339</v>
      </c>
      <c r="S4209" s="45" t="s">
        <v>93</v>
      </c>
      <c r="T4209" s="37" t="str">
        <f>HYPERLINK("https://kanzpp.ru/api/getInfo/image/2d192151-3fb8-11f0-a27c-00155d82e908")</f>
        <v>https://kanzpp.ru/api/getInfo/image/2d192151-3fb8-11f0-a27c-00155d82e908</v>
      </c>
      <c r="U4209" s="37"/>
    </row>
    <row r="4210" spans="2:22" ht="21" customHeight="1" outlineLevel="7" x14ac:dyDescent="0.2">
      <c r="B4210" s="71">
        <v>3175</v>
      </c>
      <c r="C4210" s="37" t="s">
        <v>13340</v>
      </c>
      <c r="D4210" s="37" t="s">
        <v>13341</v>
      </c>
      <c r="E4210" s="38" t="s">
        <v>13342</v>
      </c>
      <c r="F4210" s="39"/>
      <c r="G4210" s="40"/>
      <c r="H4210" s="41">
        <v>100</v>
      </c>
      <c r="I4210" s="41">
        <v>5</v>
      </c>
      <c r="J4210" s="40" t="s">
        <v>144</v>
      </c>
      <c r="K4210" s="36">
        <v>100</v>
      </c>
      <c r="L4210" s="42">
        <f>(43.87*(1-O3/100))/0.75</f>
        <v>58.493333333333332</v>
      </c>
      <c r="M4210" s="12"/>
      <c r="N4210" s="40">
        <f t="shared" si="194"/>
        <v>0</v>
      </c>
      <c r="O4210" s="43">
        <f>0.107*M4210</f>
        <v>0</v>
      </c>
      <c r="P4210" s="47">
        <f>0.00024*M4210</f>
        <v>0</v>
      </c>
      <c r="Q4210" s="44"/>
      <c r="R4210" s="45" t="s">
        <v>13343</v>
      </c>
      <c r="S4210" s="45" t="s">
        <v>93</v>
      </c>
      <c r="T4210" s="37" t="str">
        <f>HYPERLINK("https://kanzpp.ru/api/getInfo/image/71de1d92-3fb8-11f0-a27c-00155d82e908")</f>
        <v>https://kanzpp.ru/api/getInfo/image/71de1d92-3fb8-11f0-a27c-00155d82e908</v>
      </c>
      <c r="U4210" s="37"/>
    </row>
    <row r="4211" spans="2:22" ht="21" customHeight="1" outlineLevel="7" x14ac:dyDescent="0.2">
      <c r="B4211" s="69">
        <v>3176</v>
      </c>
      <c r="C4211" s="6" t="s">
        <v>13344</v>
      </c>
      <c r="D4211" s="6" t="s">
        <v>13345</v>
      </c>
      <c r="E4211" s="7" t="s">
        <v>13346</v>
      </c>
      <c r="F4211" s="13"/>
      <c r="G4211" s="14"/>
      <c r="H4211" s="15">
        <v>100</v>
      </c>
      <c r="I4211" s="15">
        <v>5</v>
      </c>
      <c r="J4211" s="17">
        <v>18634</v>
      </c>
      <c r="K4211" s="5">
        <v>100</v>
      </c>
      <c r="L4211" s="16">
        <v>43.866666666666667</v>
      </c>
      <c r="M4211" s="12"/>
      <c r="N4211" s="14">
        <f t="shared" si="194"/>
        <v>0</v>
      </c>
      <c r="O4211" s="28">
        <f>0.11*M4211</f>
        <v>0</v>
      </c>
      <c r="P4211" s="24">
        <f>0.00028*M4211</f>
        <v>0</v>
      </c>
      <c r="Q4211" s="25"/>
      <c r="R4211" s="26" t="s">
        <v>13347</v>
      </c>
      <c r="S4211" s="26" t="s">
        <v>93</v>
      </c>
      <c r="T4211" s="6" t="str">
        <f>HYPERLINK("https://kanzpp.ru/api/getInfo/image/92767168-7f0e-11ef-a265-00155d82e908")</f>
        <v>https://kanzpp.ru/api/getInfo/image/92767168-7f0e-11ef-a265-00155d82e908</v>
      </c>
      <c r="U4211" s="6"/>
      <c r="V4211" s="33" t="s">
        <v>35</v>
      </c>
    </row>
    <row r="4212" spans="2:22" ht="21" customHeight="1" outlineLevel="7" x14ac:dyDescent="0.2">
      <c r="B4212" s="71">
        <v>3177</v>
      </c>
      <c r="C4212" s="37" t="s">
        <v>13348</v>
      </c>
      <c r="D4212" s="37" t="s">
        <v>13349</v>
      </c>
      <c r="E4212" s="38" t="s">
        <v>13350</v>
      </c>
      <c r="F4212" s="39"/>
      <c r="G4212" s="40"/>
      <c r="H4212" s="41">
        <v>100</v>
      </c>
      <c r="I4212" s="41">
        <v>5</v>
      </c>
      <c r="J4212" s="50">
        <v>5360</v>
      </c>
      <c r="K4212" s="36">
        <v>100</v>
      </c>
      <c r="L4212" s="42">
        <f>(43.87*(1-O3/100))/0.75</f>
        <v>58.493333333333332</v>
      </c>
      <c r="M4212" s="12"/>
      <c r="N4212" s="40">
        <f t="shared" si="194"/>
        <v>0</v>
      </c>
      <c r="O4212" s="43">
        <f>0.108*M4212</f>
        <v>0</v>
      </c>
      <c r="P4212" s="47">
        <f>0.00021*M4212</f>
        <v>0</v>
      </c>
      <c r="Q4212" s="44"/>
      <c r="R4212" s="45" t="s">
        <v>13351</v>
      </c>
      <c r="S4212" s="45" t="s">
        <v>93</v>
      </c>
      <c r="T4212" s="37" t="str">
        <f>HYPERLINK("https://kanzpp.ru/api/getInfo/image/b9a9eae5-bbba-11f0-a288-00155d82e908")</f>
        <v>https://kanzpp.ru/api/getInfo/image/b9a9eae5-bbba-11f0-a288-00155d82e908</v>
      </c>
      <c r="U4212" s="37"/>
    </row>
    <row r="4213" spans="2:22" ht="21" customHeight="1" outlineLevel="7" x14ac:dyDescent="0.2">
      <c r="B4213" s="71">
        <v>3178</v>
      </c>
      <c r="C4213" s="37" t="s">
        <v>13352</v>
      </c>
      <c r="D4213" s="37" t="s">
        <v>13353</v>
      </c>
      <c r="E4213" s="38" t="s">
        <v>13354</v>
      </c>
      <c r="F4213" s="39"/>
      <c r="G4213" s="40"/>
      <c r="H4213" s="41">
        <v>100</v>
      </c>
      <c r="I4213" s="41">
        <v>5</v>
      </c>
      <c r="J4213" s="50">
        <v>10035</v>
      </c>
      <c r="K4213" s="36">
        <v>100</v>
      </c>
      <c r="L4213" s="42">
        <f>(43.87*(1-O3/100))/0.75</f>
        <v>58.493333333333332</v>
      </c>
      <c r="M4213" s="12"/>
      <c r="N4213" s="40">
        <f t="shared" si="194"/>
        <v>0</v>
      </c>
      <c r="O4213" s="43">
        <f>0.126*M4213</f>
        <v>0</v>
      </c>
      <c r="P4213" s="47">
        <f>0.00021*M4213</f>
        <v>0</v>
      </c>
      <c r="Q4213" s="44"/>
      <c r="R4213" s="45" t="s">
        <v>13355</v>
      </c>
      <c r="S4213" s="45" t="s">
        <v>93</v>
      </c>
      <c r="T4213" s="37" t="str">
        <f>HYPERLINK("https://kanzpp.ru/api/getInfo/image/c35227f1-bbb9-11f0-a288-00155d82e908")</f>
        <v>https://kanzpp.ru/api/getInfo/image/c35227f1-bbb9-11f0-a288-00155d82e908</v>
      </c>
      <c r="U4213" s="37"/>
    </row>
    <row r="4214" spans="2:22" ht="21" customHeight="1" outlineLevel="7" x14ac:dyDescent="0.2">
      <c r="B4214" s="71">
        <v>3179</v>
      </c>
      <c r="C4214" s="37" t="s">
        <v>13356</v>
      </c>
      <c r="D4214" s="37" t="s">
        <v>13357</v>
      </c>
      <c r="E4214" s="38" t="s">
        <v>13358</v>
      </c>
      <c r="F4214" s="39"/>
      <c r="G4214" s="40"/>
      <c r="H4214" s="41">
        <v>100</v>
      </c>
      <c r="I4214" s="41">
        <v>5</v>
      </c>
      <c r="J4214" s="50">
        <v>10450</v>
      </c>
      <c r="K4214" s="36">
        <v>100</v>
      </c>
      <c r="L4214" s="42">
        <f>(43.87*(1-O3/100))/0.75</f>
        <v>58.493333333333332</v>
      </c>
      <c r="M4214" s="12"/>
      <c r="N4214" s="40">
        <f t="shared" si="194"/>
        <v>0</v>
      </c>
      <c r="O4214" s="48">
        <f>0.11*M4214</f>
        <v>0</v>
      </c>
      <c r="P4214" s="47">
        <f>0.00023*M4214</f>
        <v>0</v>
      </c>
      <c r="Q4214" s="44"/>
      <c r="R4214" s="45" t="s">
        <v>13359</v>
      </c>
      <c r="S4214" s="45" t="s">
        <v>93</v>
      </c>
      <c r="T4214" s="37" t="str">
        <f>HYPERLINK("https://kanzpp.ru/api/getInfo/image/4c6ec9ab-bbba-11f0-a288-00155d82e908")</f>
        <v>https://kanzpp.ru/api/getInfo/image/4c6ec9ab-bbba-11f0-a288-00155d82e908</v>
      </c>
      <c r="U4214" s="37"/>
    </row>
    <row r="4215" spans="2:22" ht="21" customHeight="1" outlineLevel="7" x14ac:dyDescent="0.2">
      <c r="B4215" s="71">
        <v>3180</v>
      </c>
      <c r="C4215" s="37" t="s">
        <v>13360</v>
      </c>
      <c r="D4215" s="37" t="s">
        <v>13361</v>
      </c>
      <c r="E4215" s="38" t="s">
        <v>13362</v>
      </c>
      <c r="F4215" s="39"/>
      <c r="G4215" s="40"/>
      <c r="H4215" s="41">
        <v>100</v>
      </c>
      <c r="I4215" s="41">
        <v>5</v>
      </c>
      <c r="J4215" s="50">
        <v>10449</v>
      </c>
      <c r="K4215" s="36">
        <v>100</v>
      </c>
      <c r="L4215" s="42">
        <f>(43.87*(1-O3/100))/0.75</f>
        <v>58.493333333333332</v>
      </c>
      <c r="M4215" s="12"/>
      <c r="N4215" s="40">
        <f t="shared" si="194"/>
        <v>0</v>
      </c>
      <c r="O4215" s="43">
        <f>0.111*M4215</f>
        <v>0</v>
      </c>
      <c r="P4215" s="47">
        <f>0.00031*M4215</f>
        <v>0</v>
      </c>
      <c r="Q4215" s="44"/>
      <c r="R4215" s="45" t="s">
        <v>13363</v>
      </c>
      <c r="S4215" s="45" t="s">
        <v>93</v>
      </c>
      <c r="T4215" s="37" t="str">
        <f>HYPERLINK("https://kanzpp.ru/api/getInfo/image/b55c7d85-9c3e-11ef-a267-00155d82e908")</f>
        <v>https://kanzpp.ru/api/getInfo/image/b55c7d85-9c3e-11ef-a267-00155d82e908</v>
      </c>
      <c r="U4215" s="37"/>
    </row>
    <row r="4216" spans="2:22" ht="22.95" customHeight="1" outlineLevel="6" x14ac:dyDescent="0.2">
      <c r="B4216" s="84" t="s">
        <v>13364</v>
      </c>
      <c r="C4216" s="84"/>
      <c r="D4216" s="84"/>
      <c r="L4216">
        <v>0</v>
      </c>
    </row>
    <row r="4217" spans="2:22" ht="21" customHeight="1" outlineLevel="7" x14ac:dyDescent="0.2">
      <c r="B4217" s="69">
        <v>3181</v>
      </c>
      <c r="C4217" s="6" t="s">
        <v>13365</v>
      </c>
      <c r="D4217" s="6" t="s">
        <v>13366</v>
      </c>
      <c r="E4217" s="7" t="s">
        <v>13367</v>
      </c>
      <c r="F4217" s="13"/>
      <c r="G4217" s="14"/>
      <c r="H4217" s="15">
        <v>100</v>
      </c>
      <c r="I4217" s="15">
        <v>5</v>
      </c>
      <c r="J4217" s="17">
        <v>1711</v>
      </c>
      <c r="K4217" s="5">
        <v>100</v>
      </c>
      <c r="L4217" s="16">
        <v>39.866666666666667</v>
      </c>
      <c r="M4217" s="12"/>
      <c r="N4217" s="14">
        <f>L4217*M4217</f>
        <v>0</v>
      </c>
      <c r="O4217" s="23">
        <f>0.116*M4217</f>
        <v>0</v>
      </c>
      <c r="P4217" s="31">
        <f>0.0002*M4217</f>
        <v>0</v>
      </c>
      <c r="Q4217" s="25"/>
      <c r="R4217" s="26" t="s">
        <v>13368</v>
      </c>
      <c r="S4217" s="26" t="s">
        <v>93</v>
      </c>
      <c r="T4217" s="6" t="str">
        <f>HYPERLINK("https://kanzpp.ru/api/getInfo/image/11df94e1-94f1-11ee-a250-00155d82e908")</f>
        <v>https://kanzpp.ru/api/getInfo/image/11df94e1-94f1-11ee-a250-00155d82e908</v>
      </c>
      <c r="U4217" s="6"/>
      <c r="V4217" s="33" t="s">
        <v>35</v>
      </c>
    </row>
    <row r="4218" spans="2:22" ht="21" customHeight="1" outlineLevel="7" x14ac:dyDescent="0.2">
      <c r="B4218" s="69">
        <v>3182</v>
      </c>
      <c r="C4218" s="6" t="s">
        <v>13369</v>
      </c>
      <c r="D4218" s="6" t="s">
        <v>13370</v>
      </c>
      <c r="E4218" s="7" t="s">
        <v>13371</v>
      </c>
      <c r="F4218" s="13"/>
      <c r="G4218" s="14"/>
      <c r="H4218" s="15">
        <v>80</v>
      </c>
      <c r="I4218" s="15">
        <v>5</v>
      </c>
      <c r="J4218" s="15">
        <v>13</v>
      </c>
      <c r="K4218" s="5">
        <v>13</v>
      </c>
      <c r="L4218" s="16">
        <v>19.866666666666667</v>
      </c>
      <c r="M4218" s="12"/>
      <c r="N4218" s="14">
        <f>L4218*M4218</f>
        <v>0</v>
      </c>
      <c r="O4218" s="23">
        <f>0.106*M4218</f>
        <v>0</v>
      </c>
      <c r="P4218" s="24">
        <f>0.00014*M4218</f>
        <v>0</v>
      </c>
      <c r="Q4218" s="25"/>
      <c r="R4218" s="26"/>
      <c r="S4218" s="26" t="s">
        <v>93</v>
      </c>
      <c r="T4218" s="6" t="str">
        <f>HYPERLINK("https://kanzpp.ru/api/getInfo/image/e5d256f3-8fc2-11ec-a211-ac1f6b442185")</f>
        <v>https://kanzpp.ru/api/getInfo/image/e5d256f3-8fc2-11ec-a211-ac1f6b442185</v>
      </c>
      <c r="U4218" s="6"/>
      <c r="V4218" s="33" t="s">
        <v>35</v>
      </c>
    </row>
    <row r="4219" spans="2:22" ht="22.95" customHeight="1" outlineLevel="6" x14ac:dyDescent="0.2">
      <c r="B4219" s="84" t="s">
        <v>13372</v>
      </c>
      <c r="C4219" s="84"/>
      <c r="D4219" s="84"/>
      <c r="L4219">
        <v>0</v>
      </c>
    </row>
    <row r="4220" spans="2:22" ht="21" customHeight="1" outlineLevel="7" x14ac:dyDescent="0.2">
      <c r="B4220" s="71">
        <v>3183</v>
      </c>
      <c r="C4220" s="37" t="s">
        <v>13373</v>
      </c>
      <c r="D4220" s="37" t="s">
        <v>13374</v>
      </c>
      <c r="E4220" s="38" t="s">
        <v>13375</v>
      </c>
      <c r="F4220" s="39"/>
      <c r="G4220" s="40"/>
      <c r="H4220" s="41">
        <v>100</v>
      </c>
      <c r="I4220" s="41">
        <v>5</v>
      </c>
      <c r="J4220" s="50">
        <v>11604</v>
      </c>
      <c r="K4220" s="36">
        <v>100</v>
      </c>
      <c r="L4220" s="42">
        <f>(53.2*(1-O3/100))/0.75</f>
        <v>70.933333333333337</v>
      </c>
      <c r="M4220" s="12"/>
      <c r="N4220" s="40">
        <f>L4220*M4220</f>
        <v>0</v>
      </c>
      <c r="O4220" s="48">
        <f>0.11*M4220</f>
        <v>0</v>
      </c>
      <c r="P4220" s="47">
        <f>0.00027*M4220</f>
        <v>0</v>
      </c>
      <c r="Q4220" s="44"/>
      <c r="R4220" s="45" t="s">
        <v>13376</v>
      </c>
      <c r="S4220" s="45" t="s">
        <v>93</v>
      </c>
      <c r="T4220" s="37" t="str">
        <f>HYPERLINK("https://kanzpp.ru/api/getInfo/image/08494602-bc81-11ef-a267-00155d82e908")</f>
        <v>https://kanzpp.ru/api/getInfo/image/08494602-bc81-11ef-a267-00155d82e908</v>
      </c>
      <c r="U4220" s="37"/>
    </row>
    <row r="4221" spans="2:22" ht="21" customHeight="1" outlineLevel="7" x14ac:dyDescent="0.2">
      <c r="B4221" s="69">
        <v>3184</v>
      </c>
      <c r="C4221" s="6" t="s">
        <v>13377</v>
      </c>
      <c r="D4221" s="6" t="s">
        <v>13378</v>
      </c>
      <c r="E4221" s="7" t="s">
        <v>152</v>
      </c>
      <c r="F4221" s="13"/>
      <c r="G4221" s="14"/>
      <c r="H4221" s="14"/>
      <c r="I4221" s="15">
        <v>20</v>
      </c>
      <c r="J4221" s="17">
        <v>5000</v>
      </c>
      <c r="K4221" s="5">
        <v>20</v>
      </c>
      <c r="L4221" s="16">
        <v>46.533333333333331</v>
      </c>
      <c r="M4221" s="12"/>
      <c r="N4221" s="14">
        <f>L4221*M4221</f>
        <v>0</v>
      </c>
      <c r="O4221" s="14">
        <v>0</v>
      </c>
      <c r="P4221" s="14">
        <v>0</v>
      </c>
      <c r="Q4221" s="25"/>
      <c r="R4221" s="26"/>
      <c r="S4221" s="26" t="s">
        <v>93</v>
      </c>
      <c r="T4221" s="6"/>
      <c r="U4221" s="6"/>
      <c r="V4221" s="33" t="s">
        <v>35</v>
      </c>
    </row>
    <row r="4222" spans="2:22" ht="21" customHeight="1" outlineLevel="7" x14ac:dyDescent="0.2">
      <c r="B4222" s="69">
        <v>3185</v>
      </c>
      <c r="C4222" s="6" t="s">
        <v>13379</v>
      </c>
      <c r="D4222" s="6" t="s">
        <v>13380</v>
      </c>
      <c r="E4222" s="7" t="s">
        <v>13381</v>
      </c>
      <c r="F4222" s="13"/>
      <c r="G4222" s="14"/>
      <c r="H4222" s="15">
        <v>100</v>
      </c>
      <c r="I4222" s="15">
        <v>5</v>
      </c>
      <c r="J4222" s="15">
        <v>690</v>
      </c>
      <c r="K4222" s="5">
        <v>100</v>
      </c>
      <c r="L4222" s="16">
        <v>39.866666666666667</v>
      </c>
      <c r="M4222" s="12"/>
      <c r="N4222" s="14">
        <f>L4222*M4222</f>
        <v>0</v>
      </c>
      <c r="O4222" s="23">
        <f>0.107*M4222</f>
        <v>0</v>
      </c>
      <c r="P4222" s="24">
        <f>0.00021*M4222</f>
        <v>0</v>
      </c>
      <c r="Q4222" s="25"/>
      <c r="R4222" s="26" t="s">
        <v>13382</v>
      </c>
      <c r="S4222" s="26" t="s">
        <v>93</v>
      </c>
      <c r="T4222" s="6" t="str">
        <f>HYPERLINK("https://kanzpp.ru/api/getInfo/image/f18dba4c-8062-11ed-a22a-00155d82e902")</f>
        <v>https://kanzpp.ru/api/getInfo/image/f18dba4c-8062-11ed-a22a-00155d82e902</v>
      </c>
      <c r="U4222" s="6"/>
      <c r="V4222" s="33" t="s">
        <v>35</v>
      </c>
    </row>
    <row r="4223" spans="2:22" ht="21" customHeight="1" outlineLevel="7" x14ac:dyDescent="0.2">
      <c r="B4223" s="69">
        <v>3186</v>
      </c>
      <c r="C4223" s="6" t="s">
        <v>13383</v>
      </c>
      <c r="D4223" s="6" t="s">
        <v>13384</v>
      </c>
      <c r="E4223" s="7" t="s">
        <v>13385</v>
      </c>
      <c r="F4223" s="13"/>
      <c r="G4223" s="14"/>
      <c r="H4223" s="15">
        <v>100</v>
      </c>
      <c r="I4223" s="15">
        <v>5</v>
      </c>
      <c r="J4223" s="17">
        <v>11260</v>
      </c>
      <c r="K4223" s="5">
        <v>100</v>
      </c>
      <c r="L4223" s="16">
        <v>39.866666666666667</v>
      </c>
      <c r="M4223" s="12"/>
      <c r="N4223" s="14">
        <f>L4223*M4223</f>
        <v>0</v>
      </c>
      <c r="O4223" s="28">
        <f>0.11*M4223</f>
        <v>0</v>
      </c>
      <c r="P4223" s="24">
        <f>0.00032*M4223</f>
        <v>0</v>
      </c>
      <c r="Q4223" s="25"/>
      <c r="R4223" s="26" t="s">
        <v>13386</v>
      </c>
      <c r="S4223" s="26" t="s">
        <v>93</v>
      </c>
      <c r="T4223" s="6" t="str">
        <f>HYPERLINK("https://kanzpp.ru/api/getInfo/image/901e2d7b-8062-11ed-a22a-00155d82e902")</f>
        <v>https://kanzpp.ru/api/getInfo/image/901e2d7b-8062-11ed-a22a-00155d82e902</v>
      </c>
      <c r="U4223" s="6"/>
      <c r="V4223" s="33" t="s">
        <v>35</v>
      </c>
    </row>
    <row r="4224" spans="2:22" ht="21" customHeight="1" outlineLevel="7" x14ac:dyDescent="0.2">
      <c r="B4224" s="71">
        <v>3187</v>
      </c>
      <c r="C4224" s="37" t="s">
        <v>13387</v>
      </c>
      <c r="D4224" s="37" t="s">
        <v>13388</v>
      </c>
      <c r="E4224" s="38" t="s">
        <v>13389</v>
      </c>
      <c r="F4224" s="39"/>
      <c r="G4224" s="40"/>
      <c r="H4224" s="41">
        <v>100</v>
      </c>
      <c r="I4224" s="41">
        <v>5</v>
      </c>
      <c r="J4224" s="50">
        <v>6234</v>
      </c>
      <c r="K4224" s="36">
        <v>100</v>
      </c>
      <c r="L4224" s="42">
        <f>(53.2*(1-O3/100))/0.75</f>
        <v>70.933333333333337</v>
      </c>
      <c r="M4224" s="12"/>
      <c r="N4224" s="40">
        <f>L4224*M4224</f>
        <v>0</v>
      </c>
      <c r="O4224" s="48">
        <f>0.11*M4224</f>
        <v>0</v>
      </c>
      <c r="P4224" s="47">
        <f>0.00027*M4224</f>
        <v>0</v>
      </c>
      <c r="Q4224" s="44"/>
      <c r="R4224" s="45" t="s">
        <v>13390</v>
      </c>
      <c r="S4224" s="45" t="s">
        <v>93</v>
      </c>
      <c r="T4224" s="37" t="str">
        <f>HYPERLINK("https://kanzpp.ru/api/getInfo/image/d81010de-bc80-11ef-a267-00155d82e908")</f>
        <v>https://kanzpp.ru/api/getInfo/image/d81010de-bc80-11ef-a267-00155d82e908</v>
      </c>
      <c r="U4224" s="37"/>
    </row>
    <row r="4225" spans="2:22" ht="22.95" customHeight="1" outlineLevel="6" x14ac:dyDescent="0.2">
      <c r="B4225" s="84" t="s">
        <v>13391</v>
      </c>
      <c r="C4225" s="84"/>
      <c r="D4225" s="84"/>
      <c r="L4225">
        <v>0</v>
      </c>
    </row>
    <row r="4226" spans="2:22" ht="21" customHeight="1" outlineLevel="7" x14ac:dyDescent="0.2">
      <c r="B4226" s="71">
        <v>3188</v>
      </c>
      <c r="C4226" s="37" t="s">
        <v>13392</v>
      </c>
      <c r="D4226" s="37" t="s">
        <v>13393</v>
      </c>
      <c r="E4226" s="38" t="s">
        <v>13394</v>
      </c>
      <c r="F4226" s="39"/>
      <c r="G4226" s="40"/>
      <c r="H4226" s="41">
        <v>100</v>
      </c>
      <c r="I4226" s="41">
        <v>5</v>
      </c>
      <c r="J4226" s="50">
        <v>14129</v>
      </c>
      <c r="K4226" s="36">
        <v>100</v>
      </c>
      <c r="L4226" s="42">
        <f>(53.2*(1-O3/100))/0.75</f>
        <v>70.933333333333337</v>
      </c>
      <c r="M4226" s="12"/>
      <c r="N4226" s="40">
        <f>L4226*M4226</f>
        <v>0</v>
      </c>
      <c r="O4226" s="48">
        <f>0.11*M4226</f>
        <v>0</v>
      </c>
      <c r="P4226" s="47">
        <f>0.00032*M4226</f>
        <v>0</v>
      </c>
      <c r="Q4226" s="44"/>
      <c r="R4226" s="45" t="s">
        <v>13395</v>
      </c>
      <c r="S4226" s="45" t="s">
        <v>93</v>
      </c>
      <c r="T4226" s="37" t="str">
        <f>HYPERLINK("https://kanzpp.ru/api/getInfo/image/e35ac176-fc28-11f0-a28e-00155d82e908")</f>
        <v>https://kanzpp.ru/api/getInfo/image/e35ac176-fc28-11f0-a28e-00155d82e908</v>
      </c>
      <c r="U4226" s="37"/>
    </row>
    <row r="4227" spans="2:22" ht="21" customHeight="1" outlineLevel="7" x14ac:dyDescent="0.2">
      <c r="B4227" s="71">
        <v>3189</v>
      </c>
      <c r="C4227" s="37" t="s">
        <v>13396</v>
      </c>
      <c r="D4227" s="37" t="s">
        <v>13397</v>
      </c>
      <c r="E4227" s="38" t="s">
        <v>13398</v>
      </c>
      <c r="F4227" s="39"/>
      <c r="G4227" s="40"/>
      <c r="H4227" s="41">
        <v>100</v>
      </c>
      <c r="I4227" s="41">
        <v>5</v>
      </c>
      <c r="J4227" s="50">
        <v>10385</v>
      </c>
      <c r="K4227" s="36">
        <v>100</v>
      </c>
      <c r="L4227" s="42">
        <f>(53.2*(1-O3/100))/0.75</f>
        <v>70.933333333333337</v>
      </c>
      <c r="M4227" s="12"/>
      <c r="N4227" s="40">
        <f>L4227*M4227</f>
        <v>0</v>
      </c>
      <c r="O4227" s="48">
        <f>0.11*M4227</f>
        <v>0</v>
      </c>
      <c r="P4227" s="47">
        <f>0.00032*M4227</f>
        <v>0</v>
      </c>
      <c r="Q4227" s="44"/>
      <c r="R4227" s="45" t="s">
        <v>13399</v>
      </c>
      <c r="S4227" s="45" t="s">
        <v>93</v>
      </c>
      <c r="T4227" s="37" t="str">
        <f>HYPERLINK("https://kanzpp.ru/api/getInfo/image/3ac870db-fc29-11f0-a28e-00155d82e908")</f>
        <v>https://kanzpp.ru/api/getInfo/image/3ac870db-fc29-11f0-a28e-00155d82e908</v>
      </c>
      <c r="U4227" s="37"/>
    </row>
    <row r="4228" spans="2:22" ht="22.95" customHeight="1" outlineLevel="6" x14ac:dyDescent="0.2">
      <c r="B4228" s="84" t="s">
        <v>13400</v>
      </c>
      <c r="C4228" s="84"/>
      <c r="D4228" s="84"/>
      <c r="L4228">
        <v>0</v>
      </c>
    </row>
    <row r="4229" spans="2:22" ht="21" customHeight="1" outlineLevel="7" x14ac:dyDescent="0.2">
      <c r="B4229" s="71">
        <v>3190</v>
      </c>
      <c r="C4229" s="37" t="s">
        <v>13401</v>
      </c>
      <c r="D4229" s="37" t="s">
        <v>13402</v>
      </c>
      <c r="E4229" s="38" t="s">
        <v>13403</v>
      </c>
      <c r="F4229" s="39"/>
      <c r="G4229" s="40"/>
      <c r="H4229" s="41">
        <v>100</v>
      </c>
      <c r="I4229" s="41">
        <v>5</v>
      </c>
      <c r="J4229" s="50">
        <v>4556</v>
      </c>
      <c r="K4229" s="36">
        <v>100</v>
      </c>
      <c r="L4229" s="42">
        <f>(52.13*(1-O3/100))/0.75</f>
        <v>69.506666666666675</v>
      </c>
      <c r="M4229" s="12"/>
      <c r="N4229" s="40">
        <f>L4229*M4229</f>
        <v>0</v>
      </c>
      <c r="O4229" s="43">
        <f>0.109*M4229</f>
        <v>0</v>
      </c>
      <c r="P4229" s="47">
        <f>0.00024*M4229</f>
        <v>0</v>
      </c>
      <c r="Q4229" s="44"/>
      <c r="R4229" s="45" t="s">
        <v>13404</v>
      </c>
      <c r="S4229" s="45" t="s">
        <v>93</v>
      </c>
      <c r="T4229" s="37" t="str">
        <f>HYPERLINK("https://kanzpp.ru/api/getInfo/image/48b202c1-bc7f-11ef-a267-00155d82e908")</f>
        <v>https://kanzpp.ru/api/getInfo/image/48b202c1-bc7f-11ef-a267-00155d82e908</v>
      </c>
      <c r="U4229" s="37"/>
    </row>
    <row r="4230" spans="2:22" ht="21" customHeight="1" outlineLevel="7" x14ac:dyDescent="0.2">
      <c r="B4230" s="71">
        <v>3191</v>
      </c>
      <c r="C4230" s="37" t="s">
        <v>13405</v>
      </c>
      <c r="D4230" s="37" t="s">
        <v>13406</v>
      </c>
      <c r="E4230" s="38" t="s">
        <v>13407</v>
      </c>
      <c r="F4230" s="39"/>
      <c r="G4230" s="40"/>
      <c r="H4230" s="41">
        <v>100</v>
      </c>
      <c r="I4230" s="41">
        <v>5</v>
      </c>
      <c r="J4230" s="50">
        <v>9300</v>
      </c>
      <c r="K4230" s="36">
        <v>100</v>
      </c>
      <c r="L4230" s="42">
        <f>(52.13*(1-O3/100))/0.75</f>
        <v>69.506666666666675</v>
      </c>
      <c r="M4230" s="12"/>
      <c r="N4230" s="40">
        <f>L4230*M4230</f>
        <v>0</v>
      </c>
      <c r="O4230" s="43">
        <f>0.107*M4230</f>
        <v>0</v>
      </c>
      <c r="P4230" s="47">
        <f>0.00024*M4230</f>
        <v>0</v>
      </c>
      <c r="Q4230" s="44"/>
      <c r="R4230" s="45" t="s">
        <v>13408</v>
      </c>
      <c r="S4230" s="45" t="s">
        <v>93</v>
      </c>
      <c r="T4230" s="37" t="str">
        <f>HYPERLINK("https://kanzpp.ru/api/getInfo/image/ce803679-b2f9-11ef-a267-00155d82e908")</f>
        <v>https://kanzpp.ru/api/getInfo/image/ce803679-b2f9-11ef-a267-00155d82e908</v>
      </c>
      <c r="U4230" s="37"/>
    </row>
    <row r="4231" spans="2:22" ht="21" customHeight="1" outlineLevel="7" x14ac:dyDescent="0.2">
      <c r="B4231" s="69">
        <v>3192</v>
      </c>
      <c r="C4231" s="6" t="s">
        <v>13409</v>
      </c>
      <c r="D4231" s="6" t="s">
        <v>13410</v>
      </c>
      <c r="E4231" s="7" t="s">
        <v>13411</v>
      </c>
      <c r="F4231" s="13"/>
      <c r="G4231" s="14"/>
      <c r="H4231" s="15">
        <v>80</v>
      </c>
      <c r="I4231" s="15">
        <v>5</v>
      </c>
      <c r="J4231" s="15">
        <v>110</v>
      </c>
      <c r="K4231" s="5">
        <v>80</v>
      </c>
      <c r="L4231" s="16">
        <v>39.866666666666667</v>
      </c>
      <c r="M4231" s="12"/>
      <c r="N4231" s="14">
        <f>L4231*M4231</f>
        <v>0</v>
      </c>
      <c r="O4231" s="23">
        <f>0.102*M4231</f>
        <v>0</v>
      </c>
      <c r="P4231" s="24">
        <f>0.00024*M4231</f>
        <v>0</v>
      </c>
      <c r="Q4231" s="25"/>
      <c r="R4231" s="26" t="s">
        <v>13412</v>
      </c>
      <c r="S4231" s="26" t="s">
        <v>93</v>
      </c>
      <c r="T4231" s="6" t="str">
        <f>HYPERLINK("https://kanzpp.ru/api/getInfo/image/d4cea39f-b111-11ed-a230-00155d82e902")</f>
        <v>https://kanzpp.ru/api/getInfo/image/d4cea39f-b111-11ed-a230-00155d82e902</v>
      </c>
      <c r="U4231" s="6"/>
      <c r="V4231" s="33" t="s">
        <v>35</v>
      </c>
    </row>
    <row r="4232" spans="2:22" ht="22.95" customHeight="1" outlineLevel="4" x14ac:dyDescent="0.2">
      <c r="B4232" s="82" t="s">
        <v>13413</v>
      </c>
      <c r="C4232" s="82"/>
      <c r="D4232" s="82"/>
      <c r="L4232">
        <v>0</v>
      </c>
    </row>
    <row r="4233" spans="2:22" ht="22.95" customHeight="1" outlineLevel="5" x14ac:dyDescent="0.2">
      <c r="B4233" s="83" t="s">
        <v>13414</v>
      </c>
      <c r="C4233" s="83"/>
      <c r="D4233" s="83"/>
      <c r="L4233">
        <v>0</v>
      </c>
    </row>
    <row r="4234" spans="2:22" ht="21" customHeight="1" outlineLevel="6" x14ac:dyDescent="0.2">
      <c r="B4234" s="69">
        <v>3193</v>
      </c>
      <c r="C4234" s="6" t="s">
        <v>13415</v>
      </c>
      <c r="D4234" s="6" t="s">
        <v>13416</v>
      </c>
      <c r="E4234" s="7" t="s">
        <v>13417</v>
      </c>
      <c r="F4234" s="13"/>
      <c r="G4234" s="14"/>
      <c r="H4234" s="15">
        <v>56</v>
      </c>
      <c r="I4234" s="15">
        <v>7</v>
      </c>
      <c r="J4234" s="14" t="s">
        <v>144</v>
      </c>
      <c r="K4234" s="5">
        <v>56</v>
      </c>
      <c r="L4234" s="16">
        <v>36</v>
      </c>
      <c r="M4234" s="12"/>
      <c r="N4234" s="14">
        <f>L4234*M4234</f>
        <v>0</v>
      </c>
      <c r="O4234" s="23">
        <f>0.176*M4234</f>
        <v>0</v>
      </c>
      <c r="P4234" s="24">
        <f>0.00024*M4234</f>
        <v>0</v>
      </c>
      <c r="Q4234" s="25"/>
      <c r="R4234" s="26" t="s">
        <v>13418</v>
      </c>
      <c r="S4234" s="26" t="s">
        <v>93</v>
      </c>
      <c r="T4234" s="6" t="str">
        <f>HYPERLINK("https://kanzpp.ru/api/getInfo/image/78eb78e5-960f-11eb-a200-ac1f6b442185")</f>
        <v>https://kanzpp.ru/api/getInfo/image/78eb78e5-960f-11eb-a200-ac1f6b442185</v>
      </c>
      <c r="U4234" s="6"/>
      <c r="V4234" s="33" t="s">
        <v>35</v>
      </c>
    </row>
    <row r="4235" spans="2:22" ht="21" customHeight="1" outlineLevel="6" x14ac:dyDescent="0.2">
      <c r="B4235" s="69">
        <v>3194</v>
      </c>
      <c r="C4235" s="6" t="s">
        <v>13419</v>
      </c>
      <c r="D4235" s="6" t="s">
        <v>13420</v>
      </c>
      <c r="E4235" s="7" t="s">
        <v>13421</v>
      </c>
      <c r="F4235" s="13"/>
      <c r="G4235" s="14"/>
      <c r="H4235" s="15">
        <v>56</v>
      </c>
      <c r="I4235" s="15">
        <v>7</v>
      </c>
      <c r="J4235" s="14" t="s">
        <v>144</v>
      </c>
      <c r="K4235" s="5">
        <v>56</v>
      </c>
      <c r="L4235" s="16">
        <v>36</v>
      </c>
      <c r="M4235" s="12"/>
      <c r="N4235" s="14">
        <f>L4235*M4235</f>
        <v>0</v>
      </c>
      <c r="O4235" s="23">
        <f>0.167*M4235</f>
        <v>0</v>
      </c>
      <c r="P4235" s="24">
        <f>0.00032*M4235</f>
        <v>0</v>
      </c>
      <c r="Q4235" s="25"/>
      <c r="R4235" s="26" t="s">
        <v>13422</v>
      </c>
      <c r="S4235" s="26" t="s">
        <v>93</v>
      </c>
      <c r="T4235" s="6" t="str">
        <f>HYPERLINK("https://kanzpp.ru/api/getInfo/image/6d3e5434-7f06-11ef-a265-00155d82e908")</f>
        <v>https://kanzpp.ru/api/getInfo/image/6d3e5434-7f06-11ef-a265-00155d82e908</v>
      </c>
      <c r="U4235" s="6"/>
      <c r="V4235" s="33" t="s">
        <v>35</v>
      </c>
    </row>
    <row r="4236" spans="2:22" ht="21" customHeight="1" outlineLevel="6" x14ac:dyDescent="0.2">
      <c r="B4236" s="69">
        <v>3195</v>
      </c>
      <c r="C4236" s="6" t="s">
        <v>13423</v>
      </c>
      <c r="D4236" s="6" t="s">
        <v>13424</v>
      </c>
      <c r="E4236" s="7" t="s">
        <v>13425</v>
      </c>
      <c r="F4236" s="13"/>
      <c r="G4236" s="14"/>
      <c r="H4236" s="15">
        <v>56</v>
      </c>
      <c r="I4236" s="15">
        <v>7</v>
      </c>
      <c r="J4236" s="14" t="s">
        <v>144</v>
      </c>
      <c r="K4236" s="5">
        <v>56</v>
      </c>
      <c r="L4236" s="16">
        <v>36</v>
      </c>
      <c r="M4236" s="12"/>
      <c r="N4236" s="14">
        <f>L4236*M4236</f>
        <v>0</v>
      </c>
      <c r="O4236" s="28">
        <f>0.17*M4236</f>
        <v>0</v>
      </c>
      <c r="P4236" s="24">
        <f>0.00028*M4236</f>
        <v>0</v>
      </c>
      <c r="Q4236" s="25"/>
      <c r="R4236" s="26" t="s">
        <v>13426</v>
      </c>
      <c r="S4236" s="26" t="s">
        <v>93</v>
      </c>
      <c r="T4236" s="6" t="str">
        <f>HYPERLINK("https://kanzpp.ru/api/getInfo/image/c76f3b21-e681-11ee-a25a-00155d82e908")</f>
        <v>https://kanzpp.ru/api/getInfo/image/c76f3b21-e681-11ee-a25a-00155d82e908</v>
      </c>
      <c r="U4236" s="6"/>
      <c r="V4236" s="33" t="s">
        <v>35</v>
      </c>
    </row>
    <row r="4237" spans="2:22" ht="22.95" customHeight="1" outlineLevel="5" x14ac:dyDescent="0.2">
      <c r="B4237" s="83" t="s">
        <v>13427</v>
      </c>
      <c r="C4237" s="83"/>
      <c r="D4237" s="83"/>
      <c r="L4237">
        <v>0</v>
      </c>
    </row>
    <row r="4238" spans="2:22" ht="21" customHeight="1" outlineLevel="6" x14ac:dyDescent="0.2">
      <c r="B4238" s="69">
        <v>3196</v>
      </c>
      <c r="C4238" s="6" t="s">
        <v>13428</v>
      </c>
      <c r="D4238" s="6" t="s">
        <v>13429</v>
      </c>
      <c r="E4238" s="7" t="s">
        <v>13430</v>
      </c>
      <c r="F4238" s="13"/>
      <c r="G4238" s="14"/>
      <c r="H4238" s="15">
        <v>56</v>
      </c>
      <c r="I4238" s="15">
        <v>7</v>
      </c>
      <c r="J4238" s="14" t="s">
        <v>144</v>
      </c>
      <c r="K4238" s="5">
        <v>56</v>
      </c>
      <c r="L4238" s="16">
        <v>36</v>
      </c>
      <c r="M4238" s="12"/>
      <c r="N4238" s="14">
        <f>L4238*M4238</f>
        <v>0</v>
      </c>
      <c r="O4238" s="28">
        <f>0.17*M4238</f>
        <v>0</v>
      </c>
      <c r="P4238" s="24">
        <f>0.00028*M4238</f>
        <v>0</v>
      </c>
      <c r="Q4238" s="25"/>
      <c r="R4238" s="26" t="s">
        <v>13431</v>
      </c>
      <c r="S4238" s="26" t="s">
        <v>93</v>
      </c>
      <c r="T4238" s="6" t="str">
        <f>HYPERLINK("https://kanzpp.ru/api/getInfo/image/8016a96b-7f09-11ef-a265-00155d82e908")</f>
        <v>https://kanzpp.ru/api/getInfo/image/8016a96b-7f09-11ef-a265-00155d82e908</v>
      </c>
      <c r="U4238" s="6"/>
      <c r="V4238" s="33" t="s">
        <v>35</v>
      </c>
    </row>
    <row r="4239" spans="2:22" ht="21" customHeight="1" outlineLevel="6" x14ac:dyDescent="0.2">
      <c r="B4239" s="69">
        <v>3197</v>
      </c>
      <c r="C4239" s="6" t="s">
        <v>13432</v>
      </c>
      <c r="D4239" s="6" t="s">
        <v>13433</v>
      </c>
      <c r="E4239" s="7" t="s">
        <v>13434</v>
      </c>
      <c r="F4239" s="13"/>
      <c r="G4239" s="14"/>
      <c r="H4239" s="15">
        <v>56</v>
      </c>
      <c r="I4239" s="15">
        <v>7</v>
      </c>
      <c r="J4239" s="14" t="s">
        <v>144</v>
      </c>
      <c r="K4239" s="5">
        <v>56</v>
      </c>
      <c r="L4239" s="16">
        <v>36</v>
      </c>
      <c r="M4239" s="12"/>
      <c r="N4239" s="14">
        <f>L4239*M4239</f>
        <v>0</v>
      </c>
      <c r="O4239" s="23">
        <f>0.166*M4239</f>
        <v>0</v>
      </c>
      <c r="P4239" s="31">
        <f>0.0002*M4239</f>
        <v>0</v>
      </c>
      <c r="Q4239" s="25"/>
      <c r="R4239" s="26" t="s">
        <v>13435</v>
      </c>
      <c r="S4239" s="26" t="s">
        <v>93</v>
      </c>
      <c r="T4239" s="6" t="str">
        <f>HYPERLINK("https://kanzpp.ru/api/getInfo/image/b8f6f184-a400-11eb-a201-ac1f6b442185")</f>
        <v>https://kanzpp.ru/api/getInfo/image/b8f6f184-a400-11eb-a201-ac1f6b442185</v>
      </c>
      <c r="U4239" s="6"/>
      <c r="V4239" s="33" t="s">
        <v>35</v>
      </c>
    </row>
    <row r="4240" spans="2:22" ht="21" customHeight="1" outlineLevel="6" x14ac:dyDescent="0.2">
      <c r="B4240" s="69">
        <v>3198</v>
      </c>
      <c r="C4240" s="6" t="s">
        <v>13436</v>
      </c>
      <c r="D4240" s="6" t="s">
        <v>13437</v>
      </c>
      <c r="E4240" s="7" t="s">
        <v>13438</v>
      </c>
      <c r="F4240" s="13"/>
      <c r="G4240" s="14"/>
      <c r="H4240" s="15">
        <v>56</v>
      </c>
      <c r="I4240" s="15">
        <v>7</v>
      </c>
      <c r="J4240" s="14" t="s">
        <v>144</v>
      </c>
      <c r="K4240" s="5">
        <v>56</v>
      </c>
      <c r="L4240" s="16">
        <v>36</v>
      </c>
      <c r="M4240" s="12"/>
      <c r="N4240" s="14">
        <f>L4240*M4240</f>
        <v>0</v>
      </c>
      <c r="O4240" s="28">
        <f>0.17*M4240</f>
        <v>0</v>
      </c>
      <c r="P4240" s="24">
        <f>0.00028*M4240</f>
        <v>0</v>
      </c>
      <c r="Q4240" s="25"/>
      <c r="R4240" s="26" t="s">
        <v>13439</v>
      </c>
      <c r="S4240" s="26" t="s">
        <v>93</v>
      </c>
      <c r="T4240" s="6" t="str">
        <f>HYPERLINK("https://kanzpp.ru/api/getInfo/image/98a05d4b-e689-11ee-a25a-00155d82e908")</f>
        <v>https://kanzpp.ru/api/getInfo/image/98a05d4b-e689-11ee-a25a-00155d82e908</v>
      </c>
      <c r="U4240" s="6"/>
      <c r="V4240" s="33" t="s">
        <v>35</v>
      </c>
    </row>
    <row r="4241" spans="2:22" ht="22.95" customHeight="1" outlineLevel="4" x14ac:dyDescent="0.2">
      <c r="B4241" s="82" t="s">
        <v>13440</v>
      </c>
      <c r="C4241" s="82"/>
      <c r="D4241" s="82"/>
      <c r="L4241">
        <v>0</v>
      </c>
    </row>
    <row r="4242" spans="2:22" ht="22.95" customHeight="1" outlineLevel="5" x14ac:dyDescent="0.2">
      <c r="B4242" s="83" t="s">
        <v>13441</v>
      </c>
      <c r="C4242" s="83"/>
      <c r="D4242" s="83"/>
      <c r="L4242">
        <v>0</v>
      </c>
    </row>
    <row r="4243" spans="2:22" ht="22.95" customHeight="1" outlineLevel="6" x14ac:dyDescent="0.2">
      <c r="B4243" s="84" t="s">
        <v>13442</v>
      </c>
      <c r="C4243" s="84"/>
      <c r="D4243" s="84"/>
      <c r="L4243">
        <v>0</v>
      </c>
    </row>
    <row r="4244" spans="2:22" ht="21" customHeight="1" outlineLevel="7" x14ac:dyDescent="0.2">
      <c r="B4244" s="69">
        <v>3199</v>
      </c>
      <c r="C4244" s="6" t="s">
        <v>13443</v>
      </c>
      <c r="D4244" s="6" t="s">
        <v>13444</v>
      </c>
      <c r="E4244" s="7" t="s">
        <v>13445</v>
      </c>
      <c r="F4244" s="13"/>
      <c r="G4244" s="14"/>
      <c r="H4244" s="15">
        <v>48</v>
      </c>
      <c r="I4244" s="14"/>
      <c r="J4244" s="17">
        <v>1712</v>
      </c>
      <c r="K4244" s="5">
        <v>48</v>
      </c>
      <c r="L4244" s="16">
        <v>26.533333333333331</v>
      </c>
      <c r="M4244" s="12"/>
      <c r="N4244" s="14">
        <f>L4244*M4244</f>
        <v>0</v>
      </c>
      <c r="O4244" s="23">
        <f>0.185*M4244</f>
        <v>0</v>
      </c>
      <c r="P4244" s="24">
        <f>0.00048*M4244</f>
        <v>0</v>
      </c>
      <c r="Q4244" s="25"/>
      <c r="R4244" s="26" t="s">
        <v>13446</v>
      </c>
      <c r="S4244" s="26" t="s">
        <v>93</v>
      </c>
      <c r="T4244" s="6" t="str">
        <f>HYPERLINK("https://kanzpp.ru/api/getInfo/image/c00f6ceb-e67f-11ee-a25a-00155d82e908")</f>
        <v>https://kanzpp.ru/api/getInfo/image/c00f6ceb-e67f-11ee-a25a-00155d82e908</v>
      </c>
      <c r="U4244" s="6"/>
      <c r="V4244" s="33" t="s">
        <v>35</v>
      </c>
    </row>
    <row r="4245" spans="2:22" ht="22.95" customHeight="1" outlineLevel="5" x14ac:dyDescent="0.2">
      <c r="B4245" s="83" t="s">
        <v>13447</v>
      </c>
      <c r="C4245" s="83"/>
      <c r="D4245" s="83"/>
      <c r="L4245">
        <v>0</v>
      </c>
    </row>
    <row r="4246" spans="2:22" ht="21" customHeight="1" outlineLevel="6" x14ac:dyDescent="0.2">
      <c r="B4246" s="69">
        <v>3200</v>
      </c>
      <c r="C4246" s="6" t="s">
        <v>13448</v>
      </c>
      <c r="D4246" s="6" t="s">
        <v>13449</v>
      </c>
      <c r="E4246" s="7" t="s">
        <v>13450</v>
      </c>
      <c r="F4246" s="13"/>
      <c r="G4246" s="14"/>
      <c r="H4246" s="15">
        <v>48</v>
      </c>
      <c r="I4246" s="14"/>
      <c r="J4246" s="17">
        <v>2581</v>
      </c>
      <c r="K4246" s="5">
        <v>48</v>
      </c>
      <c r="L4246" s="16">
        <v>26.533333333333331</v>
      </c>
      <c r="M4246" s="12"/>
      <c r="N4246" s="14">
        <f>L4246*M4246</f>
        <v>0</v>
      </c>
      <c r="O4246" s="23">
        <f>0.172*M4246</f>
        <v>0</v>
      </c>
      <c r="P4246" s="24">
        <f>0.00044*M4246</f>
        <v>0</v>
      </c>
      <c r="Q4246" s="25"/>
      <c r="R4246" s="26" t="s">
        <v>13451</v>
      </c>
      <c r="S4246" s="26" t="s">
        <v>93</v>
      </c>
      <c r="T4246" s="6" t="str">
        <f>HYPERLINK("https://kanzpp.ru/api/getInfo/image/ff4a7d81-166a-11ef-a25d-00155d82e908")</f>
        <v>https://kanzpp.ru/api/getInfo/image/ff4a7d81-166a-11ef-a25d-00155d82e908</v>
      </c>
      <c r="U4246" s="6"/>
      <c r="V4246" s="33" t="s">
        <v>35</v>
      </c>
    </row>
    <row r="4247" spans="2:22" ht="21" customHeight="1" outlineLevel="6" x14ac:dyDescent="0.2">
      <c r="B4247" s="69">
        <v>3201</v>
      </c>
      <c r="C4247" s="6" t="s">
        <v>13452</v>
      </c>
      <c r="D4247" s="6" t="s">
        <v>13453</v>
      </c>
      <c r="E4247" s="7" t="s">
        <v>13454</v>
      </c>
      <c r="F4247" s="13"/>
      <c r="G4247" s="14"/>
      <c r="H4247" s="15">
        <v>48</v>
      </c>
      <c r="I4247" s="14"/>
      <c r="J4247" s="17">
        <v>1908</v>
      </c>
      <c r="K4247" s="5">
        <v>48</v>
      </c>
      <c r="L4247" s="16">
        <v>26.533333333333331</v>
      </c>
      <c r="M4247" s="12"/>
      <c r="N4247" s="14">
        <f>L4247*M4247</f>
        <v>0</v>
      </c>
      <c r="O4247" s="23">
        <f>0.184*M4247</f>
        <v>0</v>
      </c>
      <c r="P4247" s="24">
        <f>0.00028*M4247</f>
        <v>0</v>
      </c>
      <c r="Q4247" s="25"/>
      <c r="R4247" s="26" t="s">
        <v>13455</v>
      </c>
      <c r="S4247" s="26" t="s">
        <v>93</v>
      </c>
      <c r="T4247" s="6" t="str">
        <f>HYPERLINK("https://kanzpp.ru/api/getInfo/image/d5a52d64-38e5-11ed-a216-ac1f6b442185")</f>
        <v>https://kanzpp.ru/api/getInfo/image/d5a52d64-38e5-11ed-a216-ac1f6b442185</v>
      </c>
      <c r="U4247" s="6"/>
      <c r="V4247" s="33" t="s">
        <v>35</v>
      </c>
    </row>
    <row r="4248" spans="2:22" ht="21" customHeight="1" outlineLevel="6" x14ac:dyDescent="0.2">
      <c r="B4248" s="69">
        <v>3202</v>
      </c>
      <c r="C4248" s="6" t="s">
        <v>13456</v>
      </c>
      <c r="D4248" s="6" t="s">
        <v>13457</v>
      </c>
      <c r="E4248" s="7" t="s">
        <v>13458</v>
      </c>
      <c r="F4248" s="13"/>
      <c r="G4248" s="14"/>
      <c r="H4248" s="15">
        <v>48</v>
      </c>
      <c r="I4248" s="14"/>
      <c r="J4248" s="15">
        <v>62</v>
      </c>
      <c r="K4248" s="5">
        <v>48</v>
      </c>
      <c r="L4248" s="16">
        <v>19.866666666666667</v>
      </c>
      <c r="M4248" s="12"/>
      <c r="N4248" s="14">
        <f>L4248*M4248</f>
        <v>0</v>
      </c>
      <c r="O4248" s="23">
        <f>0.184*M4248</f>
        <v>0</v>
      </c>
      <c r="P4248" s="24">
        <f>0.00028*M4248</f>
        <v>0</v>
      </c>
      <c r="Q4248" s="25"/>
      <c r="R4248" s="26" t="s">
        <v>13459</v>
      </c>
      <c r="S4248" s="26" t="s">
        <v>93</v>
      </c>
      <c r="T4248" s="6" t="str">
        <f>HYPERLINK("https://kanzpp.ru/api/getInfo/image/5039af0f-32e9-11eb-a25e-ac1f6b442184")</f>
        <v>https://kanzpp.ru/api/getInfo/image/5039af0f-32e9-11eb-a25e-ac1f6b442184</v>
      </c>
      <c r="U4248" s="6"/>
      <c r="V4248" s="33" t="s">
        <v>35</v>
      </c>
    </row>
    <row r="4249" spans="2:22" ht="21" customHeight="1" outlineLevel="6" x14ac:dyDescent="0.2">
      <c r="B4249" s="69">
        <v>3203</v>
      </c>
      <c r="C4249" s="6" t="s">
        <v>13460</v>
      </c>
      <c r="D4249" s="6" t="s">
        <v>13461</v>
      </c>
      <c r="E4249" s="7" t="s">
        <v>13462</v>
      </c>
      <c r="F4249" s="13"/>
      <c r="G4249" s="14"/>
      <c r="H4249" s="15">
        <v>48</v>
      </c>
      <c r="I4249" s="14"/>
      <c r="J4249" s="17">
        <v>1030</v>
      </c>
      <c r="K4249" s="5">
        <v>48</v>
      </c>
      <c r="L4249" s="16">
        <v>26.533333333333331</v>
      </c>
      <c r="M4249" s="12"/>
      <c r="N4249" s="14">
        <f>L4249*M4249</f>
        <v>0</v>
      </c>
      <c r="O4249" s="23">
        <f>0.184*M4249</f>
        <v>0</v>
      </c>
      <c r="P4249" s="24">
        <f>0.00028*M4249</f>
        <v>0</v>
      </c>
      <c r="Q4249" s="25"/>
      <c r="R4249" s="26" t="s">
        <v>13463</v>
      </c>
      <c r="S4249" s="26" t="s">
        <v>93</v>
      </c>
      <c r="T4249" s="6" t="str">
        <f>HYPERLINK("https://kanzpp.ru/api/getInfo/image/fce6c77e-32e8-11eb-a25e-ac1f6b442184")</f>
        <v>https://kanzpp.ru/api/getInfo/image/fce6c77e-32e8-11eb-a25e-ac1f6b442184</v>
      </c>
      <c r="U4249" s="6"/>
      <c r="V4249" s="33" t="s">
        <v>35</v>
      </c>
    </row>
    <row r="4250" spans="2:22" ht="22.95" customHeight="1" outlineLevel="5" x14ac:dyDescent="0.2">
      <c r="B4250" s="83" t="s">
        <v>13464</v>
      </c>
      <c r="C4250" s="83"/>
      <c r="D4250" s="83"/>
      <c r="L4250">
        <v>0</v>
      </c>
    </row>
    <row r="4251" spans="2:22" ht="21" customHeight="1" outlineLevel="6" x14ac:dyDescent="0.2">
      <c r="B4251" s="69">
        <v>3204</v>
      </c>
      <c r="C4251" s="6" t="s">
        <v>13465</v>
      </c>
      <c r="D4251" s="6" t="s">
        <v>13466</v>
      </c>
      <c r="E4251" s="7" t="s">
        <v>13467</v>
      </c>
      <c r="F4251" s="13"/>
      <c r="G4251" s="14"/>
      <c r="H4251" s="15">
        <v>48</v>
      </c>
      <c r="I4251" s="15">
        <v>6</v>
      </c>
      <c r="J4251" s="17">
        <v>8206</v>
      </c>
      <c r="K4251" s="5">
        <v>48</v>
      </c>
      <c r="L4251" s="16">
        <v>19.866666666666667</v>
      </c>
      <c r="M4251" s="12"/>
      <c r="N4251" s="14">
        <f t="shared" ref="N4251:N4257" si="195">L4251*M4251</f>
        <v>0</v>
      </c>
      <c r="O4251" s="27">
        <f>0.2*M4251</f>
        <v>0</v>
      </c>
      <c r="P4251" s="24">
        <f>0.00034*M4251</f>
        <v>0</v>
      </c>
      <c r="Q4251" s="25"/>
      <c r="R4251" s="26" t="s">
        <v>13468</v>
      </c>
      <c r="S4251" s="26" t="s">
        <v>93</v>
      </c>
      <c r="T4251" s="6" t="str">
        <f>HYPERLINK("https://kanzpp.ru/api/getInfo/image/694c0f79-3869-11eb-a25e-ac1f6b442184")</f>
        <v>https://kanzpp.ru/api/getInfo/image/694c0f79-3869-11eb-a25e-ac1f6b442184</v>
      </c>
      <c r="U4251" s="6"/>
      <c r="V4251" s="33" t="s">
        <v>35</v>
      </c>
    </row>
    <row r="4252" spans="2:22" ht="21" customHeight="1" outlineLevel="6" x14ac:dyDescent="0.2">
      <c r="B4252" s="69">
        <v>3205</v>
      </c>
      <c r="C4252" s="6" t="s">
        <v>13469</v>
      </c>
      <c r="D4252" s="6" t="s">
        <v>13470</v>
      </c>
      <c r="E4252" s="7" t="s">
        <v>13471</v>
      </c>
      <c r="F4252" s="13"/>
      <c r="G4252" s="14"/>
      <c r="H4252" s="15">
        <v>48</v>
      </c>
      <c r="I4252" s="15">
        <v>6</v>
      </c>
      <c r="J4252" s="17">
        <v>3888</v>
      </c>
      <c r="K4252" s="5">
        <v>48</v>
      </c>
      <c r="L4252" s="16">
        <v>19.866666666666667</v>
      </c>
      <c r="M4252" s="12"/>
      <c r="N4252" s="14">
        <f t="shared" si="195"/>
        <v>0</v>
      </c>
      <c r="O4252" s="23">
        <f>0.197*M4252</f>
        <v>0</v>
      </c>
      <c r="P4252" s="24">
        <f>0.00011*M4252</f>
        <v>0</v>
      </c>
      <c r="Q4252" s="25"/>
      <c r="R4252" s="26" t="s">
        <v>13472</v>
      </c>
      <c r="S4252" s="26" t="s">
        <v>93</v>
      </c>
      <c r="T4252" s="6" t="str">
        <f>HYPERLINK("https://kanzpp.ru/api/getInfo/image/fe14fd5c-60d8-11ed-a229-00155d82e902")</f>
        <v>https://kanzpp.ru/api/getInfo/image/fe14fd5c-60d8-11ed-a229-00155d82e902</v>
      </c>
      <c r="U4252" s="6"/>
      <c r="V4252" s="33" t="s">
        <v>35</v>
      </c>
    </row>
    <row r="4253" spans="2:22" ht="21" customHeight="1" outlineLevel="6" x14ac:dyDescent="0.2">
      <c r="B4253" s="69">
        <v>3206</v>
      </c>
      <c r="C4253" s="6" t="s">
        <v>13473</v>
      </c>
      <c r="D4253" s="6" t="s">
        <v>13474</v>
      </c>
      <c r="E4253" s="7" t="s">
        <v>13475</v>
      </c>
      <c r="F4253" s="13"/>
      <c r="G4253" s="14"/>
      <c r="H4253" s="15">
        <v>48</v>
      </c>
      <c r="I4253" s="15">
        <v>6</v>
      </c>
      <c r="J4253" s="17">
        <v>3588</v>
      </c>
      <c r="K4253" s="5">
        <v>48</v>
      </c>
      <c r="L4253" s="16">
        <v>19.866666666666667</v>
      </c>
      <c r="M4253" s="12"/>
      <c r="N4253" s="14">
        <f t="shared" si="195"/>
        <v>0</v>
      </c>
      <c r="O4253" s="27">
        <f>0.2*M4253</f>
        <v>0</v>
      </c>
      <c r="P4253" s="24">
        <f>0.00034*M4253</f>
        <v>0</v>
      </c>
      <c r="Q4253" s="25"/>
      <c r="R4253" s="26" t="s">
        <v>13476</v>
      </c>
      <c r="S4253" s="26" t="s">
        <v>93</v>
      </c>
      <c r="T4253" s="6" t="str">
        <f>HYPERLINK("https://kanzpp.ru/api/getInfo/image/12dc3a3b-386a-11eb-a25e-ac1f6b442184")</f>
        <v>https://kanzpp.ru/api/getInfo/image/12dc3a3b-386a-11eb-a25e-ac1f6b442184</v>
      </c>
      <c r="U4253" s="6"/>
      <c r="V4253" s="33" t="s">
        <v>35</v>
      </c>
    </row>
    <row r="4254" spans="2:22" ht="21" customHeight="1" outlineLevel="6" x14ac:dyDescent="0.2">
      <c r="B4254" s="69">
        <v>3207</v>
      </c>
      <c r="C4254" s="6" t="s">
        <v>13477</v>
      </c>
      <c r="D4254" s="6" t="s">
        <v>13478</v>
      </c>
      <c r="E4254" s="7" t="s">
        <v>13479</v>
      </c>
      <c r="F4254" s="13"/>
      <c r="G4254" s="14"/>
      <c r="H4254" s="15">
        <v>48</v>
      </c>
      <c r="I4254" s="15">
        <v>6</v>
      </c>
      <c r="J4254" s="17">
        <v>1929</v>
      </c>
      <c r="K4254" s="5">
        <v>48</v>
      </c>
      <c r="L4254" s="16">
        <v>19.866666666666667</v>
      </c>
      <c r="M4254" s="12"/>
      <c r="N4254" s="14">
        <f t="shared" si="195"/>
        <v>0</v>
      </c>
      <c r="O4254" s="23">
        <f>0.201*M4254</f>
        <v>0</v>
      </c>
      <c r="P4254" s="24">
        <f>0.00041*M4254</f>
        <v>0</v>
      </c>
      <c r="Q4254" s="25"/>
      <c r="R4254" s="26" t="s">
        <v>13480</v>
      </c>
      <c r="S4254" s="26" t="s">
        <v>93</v>
      </c>
      <c r="T4254" s="6" t="str">
        <f>HYPERLINK("https://kanzpp.ru/api/getInfo/image/ddbb9cdb-60d7-11ed-a229-00155d82e902")</f>
        <v>https://kanzpp.ru/api/getInfo/image/ddbb9cdb-60d7-11ed-a229-00155d82e902</v>
      </c>
      <c r="U4254" s="6"/>
      <c r="V4254" s="33" t="s">
        <v>35</v>
      </c>
    </row>
    <row r="4255" spans="2:22" ht="21" customHeight="1" outlineLevel="6" x14ac:dyDescent="0.2">
      <c r="B4255" s="69">
        <v>3208</v>
      </c>
      <c r="C4255" s="6" t="s">
        <v>13481</v>
      </c>
      <c r="D4255" s="6" t="s">
        <v>13482</v>
      </c>
      <c r="E4255" s="7" t="s">
        <v>13483</v>
      </c>
      <c r="F4255" s="13"/>
      <c r="G4255" s="14"/>
      <c r="H4255" s="15">
        <v>48</v>
      </c>
      <c r="I4255" s="15">
        <v>6</v>
      </c>
      <c r="J4255" s="17">
        <v>9209</v>
      </c>
      <c r="K4255" s="5">
        <v>48</v>
      </c>
      <c r="L4255" s="16">
        <v>26.533333333333331</v>
      </c>
      <c r="M4255" s="12"/>
      <c r="N4255" s="14">
        <f t="shared" si="195"/>
        <v>0</v>
      </c>
      <c r="O4255" s="23">
        <f>0.197*M4255</f>
        <v>0</v>
      </c>
      <c r="P4255" s="24">
        <f>0.00048*M4255</f>
        <v>0</v>
      </c>
      <c r="Q4255" s="25"/>
      <c r="R4255" s="26" t="s">
        <v>13484</v>
      </c>
      <c r="S4255" s="26" t="s">
        <v>93</v>
      </c>
      <c r="T4255" s="6" t="str">
        <f>HYPERLINK("https://kanzpp.ru/api/getInfo/image/77c1c133-f599-11ee-a25b-00155d82e908")</f>
        <v>https://kanzpp.ru/api/getInfo/image/77c1c133-f599-11ee-a25b-00155d82e908</v>
      </c>
      <c r="U4255" s="6"/>
      <c r="V4255" s="33" t="s">
        <v>35</v>
      </c>
    </row>
    <row r="4256" spans="2:22" ht="21" customHeight="1" outlineLevel="6" x14ac:dyDescent="0.2">
      <c r="B4256" s="69">
        <v>3209</v>
      </c>
      <c r="C4256" s="6" t="s">
        <v>13485</v>
      </c>
      <c r="D4256" s="6" t="s">
        <v>13486</v>
      </c>
      <c r="E4256" s="7" t="s">
        <v>13487</v>
      </c>
      <c r="F4256" s="13"/>
      <c r="G4256" s="14"/>
      <c r="H4256" s="15">
        <v>48</v>
      </c>
      <c r="I4256" s="15">
        <v>6</v>
      </c>
      <c r="J4256" s="17">
        <v>2112</v>
      </c>
      <c r="K4256" s="5">
        <v>48</v>
      </c>
      <c r="L4256" s="16">
        <v>19.866666666666667</v>
      </c>
      <c r="M4256" s="12"/>
      <c r="N4256" s="14">
        <f t="shared" si="195"/>
        <v>0</v>
      </c>
      <c r="O4256" s="27">
        <f>0.2*M4256</f>
        <v>0</v>
      </c>
      <c r="P4256" s="24">
        <f>0.00034*M4256</f>
        <v>0</v>
      </c>
      <c r="Q4256" s="25"/>
      <c r="R4256" s="26" t="s">
        <v>13488</v>
      </c>
      <c r="S4256" s="26" t="s">
        <v>93</v>
      </c>
      <c r="T4256" s="6" t="str">
        <f>HYPERLINK("https://kanzpp.ru/api/getInfo/image/b522d68f-386d-11eb-a25e-ac1f6b442184")</f>
        <v>https://kanzpp.ru/api/getInfo/image/b522d68f-386d-11eb-a25e-ac1f6b442184</v>
      </c>
      <c r="U4256" s="6"/>
      <c r="V4256" s="33" t="s">
        <v>35</v>
      </c>
    </row>
    <row r="4257" spans="2:22" ht="21" customHeight="1" outlineLevel="6" x14ac:dyDescent="0.2">
      <c r="B4257" s="69">
        <v>3210</v>
      </c>
      <c r="C4257" s="6" t="s">
        <v>13489</v>
      </c>
      <c r="D4257" s="6" t="s">
        <v>13490</v>
      </c>
      <c r="E4257" s="7" t="s">
        <v>13491</v>
      </c>
      <c r="F4257" s="13"/>
      <c r="G4257" s="14"/>
      <c r="H4257" s="15">
        <v>48</v>
      </c>
      <c r="I4257" s="15">
        <v>6</v>
      </c>
      <c r="J4257" s="17">
        <v>8513</v>
      </c>
      <c r="K4257" s="5">
        <v>48</v>
      </c>
      <c r="L4257" s="16">
        <v>19.866666666666667</v>
      </c>
      <c r="M4257" s="12"/>
      <c r="N4257" s="14">
        <f t="shared" si="195"/>
        <v>0</v>
      </c>
      <c r="O4257" s="23">
        <f>0.197*M4257</f>
        <v>0</v>
      </c>
      <c r="P4257" s="24">
        <f>0.00048*M4257</f>
        <v>0</v>
      </c>
      <c r="Q4257" s="25"/>
      <c r="R4257" s="26" t="s">
        <v>13492</v>
      </c>
      <c r="S4257" s="26" t="s">
        <v>93</v>
      </c>
      <c r="T4257" s="6" t="str">
        <f>HYPERLINK("https://kanzpp.ru/api/getInfo/image/3f683498-f59a-11ee-a25b-00155d82e908")</f>
        <v>https://kanzpp.ru/api/getInfo/image/3f683498-f59a-11ee-a25b-00155d82e908</v>
      </c>
      <c r="U4257" s="6"/>
      <c r="V4257" s="33" t="s">
        <v>35</v>
      </c>
    </row>
    <row r="4258" spans="2:22" ht="22.95" customHeight="1" outlineLevel="5" x14ac:dyDescent="0.2">
      <c r="B4258" s="83" t="s">
        <v>13493</v>
      </c>
      <c r="C4258" s="83"/>
      <c r="D4258" s="83"/>
      <c r="L4258">
        <v>0</v>
      </c>
    </row>
    <row r="4259" spans="2:22" ht="21" customHeight="1" outlineLevel="6" x14ac:dyDescent="0.2">
      <c r="B4259" s="71">
        <v>3211</v>
      </c>
      <c r="C4259" s="37" t="s">
        <v>13494</v>
      </c>
      <c r="D4259" s="37" t="s">
        <v>13495</v>
      </c>
      <c r="E4259" s="38" t="s">
        <v>13496</v>
      </c>
      <c r="F4259" s="39"/>
      <c r="G4259" s="40"/>
      <c r="H4259" s="41">
        <v>48</v>
      </c>
      <c r="I4259" s="41">
        <v>6</v>
      </c>
      <c r="J4259" s="50">
        <v>3144</v>
      </c>
      <c r="K4259" s="36">
        <v>48</v>
      </c>
      <c r="L4259" s="42">
        <f>(53.2*(1-O3/100))/0.75</f>
        <v>70.933333333333337</v>
      </c>
      <c r="M4259" s="12"/>
      <c r="N4259" s="40">
        <f t="shared" ref="N4259:N4270" si="196">L4259*M4259</f>
        <v>0</v>
      </c>
      <c r="O4259" s="43">
        <f>9.912*M4259</f>
        <v>0</v>
      </c>
      <c r="P4259" s="47">
        <f>0.01854*M4259</f>
        <v>0</v>
      </c>
      <c r="Q4259" s="44"/>
      <c r="R4259" s="45" t="s">
        <v>13497</v>
      </c>
      <c r="S4259" s="45" t="s">
        <v>93</v>
      </c>
      <c r="T4259" s="37" t="str">
        <f>HYPERLINK("https://kanzpp.ru/api/getInfo/image/522ec018-bc78-11ef-a267-00155d82e908")</f>
        <v>https://kanzpp.ru/api/getInfo/image/522ec018-bc78-11ef-a267-00155d82e908</v>
      </c>
      <c r="U4259" s="37"/>
    </row>
    <row r="4260" spans="2:22" ht="21" customHeight="1" outlineLevel="6" x14ac:dyDescent="0.2">
      <c r="B4260" s="69">
        <v>3212</v>
      </c>
      <c r="C4260" s="6" t="s">
        <v>13498</v>
      </c>
      <c r="D4260" s="6" t="s">
        <v>13499</v>
      </c>
      <c r="E4260" s="7" t="s">
        <v>13500</v>
      </c>
      <c r="F4260" s="13"/>
      <c r="G4260" s="14"/>
      <c r="H4260" s="15">
        <v>48</v>
      </c>
      <c r="I4260" s="15">
        <v>6</v>
      </c>
      <c r="J4260" s="15">
        <v>72</v>
      </c>
      <c r="K4260" s="5">
        <v>48</v>
      </c>
      <c r="L4260" s="16">
        <v>53.32</v>
      </c>
      <c r="M4260" s="12"/>
      <c r="N4260" s="14">
        <f t="shared" si="196"/>
        <v>0</v>
      </c>
      <c r="O4260" s="27">
        <f>0.2*M4260</f>
        <v>0</v>
      </c>
      <c r="P4260" s="24">
        <f>0.00052*M4260</f>
        <v>0</v>
      </c>
      <c r="Q4260" s="25"/>
      <c r="R4260" s="26" t="s">
        <v>13501</v>
      </c>
      <c r="S4260" s="26" t="s">
        <v>93</v>
      </c>
      <c r="T4260" s="6"/>
      <c r="U4260" s="6"/>
      <c r="V4260" s="33" t="s">
        <v>35</v>
      </c>
    </row>
    <row r="4261" spans="2:22" ht="21" customHeight="1" outlineLevel="6" x14ac:dyDescent="0.2">
      <c r="B4261" s="71">
        <v>3213</v>
      </c>
      <c r="C4261" s="37" t="s">
        <v>13502</v>
      </c>
      <c r="D4261" s="37" t="s">
        <v>13503</v>
      </c>
      <c r="E4261" s="38" t="s">
        <v>13504</v>
      </c>
      <c r="F4261" s="39"/>
      <c r="G4261" s="40"/>
      <c r="H4261" s="41">
        <v>48</v>
      </c>
      <c r="I4261" s="41">
        <v>6</v>
      </c>
      <c r="J4261" s="50">
        <v>2364</v>
      </c>
      <c r="K4261" s="36">
        <v>48</v>
      </c>
      <c r="L4261" s="42">
        <f>(53.2*(1-O3/100))/0.75</f>
        <v>70.933333333333337</v>
      </c>
      <c r="M4261" s="12"/>
      <c r="N4261" s="40">
        <f t="shared" si="196"/>
        <v>0</v>
      </c>
      <c r="O4261" s="43">
        <f>0.206*M4261</f>
        <v>0</v>
      </c>
      <c r="P4261" s="47">
        <f>0.00038*M4261</f>
        <v>0</v>
      </c>
      <c r="Q4261" s="44"/>
      <c r="R4261" s="45" t="s">
        <v>13505</v>
      </c>
      <c r="S4261" s="45" t="s">
        <v>93</v>
      </c>
      <c r="T4261" s="37" t="str">
        <f>HYPERLINK("https://kanzpp.ru/api/getInfo/image/b6d85c1f-c064-11f0-a289-00155d82e908")</f>
        <v>https://kanzpp.ru/api/getInfo/image/b6d85c1f-c064-11f0-a289-00155d82e908</v>
      </c>
      <c r="U4261" s="37"/>
    </row>
    <row r="4262" spans="2:22" ht="21" customHeight="1" outlineLevel="6" x14ac:dyDescent="0.2">
      <c r="B4262" s="71">
        <v>3214</v>
      </c>
      <c r="C4262" s="37" t="s">
        <v>13506</v>
      </c>
      <c r="D4262" s="37" t="s">
        <v>13507</v>
      </c>
      <c r="E4262" s="38" t="s">
        <v>13508</v>
      </c>
      <c r="F4262" s="39"/>
      <c r="G4262" s="40"/>
      <c r="H4262" s="41">
        <v>48</v>
      </c>
      <c r="I4262" s="41">
        <v>6</v>
      </c>
      <c r="J4262" s="50">
        <v>2576</v>
      </c>
      <c r="K4262" s="36">
        <v>48</v>
      </c>
      <c r="L4262" s="42">
        <f>(53.2*(1-O3/100))/0.75</f>
        <v>70.933333333333337</v>
      </c>
      <c r="M4262" s="12"/>
      <c r="N4262" s="40">
        <f t="shared" si="196"/>
        <v>0</v>
      </c>
      <c r="O4262" s="43">
        <f>0.199*M4262</f>
        <v>0</v>
      </c>
      <c r="P4262" s="47">
        <f>0.00042*M4262</f>
        <v>0</v>
      </c>
      <c r="Q4262" s="44"/>
      <c r="R4262" s="45" t="s">
        <v>13509</v>
      </c>
      <c r="S4262" s="45" t="s">
        <v>93</v>
      </c>
      <c r="T4262" s="37" t="str">
        <f>HYPERLINK("https://kanzpp.ru/api/getInfo/image/62955d7f-bbb6-11f0-a288-00155d82e908")</f>
        <v>https://kanzpp.ru/api/getInfo/image/62955d7f-bbb6-11f0-a288-00155d82e908</v>
      </c>
      <c r="U4262" s="37"/>
    </row>
    <row r="4263" spans="2:22" ht="21" customHeight="1" outlineLevel="6" x14ac:dyDescent="0.2">
      <c r="B4263" s="71">
        <v>3215</v>
      </c>
      <c r="C4263" s="37" t="s">
        <v>13510</v>
      </c>
      <c r="D4263" s="37" t="s">
        <v>13511</v>
      </c>
      <c r="E4263" s="38" t="s">
        <v>13512</v>
      </c>
      <c r="F4263" s="39"/>
      <c r="G4263" s="40"/>
      <c r="H4263" s="41">
        <v>48</v>
      </c>
      <c r="I4263" s="41">
        <v>6</v>
      </c>
      <c r="J4263" s="50">
        <v>1524</v>
      </c>
      <c r="K4263" s="36">
        <v>48</v>
      </c>
      <c r="L4263" s="42">
        <f>(53.2*(1-O3/100))/0.75</f>
        <v>70.933333333333337</v>
      </c>
      <c r="M4263" s="12"/>
      <c r="N4263" s="40">
        <f t="shared" si="196"/>
        <v>0</v>
      </c>
      <c r="O4263" s="49">
        <f>0.2*M4263</f>
        <v>0</v>
      </c>
      <c r="P4263" s="47">
        <f>0.00039*M4263</f>
        <v>0</v>
      </c>
      <c r="Q4263" s="44"/>
      <c r="R4263" s="45" t="s">
        <v>13513</v>
      </c>
      <c r="S4263" s="45" t="s">
        <v>93</v>
      </c>
      <c r="T4263" s="37" t="str">
        <f>HYPERLINK("https://kanzpp.ru/api/getInfo/image/01a9786b-bbb7-11f0-a288-00155d82e908")</f>
        <v>https://kanzpp.ru/api/getInfo/image/01a9786b-bbb7-11f0-a288-00155d82e908</v>
      </c>
      <c r="U4263" s="37"/>
    </row>
    <row r="4264" spans="2:22" ht="21" customHeight="1" outlineLevel="6" x14ac:dyDescent="0.2">
      <c r="B4264" s="71">
        <v>3216</v>
      </c>
      <c r="C4264" s="37" t="s">
        <v>13514</v>
      </c>
      <c r="D4264" s="37" t="s">
        <v>13515</v>
      </c>
      <c r="E4264" s="38" t="s">
        <v>13516</v>
      </c>
      <c r="F4264" s="39"/>
      <c r="G4264" s="40"/>
      <c r="H4264" s="41">
        <v>48</v>
      </c>
      <c r="I4264" s="41">
        <v>6</v>
      </c>
      <c r="J4264" s="50">
        <v>3704</v>
      </c>
      <c r="K4264" s="36">
        <v>48</v>
      </c>
      <c r="L4264" s="42">
        <f>(53.2*(1-O3/100))/0.75</f>
        <v>70.933333333333337</v>
      </c>
      <c r="M4264" s="12"/>
      <c r="N4264" s="40">
        <f t="shared" si="196"/>
        <v>0</v>
      </c>
      <c r="O4264" s="43">
        <f>0.199*M4264</f>
        <v>0</v>
      </c>
      <c r="P4264" s="47">
        <f>0.00038*M4264</f>
        <v>0</v>
      </c>
      <c r="Q4264" s="44"/>
      <c r="R4264" s="45" t="s">
        <v>13517</v>
      </c>
      <c r="S4264" s="45" t="s">
        <v>93</v>
      </c>
      <c r="T4264" s="37" t="str">
        <f>HYPERLINK("https://kanzpp.ru/api/getInfo/image/8c143943-bbb5-11f0-a288-00155d82e908")</f>
        <v>https://kanzpp.ru/api/getInfo/image/8c143943-bbb5-11f0-a288-00155d82e908</v>
      </c>
      <c r="U4264" s="37"/>
    </row>
    <row r="4265" spans="2:22" ht="21" customHeight="1" outlineLevel="6" x14ac:dyDescent="0.2">
      <c r="B4265" s="71">
        <v>3217</v>
      </c>
      <c r="C4265" s="37" t="s">
        <v>13518</v>
      </c>
      <c r="D4265" s="37" t="s">
        <v>13519</v>
      </c>
      <c r="E4265" s="38" t="s">
        <v>13520</v>
      </c>
      <c r="F4265" s="39"/>
      <c r="G4265" s="40"/>
      <c r="H4265" s="41">
        <v>48</v>
      </c>
      <c r="I4265" s="41">
        <v>6</v>
      </c>
      <c r="J4265" s="50">
        <v>14196</v>
      </c>
      <c r="K4265" s="36">
        <v>48</v>
      </c>
      <c r="L4265" s="42">
        <f>(53.2*(1-O3/100))/0.75</f>
        <v>70.933333333333337</v>
      </c>
      <c r="M4265" s="12"/>
      <c r="N4265" s="40">
        <f t="shared" si="196"/>
        <v>0</v>
      </c>
      <c r="O4265" s="43">
        <f>0.202*M4265</f>
        <v>0</v>
      </c>
      <c r="P4265" s="47">
        <f>0.00038*M4265</f>
        <v>0</v>
      </c>
      <c r="Q4265" s="44"/>
      <c r="R4265" s="45" t="s">
        <v>13521</v>
      </c>
      <c r="S4265" s="45" t="s">
        <v>93</v>
      </c>
      <c r="T4265" s="37" t="str">
        <f>HYPERLINK("https://kanzpp.ru/api/getInfo/image/e5f39067-bbb3-11f0-a288-00155d82e908")</f>
        <v>https://kanzpp.ru/api/getInfo/image/e5f39067-bbb3-11f0-a288-00155d82e908</v>
      </c>
      <c r="U4265" s="37"/>
    </row>
    <row r="4266" spans="2:22" ht="21" customHeight="1" outlineLevel="6" x14ac:dyDescent="0.2">
      <c r="B4266" s="71">
        <v>3218</v>
      </c>
      <c r="C4266" s="37" t="s">
        <v>13522</v>
      </c>
      <c r="D4266" s="37" t="s">
        <v>13523</v>
      </c>
      <c r="E4266" s="38" t="s">
        <v>13524</v>
      </c>
      <c r="F4266" s="39"/>
      <c r="G4266" s="40"/>
      <c r="H4266" s="41">
        <v>48</v>
      </c>
      <c r="I4266" s="41">
        <v>6</v>
      </c>
      <c r="J4266" s="50">
        <v>5172</v>
      </c>
      <c r="K4266" s="36">
        <v>48</v>
      </c>
      <c r="L4266" s="42">
        <f>(53.2*(1-O3/100))/0.75</f>
        <v>70.933333333333337</v>
      </c>
      <c r="M4266" s="12"/>
      <c r="N4266" s="40">
        <f t="shared" si="196"/>
        <v>0</v>
      </c>
      <c r="O4266" s="43">
        <f>0.196*M4266</f>
        <v>0</v>
      </c>
      <c r="P4266" s="47">
        <f>0.00038*M4266</f>
        <v>0</v>
      </c>
      <c r="Q4266" s="44"/>
      <c r="R4266" s="45" t="s">
        <v>13525</v>
      </c>
      <c r="S4266" s="45" t="s">
        <v>93</v>
      </c>
      <c r="T4266" s="37" t="str">
        <f>HYPERLINK("https://kanzpp.ru/api/getInfo/image/078586c9-bbb5-11f0-a288-00155d82e908")</f>
        <v>https://kanzpp.ru/api/getInfo/image/078586c9-bbb5-11f0-a288-00155d82e908</v>
      </c>
      <c r="U4266" s="37"/>
    </row>
    <row r="4267" spans="2:22" ht="21" customHeight="1" outlineLevel="6" x14ac:dyDescent="0.2">
      <c r="B4267" s="71">
        <v>3219</v>
      </c>
      <c r="C4267" s="37" t="s">
        <v>13526</v>
      </c>
      <c r="D4267" s="37" t="s">
        <v>13527</v>
      </c>
      <c r="E4267" s="38" t="s">
        <v>13528</v>
      </c>
      <c r="F4267" s="39"/>
      <c r="G4267" s="40"/>
      <c r="H4267" s="41">
        <v>48</v>
      </c>
      <c r="I4267" s="41">
        <v>6</v>
      </c>
      <c r="J4267" s="50">
        <v>16362</v>
      </c>
      <c r="K4267" s="36">
        <v>48</v>
      </c>
      <c r="L4267" s="42">
        <f>(53.2*(1-O3/100))/0.75</f>
        <v>70.933333333333337</v>
      </c>
      <c r="M4267" s="12"/>
      <c r="N4267" s="40">
        <f t="shared" si="196"/>
        <v>0</v>
      </c>
      <c r="O4267" s="43">
        <f>0.025*M4267</f>
        <v>0</v>
      </c>
      <c r="P4267" s="46">
        <f>0.0002*M4267</f>
        <v>0</v>
      </c>
      <c r="Q4267" s="44"/>
      <c r="R4267" s="45" t="s">
        <v>13529</v>
      </c>
      <c r="S4267" s="45" t="s">
        <v>93</v>
      </c>
      <c r="T4267" s="37" t="str">
        <f>HYPERLINK("https://kanzpp.ru/api/getInfo/image/0220c305-c065-11f0-a289-00155d82e908")</f>
        <v>https://kanzpp.ru/api/getInfo/image/0220c305-c065-11f0-a289-00155d82e908</v>
      </c>
      <c r="U4267" s="37"/>
    </row>
    <row r="4268" spans="2:22" ht="21" customHeight="1" outlineLevel="6" x14ac:dyDescent="0.2">
      <c r="B4268" s="71">
        <v>3220</v>
      </c>
      <c r="C4268" s="37" t="s">
        <v>13530</v>
      </c>
      <c r="D4268" s="37" t="s">
        <v>13531</v>
      </c>
      <c r="E4268" s="38" t="s">
        <v>13532</v>
      </c>
      <c r="F4268" s="39"/>
      <c r="G4268" s="40"/>
      <c r="H4268" s="41">
        <v>48</v>
      </c>
      <c r="I4268" s="41">
        <v>6</v>
      </c>
      <c r="J4268" s="50">
        <v>1044</v>
      </c>
      <c r="K4268" s="36">
        <v>48</v>
      </c>
      <c r="L4268" s="42">
        <f>(53.2*(1-O3/100))/0.75</f>
        <v>70.933333333333337</v>
      </c>
      <c r="M4268" s="12"/>
      <c r="N4268" s="40">
        <f t="shared" si="196"/>
        <v>0</v>
      </c>
      <c r="O4268" s="49">
        <f>0.2*M4268</f>
        <v>0</v>
      </c>
      <c r="P4268" s="47">
        <f>0.00042*M4268</f>
        <v>0</v>
      </c>
      <c r="Q4268" s="44"/>
      <c r="R4268" s="45" t="s">
        <v>13533</v>
      </c>
      <c r="S4268" s="45" t="s">
        <v>93</v>
      </c>
      <c r="T4268" s="37" t="str">
        <f>HYPERLINK("https://kanzpp.ru/api/getInfo/image/ced733c5-bbb6-11f0-a288-00155d82e908")</f>
        <v>https://kanzpp.ru/api/getInfo/image/ced733c5-bbb6-11f0-a288-00155d82e908</v>
      </c>
      <c r="U4268" s="37"/>
    </row>
    <row r="4269" spans="2:22" ht="21" customHeight="1" outlineLevel="6" x14ac:dyDescent="0.2">
      <c r="B4269" s="71">
        <v>3221</v>
      </c>
      <c r="C4269" s="37" t="s">
        <v>13534</v>
      </c>
      <c r="D4269" s="37" t="s">
        <v>13535</v>
      </c>
      <c r="E4269" s="38" t="s">
        <v>13536</v>
      </c>
      <c r="F4269" s="39"/>
      <c r="G4269" s="40"/>
      <c r="H4269" s="41">
        <v>48</v>
      </c>
      <c r="I4269" s="41">
        <v>6</v>
      </c>
      <c r="J4269" s="50">
        <v>4908</v>
      </c>
      <c r="K4269" s="36">
        <v>48</v>
      </c>
      <c r="L4269" s="42">
        <f>(53.2*(1-O3/100))/0.75</f>
        <v>70.933333333333337</v>
      </c>
      <c r="M4269" s="12"/>
      <c r="N4269" s="40">
        <f t="shared" si="196"/>
        <v>0</v>
      </c>
      <c r="O4269" s="43">
        <f>0.202*M4269</f>
        <v>0</v>
      </c>
      <c r="P4269" s="47">
        <f>0.00042*M4269</f>
        <v>0</v>
      </c>
      <c r="Q4269" s="44"/>
      <c r="R4269" s="45" t="s">
        <v>13537</v>
      </c>
      <c r="S4269" s="45" t="s">
        <v>93</v>
      </c>
      <c r="T4269" s="37" t="str">
        <f>HYPERLINK("https://kanzpp.ru/api/getInfo/image/4b18d48d-bbb5-11f0-a288-00155d82e908")</f>
        <v>https://kanzpp.ru/api/getInfo/image/4b18d48d-bbb5-11f0-a288-00155d82e908</v>
      </c>
      <c r="U4269" s="37"/>
    </row>
    <row r="4270" spans="2:22" ht="21" customHeight="1" outlineLevel="6" x14ac:dyDescent="0.2">
      <c r="B4270" s="71">
        <v>3222</v>
      </c>
      <c r="C4270" s="37" t="s">
        <v>13538</v>
      </c>
      <c r="D4270" s="37" t="s">
        <v>13539</v>
      </c>
      <c r="E4270" s="38" t="s">
        <v>13540</v>
      </c>
      <c r="F4270" s="39"/>
      <c r="G4270" s="40"/>
      <c r="H4270" s="41">
        <v>48</v>
      </c>
      <c r="I4270" s="41">
        <v>6</v>
      </c>
      <c r="J4270" s="50">
        <v>6410</v>
      </c>
      <c r="K4270" s="36">
        <v>48</v>
      </c>
      <c r="L4270" s="42">
        <f>(53.2*(1-O3/100))/0.75</f>
        <v>70.933333333333337</v>
      </c>
      <c r="M4270" s="12"/>
      <c r="N4270" s="40">
        <f t="shared" si="196"/>
        <v>0</v>
      </c>
      <c r="O4270" s="48">
        <f>9.91*M4270</f>
        <v>0</v>
      </c>
      <c r="P4270" s="47">
        <f>0.01913*M4270</f>
        <v>0</v>
      </c>
      <c r="Q4270" s="44"/>
      <c r="R4270" s="45" t="s">
        <v>13541</v>
      </c>
      <c r="S4270" s="45" t="s">
        <v>93</v>
      </c>
      <c r="T4270" s="37" t="str">
        <f>HYPERLINK("https://kanzpp.ru/api/getInfo/image/9be33623-bbb6-11f0-a288-00155d82e908")</f>
        <v>https://kanzpp.ru/api/getInfo/image/9be33623-bbb6-11f0-a288-00155d82e908</v>
      </c>
      <c r="U4270" s="37"/>
    </row>
    <row r="4271" spans="2:22" ht="22.95" customHeight="1" outlineLevel="5" x14ac:dyDescent="0.2">
      <c r="B4271" s="83" t="s">
        <v>13542</v>
      </c>
      <c r="C4271" s="83"/>
      <c r="D4271" s="83"/>
      <c r="L4271">
        <v>0</v>
      </c>
    </row>
    <row r="4272" spans="2:22" ht="21" customHeight="1" outlineLevel="6" x14ac:dyDescent="0.2">
      <c r="B4272" s="69">
        <v>3223</v>
      </c>
      <c r="C4272" s="6" t="s">
        <v>13543</v>
      </c>
      <c r="D4272" s="6" t="s">
        <v>13544</v>
      </c>
      <c r="E4272" s="7" t="s">
        <v>13545</v>
      </c>
      <c r="F4272" s="13"/>
      <c r="G4272" s="14"/>
      <c r="H4272" s="15">
        <v>50</v>
      </c>
      <c r="I4272" s="15">
        <v>5</v>
      </c>
      <c r="J4272" s="17">
        <v>1440</v>
      </c>
      <c r="K4272" s="5">
        <v>50</v>
      </c>
      <c r="L4272" s="16">
        <v>48.666666666666664</v>
      </c>
      <c r="M4272" s="12"/>
      <c r="N4272" s="14">
        <f t="shared" ref="N4272:N4288" si="197">L4272*M4272</f>
        <v>0</v>
      </c>
      <c r="O4272" s="23">
        <f>0.202*M4272</f>
        <v>0</v>
      </c>
      <c r="P4272" s="24">
        <f>0.00038*M4272</f>
        <v>0</v>
      </c>
      <c r="Q4272" s="25"/>
      <c r="R4272" s="26" t="s">
        <v>13546</v>
      </c>
      <c r="S4272" s="26" t="s">
        <v>93</v>
      </c>
      <c r="T4272" s="6" t="str">
        <f>HYPERLINK("https://kanzpp.ru/api/getInfo/image/463c88af-daee-11ee-a25a-00155d82e908")</f>
        <v>https://kanzpp.ru/api/getInfo/image/463c88af-daee-11ee-a25a-00155d82e908</v>
      </c>
      <c r="U4272" s="6"/>
      <c r="V4272" s="33" t="s">
        <v>35</v>
      </c>
    </row>
    <row r="4273" spans="2:22" ht="21" customHeight="1" outlineLevel="6" x14ac:dyDescent="0.2">
      <c r="B4273" s="69">
        <v>3224</v>
      </c>
      <c r="C4273" s="6" t="s">
        <v>13547</v>
      </c>
      <c r="D4273" s="6" t="s">
        <v>13548</v>
      </c>
      <c r="E4273" s="7" t="s">
        <v>13549</v>
      </c>
      <c r="F4273" s="13"/>
      <c r="G4273" s="14"/>
      <c r="H4273" s="15">
        <v>50</v>
      </c>
      <c r="I4273" s="15">
        <v>5</v>
      </c>
      <c r="J4273" s="17">
        <v>5155</v>
      </c>
      <c r="K4273" s="5">
        <v>50</v>
      </c>
      <c r="L4273" s="16">
        <v>48.666666666666664</v>
      </c>
      <c r="M4273" s="12"/>
      <c r="N4273" s="14">
        <f t="shared" si="197"/>
        <v>0</v>
      </c>
      <c r="O4273" s="23">
        <f>0.202*M4273</f>
        <v>0</v>
      </c>
      <c r="P4273" s="24">
        <f>0.00038*M4273</f>
        <v>0</v>
      </c>
      <c r="Q4273" s="25"/>
      <c r="R4273" s="26" t="s">
        <v>13550</v>
      </c>
      <c r="S4273" s="26" t="s">
        <v>93</v>
      </c>
      <c r="T4273" s="6" t="str">
        <f>HYPERLINK("https://kanzpp.ru/api/getInfo/image/82ef3e97-daee-11ee-a25a-00155d82e908")</f>
        <v>https://kanzpp.ru/api/getInfo/image/82ef3e97-daee-11ee-a25a-00155d82e908</v>
      </c>
      <c r="U4273" s="6"/>
      <c r="V4273" s="33" t="s">
        <v>35</v>
      </c>
    </row>
    <row r="4274" spans="2:22" ht="21" customHeight="1" outlineLevel="6" x14ac:dyDescent="0.2">
      <c r="B4274" s="69">
        <v>3225</v>
      </c>
      <c r="C4274" s="6" t="s">
        <v>13551</v>
      </c>
      <c r="D4274" s="6" t="s">
        <v>13552</v>
      </c>
      <c r="E4274" s="7" t="s">
        <v>13553</v>
      </c>
      <c r="F4274" s="13"/>
      <c r="G4274" s="14"/>
      <c r="H4274" s="15">
        <v>50</v>
      </c>
      <c r="I4274" s="15">
        <v>5</v>
      </c>
      <c r="J4274" s="15">
        <v>850</v>
      </c>
      <c r="K4274" s="5">
        <v>50</v>
      </c>
      <c r="L4274" s="16">
        <v>48.666666666666664</v>
      </c>
      <c r="M4274" s="12"/>
      <c r="N4274" s="14">
        <f t="shared" si="197"/>
        <v>0</v>
      </c>
      <c r="O4274" s="23">
        <f>0.202*M4274</f>
        <v>0</v>
      </c>
      <c r="P4274" s="24">
        <f>0.00038*M4274</f>
        <v>0</v>
      </c>
      <c r="Q4274" s="25"/>
      <c r="R4274" s="26" t="s">
        <v>13554</v>
      </c>
      <c r="S4274" s="26" t="s">
        <v>93</v>
      </c>
      <c r="T4274" s="6" t="str">
        <f>HYPERLINK("https://kanzpp.ru/api/getInfo/image/b3a39e21-daee-11ee-a25a-00155d82e908")</f>
        <v>https://kanzpp.ru/api/getInfo/image/b3a39e21-daee-11ee-a25a-00155d82e908</v>
      </c>
      <c r="U4274" s="6"/>
      <c r="V4274" s="33" t="s">
        <v>35</v>
      </c>
    </row>
    <row r="4275" spans="2:22" ht="21" customHeight="1" outlineLevel="6" x14ac:dyDescent="0.2">
      <c r="B4275" s="69">
        <v>3226</v>
      </c>
      <c r="C4275" s="6" t="s">
        <v>13555</v>
      </c>
      <c r="D4275" s="6" t="s">
        <v>13556</v>
      </c>
      <c r="E4275" s="7" t="s">
        <v>13557</v>
      </c>
      <c r="F4275" s="13"/>
      <c r="G4275" s="14"/>
      <c r="H4275" s="15">
        <v>50</v>
      </c>
      <c r="I4275" s="15">
        <v>5</v>
      </c>
      <c r="J4275" s="17">
        <v>1245</v>
      </c>
      <c r="K4275" s="5">
        <v>50</v>
      </c>
      <c r="L4275" s="16">
        <v>48.666666666666664</v>
      </c>
      <c r="M4275" s="12"/>
      <c r="N4275" s="14">
        <f t="shared" si="197"/>
        <v>0</v>
      </c>
      <c r="O4275" s="23">
        <f>0.202*M4275</f>
        <v>0</v>
      </c>
      <c r="P4275" s="24">
        <f>0.00038*M4275</f>
        <v>0</v>
      </c>
      <c r="Q4275" s="25"/>
      <c r="R4275" s="26" t="s">
        <v>13558</v>
      </c>
      <c r="S4275" s="26" t="s">
        <v>93</v>
      </c>
      <c r="T4275" s="6" t="str">
        <f>HYPERLINK("https://kanzpp.ru/api/getInfo/image/dfe81c3f-daee-11ee-a25a-00155d82e908")</f>
        <v>https://kanzpp.ru/api/getInfo/image/dfe81c3f-daee-11ee-a25a-00155d82e908</v>
      </c>
      <c r="U4275" s="6"/>
      <c r="V4275" s="33" t="s">
        <v>35</v>
      </c>
    </row>
    <row r="4276" spans="2:22" ht="21" customHeight="1" outlineLevel="6" x14ac:dyDescent="0.2">
      <c r="B4276" s="69">
        <v>3227</v>
      </c>
      <c r="C4276" s="6" t="s">
        <v>13559</v>
      </c>
      <c r="D4276" s="6" t="s">
        <v>13560</v>
      </c>
      <c r="E4276" s="7" t="s">
        <v>13561</v>
      </c>
      <c r="F4276" s="13"/>
      <c r="G4276" s="14"/>
      <c r="H4276" s="15">
        <v>50</v>
      </c>
      <c r="I4276" s="15">
        <v>5</v>
      </c>
      <c r="J4276" s="17">
        <v>1075</v>
      </c>
      <c r="K4276" s="5">
        <v>50</v>
      </c>
      <c r="L4276" s="16">
        <v>48.666666666666664</v>
      </c>
      <c r="M4276" s="12"/>
      <c r="N4276" s="14">
        <f t="shared" si="197"/>
        <v>0</v>
      </c>
      <c r="O4276" s="23">
        <f>0.202*M4276</f>
        <v>0</v>
      </c>
      <c r="P4276" s="24">
        <f>0.00038*M4276</f>
        <v>0</v>
      </c>
      <c r="Q4276" s="25"/>
      <c r="R4276" s="26" t="s">
        <v>13562</v>
      </c>
      <c r="S4276" s="26" t="s">
        <v>93</v>
      </c>
      <c r="T4276" s="6" t="str">
        <f>HYPERLINK("https://kanzpp.ru/api/getInfo/image/09f234e9-daef-11ee-a25a-00155d82e908")</f>
        <v>https://kanzpp.ru/api/getInfo/image/09f234e9-daef-11ee-a25a-00155d82e908</v>
      </c>
      <c r="U4276" s="6"/>
      <c r="V4276" s="33" t="s">
        <v>35</v>
      </c>
    </row>
    <row r="4277" spans="2:22" ht="21" customHeight="1" outlineLevel="6" x14ac:dyDescent="0.2">
      <c r="B4277" s="69">
        <v>3228</v>
      </c>
      <c r="C4277" s="6" t="s">
        <v>13563</v>
      </c>
      <c r="D4277" s="6" t="s">
        <v>13564</v>
      </c>
      <c r="E4277" s="7" t="s">
        <v>13565</v>
      </c>
      <c r="F4277" s="13"/>
      <c r="G4277" s="14"/>
      <c r="H4277" s="15">
        <v>48</v>
      </c>
      <c r="I4277" s="15">
        <v>6</v>
      </c>
      <c r="J4277" s="17">
        <v>9518</v>
      </c>
      <c r="K4277" s="5">
        <v>48</v>
      </c>
      <c r="L4277" s="16">
        <v>48.666666666666664</v>
      </c>
      <c r="M4277" s="12"/>
      <c r="N4277" s="14">
        <f t="shared" si="197"/>
        <v>0</v>
      </c>
      <c r="O4277" s="23">
        <f>0.206*M4277</f>
        <v>0</v>
      </c>
      <c r="P4277" s="24">
        <f>0.00509*M4277</f>
        <v>0</v>
      </c>
      <c r="Q4277" s="25"/>
      <c r="R4277" s="26" t="s">
        <v>13566</v>
      </c>
      <c r="S4277" s="26" t="s">
        <v>93</v>
      </c>
      <c r="T4277" s="6" t="str">
        <f>HYPERLINK("https://kanzpp.ru/api/getInfo/image/f8e269c6-3eab-11eb-a25e-ac1f6b442184")</f>
        <v>https://kanzpp.ru/api/getInfo/image/f8e269c6-3eab-11eb-a25e-ac1f6b442184</v>
      </c>
      <c r="U4277" s="6"/>
      <c r="V4277" s="33" t="s">
        <v>35</v>
      </c>
    </row>
    <row r="4278" spans="2:22" ht="21" customHeight="1" outlineLevel="6" x14ac:dyDescent="0.2">
      <c r="B4278" s="71">
        <v>3229</v>
      </c>
      <c r="C4278" s="37" t="s">
        <v>13567</v>
      </c>
      <c r="D4278" s="37" t="s">
        <v>13568</v>
      </c>
      <c r="E4278" s="38" t="s">
        <v>13569</v>
      </c>
      <c r="F4278" s="39"/>
      <c r="G4278" s="40"/>
      <c r="H4278" s="41">
        <v>48</v>
      </c>
      <c r="I4278" s="41">
        <v>6</v>
      </c>
      <c r="J4278" s="50">
        <v>5148</v>
      </c>
      <c r="K4278" s="36">
        <v>48</v>
      </c>
      <c r="L4278" s="42">
        <f>(59.87*(1-O3/100))/0.75</f>
        <v>79.826666666666668</v>
      </c>
      <c r="M4278" s="12"/>
      <c r="N4278" s="40">
        <f t="shared" si="197"/>
        <v>0</v>
      </c>
      <c r="O4278" s="43">
        <f>0.197*M4278</f>
        <v>0</v>
      </c>
      <c r="P4278" s="47">
        <f>0.00038*M4278</f>
        <v>0</v>
      </c>
      <c r="Q4278" s="44"/>
      <c r="R4278" s="45" t="s">
        <v>13570</v>
      </c>
      <c r="S4278" s="45" t="s">
        <v>93</v>
      </c>
      <c r="T4278" s="37" t="str">
        <f>HYPERLINK("https://kanzpp.ru/api/getInfo/image/fc9a62fa-7f0a-11ef-a265-00155d82e908")</f>
        <v>https://kanzpp.ru/api/getInfo/image/fc9a62fa-7f0a-11ef-a265-00155d82e908</v>
      </c>
      <c r="U4278" s="37"/>
    </row>
    <row r="4279" spans="2:22" ht="21" customHeight="1" outlineLevel="6" x14ac:dyDescent="0.2">
      <c r="B4279" s="71">
        <v>3230</v>
      </c>
      <c r="C4279" s="37" t="s">
        <v>13571</v>
      </c>
      <c r="D4279" s="37" t="s">
        <v>13572</v>
      </c>
      <c r="E4279" s="38" t="s">
        <v>13573</v>
      </c>
      <c r="F4279" s="39"/>
      <c r="G4279" s="40"/>
      <c r="H4279" s="41">
        <v>48</v>
      </c>
      <c r="I4279" s="41">
        <v>6</v>
      </c>
      <c r="J4279" s="50">
        <v>9656</v>
      </c>
      <c r="K4279" s="36">
        <v>48</v>
      </c>
      <c r="L4279" s="42">
        <f>(59.87*(1-O3/100))/0.75</f>
        <v>79.826666666666668</v>
      </c>
      <c r="M4279" s="12"/>
      <c r="N4279" s="40">
        <f t="shared" si="197"/>
        <v>0</v>
      </c>
      <c r="O4279" s="43">
        <f>0.196*M4279</f>
        <v>0</v>
      </c>
      <c r="P4279" s="47">
        <f>0.00035*M4279</f>
        <v>0</v>
      </c>
      <c r="Q4279" s="44"/>
      <c r="R4279" s="45" t="s">
        <v>13574</v>
      </c>
      <c r="S4279" s="45" t="s">
        <v>93</v>
      </c>
      <c r="T4279" s="37" t="str">
        <f>HYPERLINK("https://kanzpp.ru/api/getInfo/image/8bf699ae-7f0a-11ef-a265-00155d82e908")</f>
        <v>https://kanzpp.ru/api/getInfo/image/8bf699ae-7f0a-11ef-a265-00155d82e908</v>
      </c>
      <c r="U4279" s="37"/>
    </row>
    <row r="4280" spans="2:22" ht="21" customHeight="1" outlineLevel="6" x14ac:dyDescent="0.2">
      <c r="B4280" s="71">
        <v>3231</v>
      </c>
      <c r="C4280" s="37" t="s">
        <v>13575</v>
      </c>
      <c r="D4280" s="37" t="s">
        <v>13576</v>
      </c>
      <c r="E4280" s="38" t="s">
        <v>13577</v>
      </c>
      <c r="F4280" s="39"/>
      <c r="G4280" s="40"/>
      <c r="H4280" s="41">
        <v>48</v>
      </c>
      <c r="I4280" s="41">
        <v>6</v>
      </c>
      <c r="J4280" s="50">
        <v>4172</v>
      </c>
      <c r="K4280" s="36">
        <v>48</v>
      </c>
      <c r="L4280" s="42">
        <f>(59.87*(1-O3/100))/0.75</f>
        <v>79.826666666666668</v>
      </c>
      <c r="M4280" s="12"/>
      <c r="N4280" s="40">
        <f t="shared" si="197"/>
        <v>0</v>
      </c>
      <c r="O4280" s="43">
        <f>0.206*M4280</f>
        <v>0</v>
      </c>
      <c r="P4280" s="47">
        <f>0.00042*M4280</f>
        <v>0</v>
      </c>
      <c r="Q4280" s="44"/>
      <c r="R4280" s="45" t="s">
        <v>13578</v>
      </c>
      <c r="S4280" s="45" t="s">
        <v>93</v>
      </c>
      <c r="T4280" s="37" t="str">
        <f>HYPERLINK("https://kanzpp.ru/api/getInfo/image/d0133c48-7f0a-11ef-a265-00155d82e908")</f>
        <v>https://kanzpp.ru/api/getInfo/image/d0133c48-7f0a-11ef-a265-00155d82e908</v>
      </c>
      <c r="U4280" s="37"/>
    </row>
    <row r="4281" spans="2:22" ht="21" customHeight="1" outlineLevel="6" x14ac:dyDescent="0.2">
      <c r="B4281" s="71">
        <v>3232</v>
      </c>
      <c r="C4281" s="37" t="s">
        <v>13579</v>
      </c>
      <c r="D4281" s="37" t="s">
        <v>13580</v>
      </c>
      <c r="E4281" s="38" t="s">
        <v>13581</v>
      </c>
      <c r="F4281" s="39"/>
      <c r="G4281" s="40"/>
      <c r="H4281" s="41">
        <v>48</v>
      </c>
      <c r="I4281" s="41">
        <v>6</v>
      </c>
      <c r="J4281" s="50">
        <v>10244</v>
      </c>
      <c r="K4281" s="36">
        <v>48</v>
      </c>
      <c r="L4281" s="42">
        <f>(59.87*(1-O3/100))/0.75</f>
        <v>79.826666666666668</v>
      </c>
      <c r="M4281" s="12"/>
      <c r="N4281" s="40">
        <f t="shared" si="197"/>
        <v>0</v>
      </c>
      <c r="O4281" s="43">
        <f>0.197*M4281</f>
        <v>0</v>
      </c>
      <c r="P4281" s="47">
        <f>0.00038*M4281</f>
        <v>0</v>
      </c>
      <c r="Q4281" s="44"/>
      <c r="R4281" s="45" t="s">
        <v>13582</v>
      </c>
      <c r="S4281" s="45" t="s">
        <v>93</v>
      </c>
      <c r="T4281" s="37" t="str">
        <f>HYPERLINK("https://kanzpp.ru/api/getInfo/image/2ac5eb8e-7f0b-11ef-a265-00155d82e908")</f>
        <v>https://kanzpp.ru/api/getInfo/image/2ac5eb8e-7f0b-11ef-a265-00155d82e908</v>
      </c>
      <c r="U4281" s="37"/>
    </row>
    <row r="4282" spans="2:22" ht="21" customHeight="1" outlineLevel="6" x14ac:dyDescent="0.2">
      <c r="B4282" s="71">
        <v>3233</v>
      </c>
      <c r="C4282" s="37" t="s">
        <v>13583</v>
      </c>
      <c r="D4282" s="37" t="s">
        <v>13584</v>
      </c>
      <c r="E4282" s="38" t="s">
        <v>13585</v>
      </c>
      <c r="F4282" s="39"/>
      <c r="G4282" s="40"/>
      <c r="H4282" s="41">
        <v>48</v>
      </c>
      <c r="I4282" s="41">
        <v>6</v>
      </c>
      <c r="J4282" s="50">
        <v>11935</v>
      </c>
      <c r="K4282" s="36">
        <v>48</v>
      </c>
      <c r="L4282" s="42">
        <f>(59.87*(1-O3/100))/0.75</f>
        <v>79.826666666666668</v>
      </c>
      <c r="M4282" s="12"/>
      <c r="N4282" s="40">
        <f t="shared" si="197"/>
        <v>0</v>
      </c>
      <c r="O4282" s="48">
        <f>0.21*M4282</f>
        <v>0</v>
      </c>
      <c r="P4282" s="47">
        <f>0.00034*M4282</f>
        <v>0</v>
      </c>
      <c r="Q4282" s="44"/>
      <c r="R4282" s="45" t="s">
        <v>13586</v>
      </c>
      <c r="S4282" s="45" t="s">
        <v>93</v>
      </c>
      <c r="T4282" s="37" t="str">
        <f>HYPERLINK("https://kanzpp.ru/api/getInfo/image/6730d284-f59e-11ee-a25b-00155d82e908")</f>
        <v>https://kanzpp.ru/api/getInfo/image/6730d284-f59e-11ee-a25b-00155d82e908</v>
      </c>
      <c r="U4282" s="37"/>
    </row>
    <row r="4283" spans="2:22" ht="21" customHeight="1" outlineLevel="6" x14ac:dyDescent="0.2">
      <c r="B4283" s="69">
        <v>3234</v>
      </c>
      <c r="C4283" s="6" t="s">
        <v>13587</v>
      </c>
      <c r="D4283" s="6" t="s">
        <v>13588</v>
      </c>
      <c r="E4283" s="7" t="s">
        <v>13589</v>
      </c>
      <c r="F4283" s="13"/>
      <c r="G4283" s="14"/>
      <c r="H4283" s="15">
        <v>50</v>
      </c>
      <c r="I4283" s="15">
        <v>5</v>
      </c>
      <c r="J4283" s="17">
        <v>6660</v>
      </c>
      <c r="K4283" s="5">
        <v>50</v>
      </c>
      <c r="L4283" s="16">
        <v>48.666666666666664</v>
      </c>
      <c r="M4283" s="12"/>
      <c r="N4283" s="14">
        <f t="shared" si="197"/>
        <v>0</v>
      </c>
      <c r="O4283" s="23">
        <f>0.108*M4283</f>
        <v>0</v>
      </c>
      <c r="P4283" s="24">
        <f>0.00021*M4283</f>
        <v>0</v>
      </c>
      <c r="Q4283" s="25"/>
      <c r="R4283" s="26" t="s">
        <v>13590</v>
      </c>
      <c r="S4283" s="26" t="s">
        <v>93</v>
      </c>
      <c r="T4283" s="6" t="str">
        <f>HYPERLINK("https://kanzpp.ru/api/getInfo/image/42e303ee-daef-11ee-a25a-00155d82e908")</f>
        <v>https://kanzpp.ru/api/getInfo/image/42e303ee-daef-11ee-a25a-00155d82e908</v>
      </c>
      <c r="U4283" s="6"/>
      <c r="V4283" s="33" t="s">
        <v>35</v>
      </c>
    </row>
    <row r="4284" spans="2:22" ht="21" customHeight="1" outlineLevel="6" x14ac:dyDescent="0.2">
      <c r="B4284" s="69">
        <v>3235</v>
      </c>
      <c r="C4284" s="6" t="s">
        <v>13591</v>
      </c>
      <c r="D4284" s="6" t="s">
        <v>13592</v>
      </c>
      <c r="E4284" s="7" t="s">
        <v>13593</v>
      </c>
      <c r="F4284" s="13"/>
      <c r="G4284" s="14"/>
      <c r="H4284" s="15">
        <v>50</v>
      </c>
      <c r="I4284" s="15">
        <v>5</v>
      </c>
      <c r="J4284" s="17">
        <v>6910</v>
      </c>
      <c r="K4284" s="5">
        <v>50</v>
      </c>
      <c r="L4284" s="16">
        <v>48.666666666666664</v>
      </c>
      <c r="M4284" s="12"/>
      <c r="N4284" s="14">
        <f t="shared" si="197"/>
        <v>0</v>
      </c>
      <c r="O4284" s="23">
        <f>0.202*M4284</f>
        <v>0</v>
      </c>
      <c r="P4284" s="24">
        <f>0.00038*M4284</f>
        <v>0</v>
      </c>
      <c r="Q4284" s="25"/>
      <c r="R4284" s="26" t="s">
        <v>13594</v>
      </c>
      <c r="S4284" s="26" t="s">
        <v>93</v>
      </c>
      <c r="T4284" s="6" t="str">
        <f>HYPERLINK("https://kanzpp.ru/api/getInfo/image/78e8dd6b-daef-11ee-a25a-00155d82e908")</f>
        <v>https://kanzpp.ru/api/getInfo/image/78e8dd6b-daef-11ee-a25a-00155d82e908</v>
      </c>
      <c r="U4284" s="6"/>
      <c r="V4284" s="33" t="s">
        <v>35</v>
      </c>
    </row>
    <row r="4285" spans="2:22" ht="21" customHeight="1" outlineLevel="6" x14ac:dyDescent="0.2">
      <c r="B4285" s="69">
        <v>3236</v>
      </c>
      <c r="C4285" s="6" t="s">
        <v>13595</v>
      </c>
      <c r="D4285" s="6" t="s">
        <v>13596</v>
      </c>
      <c r="E4285" s="7" t="s">
        <v>13597</v>
      </c>
      <c r="F4285" s="13"/>
      <c r="G4285" s="14"/>
      <c r="H4285" s="15">
        <v>50</v>
      </c>
      <c r="I4285" s="15">
        <v>5</v>
      </c>
      <c r="J4285" s="17">
        <v>4485</v>
      </c>
      <c r="K4285" s="5">
        <v>50</v>
      </c>
      <c r="L4285" s="16">
        <v>48.666666666666664</v>
      </c>
      <c r="M4285" s="12"/>
      <c r="N4285" s="14">
        <f t="shared" si="197"/>
        <v>0</v>
      </c>
      <c r="O4285" s="23">
        <f>0.202*M4285</f>
        <v>0</v>
      </c>
      <c r="P4285" s="24">
        <f>0.00038*M4285</f>
        <v>0</v>
      </c>
      <c r="Q4285" s="25"/>
      <c r="R4285" s="26" t="s">
        <v>13598</v>
      </c>
      <c r="S4285" s="26" t="s">
        <v>93</v>
      </c>
      <c r="T4285" s="6" t="str">
        <f>HYPERLINK("https://kanzpp.ru/api/getInfo/image/a2e98ac2-daef-11ee-a25a-00155d82e908")</f>
        <v>https://kanzpp.ru/api/getInfo/image/a2e98ac2-daef-11ee-a25a-00155d82e908</v>
      </c>
      <c r="U4285" s="6"/>
      <c r="V4285" s="33" t="s">
        <v>35</v>
      </c>
    </row>
    <row r="4286" spans="2:22" ht="21" customHeight="1" outlineLevel="6" x14ac:dyDescent="0.2">
      <c r="B4286" s="69">
        <v>3237</v>
      </c>
      <c r="C4286" s="6" t="s">
        <v>13599</v>
      </c>
      <c r="D4286" s="6" t="s">
        <v>13600</v>
      </c>
      <c r="E4286" s="7" t="s">
        <v>13601</v>
      </c>
      <c r="F4286" s="13"/>
      <c r="G4286" s="14"/>
      <c r="H4286" s="15">
        <v>50</v>
      </c>
      <c r="I4286" s="15">
        <v>5</v>
      </c>
      <c r="J4286" s="17">
        <v>5395</v>
      </c>
      <c r="K4286" s="5">
        <v>50</v>
      </c>
      <c r="L4286" s="16">
        <v>48.666666666666664</v>
      </c>
      <c r="M4286" s="12"/>
      <c r="N4286" s="14">
        <f t="shared" si="197"/>
        <v>0</v>
      </c>
      <c r="O4286" s="23">
        <f>0.202*M4286</f>
        <v>0</v>
      </c>
      <c r="P4286" s="24">
        <f>0.00038*M4286</f>
        <v>0</v>
      </c>
      <c r="Q4286" s="25"/>
      <c r="R4286" s="26" t="s">
        <v>13602</v>
      </c>
      <c r="S4286" s="26" t="s">
        <v>93</v>
      </c>
      <c r="T4286" s="6" t="str">
        <f>HYPERLINK("https://kanzpp.ru/api/getInfo/image/d210c051-daef-11ee-a25a-00155d82e908")</f>
        <v>https://kanzpp.ru/api/getInfo/image/d210c051-daef-11ee-a25a-00155d82e908</v>
      </c>
      <c r="U4286" s="6"/>
      <c r="V4286" s="33" t="s">
        <v>35</v>
      </c>
    </row>
    <row r="4287" spans="2:22" ht="21" customHeight="1" outlineLevel="6" x14ac:dyDescent="0.2">
      <c r="B4287" s="69">
        <v>3238</v>
      </c>
      <c r="C4287" s="6" t="s">
        <v>13603</v>
      </c>
      <c r="D4287" s="6" t="s">
        <v>13604</v>
      </c>
      <c r="E4287" s="7" t="s">
        <v>13605</v>
      </c>
      <c r="F4287" s="13"/>
      <c r="G4287" s="14"/>
      <c r="H4287" s="15">
        <v>50</v>
      </c>
      <c r="I4287" s="15">
        <v>5</v>
      </c>
      <c r="J4287" s="17">
        <v>5265</v>
      </c>
      <c r="K4287" s="5">
        <v>50</v>
      </c>
      <c r="L4287" s="16">
        <v>48.666666666666664</v>
      </c>
      <c r="M4287" s="12"/>
      <c r="N4287" s="14">
        <f t="shared" si="197"/>
        <v>0</v>
      </c>
      <c r="O4287" s="23">
        <f>0.202*M4287</f>
        <v>0</v>
      </c>
      <c r="P4287" s="24">
        <f>0.00038*M4287</f>
        <v>0</v>
      </c>
      <c r="Q4287" s="25"/>
      <c r="R4287" s="26" t="s">
        <v>13606</v>
      </c>
      <c r="S4287" s="26" t="s">
        <v>93</v>
      </c>
      <c r="T4287" s="6" t="str">
        <f>HYPERLINK("https://kanzpp.ru/api/getInfo/image/001ea052-daf0-11ee-a25a-00155d82e908")</f>
        <v>https://kanzpp.ru/api/getInfo/image/001ea052-daf0-11ee-a25a-00155d82e908</v>
      </c>
      <c r="U4287" s="6"/>
      <c r="V4287" s="33" t="s">
        <v>35</v>
      </c>
    </row>
    <row r="4288" spans="2:22" ht="21" customHeight="1" outlineLevel="6" x14ac:dyDescent="0.2">
      <c r="B4288" s="69">
        <v>3239</v>
      </c>
      <c r="C4288" s="6" t="s">
        <v>13607</v>
      </c>
      <c r="D4288" s="6" t="s">
        <v>13608</v>
      </c>
      <c r="E4288" s="7" t="s">
        <v>13609</v>
      </c>
      <c r="F4288" s="13"/>
      <c r="G4288" s="14"/>
      <c r="H4288" s="15">
        <v>50</v>
      </c>
      <c r="I4288" s="15">
        <v>5</v>
      </c>
      <c r="J4288" s="17">
        <v>1355</v>
      </c>
      <c r="K4288" s="5">
        <v>50</v>
      </c>
      <c r="L4288" s="16">
        <v>48.666666666666664</v>
      </c>
      <c r="M4288" s="12"/>
      <c r="N4288" s="14">
        <f t="shared" si="197"/>
        <v>0</v>
      </c>
      <c r="O4288" s="27">
        <f>0.2*M4288</f>
        <v>0</v>
      </c>
      <c r="P4288" s="24">
        <f>0.00042*M4288</f>
        <v>0</v>
      </c>
      <c r="Q4288" s="25"/>
      <c r="R4288" s="26" t="s">
        <v>13610</v>
      </c>
      <c r="S4288" s="26" t="s">
        <v>93</v>
      </c>
      <c r="T4288" s="6" t="str">
        <f>HYPERLINK("https://kanzpp.ru/api/getInfo/image/2c910490-daf0-11ee-a25a-00155d82e908")</f>
        <v>https://kanzpp.ru/api/getInfo/image/2c910490-daf0-11ee-a25a-00155d82e908</v>
      </c>
      <c r="U4288" s="6"/>
      <c r="V4288" s="33" t="s">
        <v>35</v>
      </c>
    </row>
    <row r="4289" spans="2:22" ht="22.95" customHeight="1" outlineLevel="5" x14ac:dyDescent="0.2">
      <c r="B4289" s="83" t="s">
        <v>13611</v>
      </c>
      <c r="C4289" s="83"/>
      <c r="D4289" s="83"/>
      <c r="L4289">
        <v>0</v>
      </c>
    </row>
    <row r="4290" spans="2:22" ht="21" customHeight="1" outlineLevel="6" x14ac:dyDescent="0.2">
      <c r="B4290" s="69">
        <v>3240</v>
      </c>
      <c r="C4290" s="6" t="s">
        <v>13612</v>
      </c>
      <c r="D4290" s="6" t="s">
        <v>13613</v>
      </c>
      <c r="E4290" s="7" t="s">
        <v>13614</v>
      </c>
      <c r="F4290" s="13"/>
      <c r="G4290" s="14"/>
      <c r="H4290" s="15">
        <v>48</v>
      </c>
      <c r="I4290" s="15">
        <v>6</v>
      </c>
      <c r="J4290" s="17">
        <v>8584</v>
      </c>
      <c r="K4290" s="5">
        <v>48</v>
      </c>
      <c r="L4290" s="16">
        <v>48.666666666666664</v>
      </c>
      <c r="M4290" s="12"/>
      <c r="N4290" s="14">
        <f>L4290*M4290</f>
        <v>0</v>
      </c>
      <c r="O4290" s="23">
        <f>0.204*M4290</f>
        <v>0</v>
      </c>
      <c r="P4290" s="24">
        <f>0.00034*M4290</f>
        <v>0</v>
      </c>
      <c r="Q4290" s="25"/>
      <c r="R4290" s="26" t="s">
        <v>13615</v>
      </c>
      <c r="S4290" s="26" t="s">
        <v>93</v>
      </c>
      <c r="T4290" s="6" t="str">
        <f>HYPERLINK("https://kanzpp.ru/api/getInfo/image/5b2d2d52-9c3a-11ef-a267-00155d82e908")</f>
        <v>https://kanzpp.ru/api/getInfo/image/5b2d2d52-9c3a-11ef-a267-00155d82e908</v>
      </c>
      <c r="U4290" s="6"/>
      <c r="V4290" s="33" t="s">
        <v>35</v>
      </c>
    </row>
    <row r="4291" spans="2:22" ht="21" customHeight="1" outlineLevel="6" x14ac:dyDescent="0.2">
      <c r="B4291" s="69">
        <v>3241</v>
      </c>
      <c r="C4291" s="6" t="s">
        <v>13616</v>
      </c>
      <c r="D4291" s="6" t="s">
        <v>13617</v>
      </c>
      <c r="E4291" s="7" t="s">
        <v>13618</v>
      </c>
      <c r="F4291" s="13"/>
      <c r="G4291" s="14"/>
      <c r="H4291" s="15">
        <v>48</v>
      </c>
      <c r="I4291" s="15">
        <v>6</v>
      </c>
      <c r="J4291" s="17">
        <v>8422</v>
      </c>
      <c r="K4291" s="5">
        <v>48</v>
      </c>
      <c r="L4291" s="16">
        <v>48.666666666666664</v>
      </c>
      <c r="M4291" s="12"/>
      <c r="N4291" s="14">
        <f>L4291*M4291</f>
        <v>0</v>
      </c>
      <c r="O4291" s="23">
        <f>0.207*M4291</f>
        <v>0</v>
      </c>
      <c r="P4291" s="24">
        <f>0.00031*M4291</f>
        <v>0</v>
      </c>
      <c r="Q4291" s="25"/>
      <c r="R4291" s="26" t="s">
        <v>13619</v>
      </c>
      <c r="S4291" s="26" t="s">
        <v>93</v>
      </c>
      <c r="T4291" s="6" t="str">
        <f>HYPERLINK("https://kanzpp.ru/api/getInfo/image/83c8f89a-9c3a-11ef-a267-00155d82e908")</f>
        <v>https://kanzpp.ru/api/getInfo/image/83c8f89a-9c3a-11ef-a267-00155d82e908</v>
      </c>
      <c r="U4291" s="6"/>
      <c r="V4291" s="33" t="s">
        <v>35</v>
      </c>
    </row>
    <row r="4292" spans="2:22" ht="22.95" customHeight="1" outlineLevel="5" x14ac:dyDescent="0.2">
      <c r="B4292" s="83" t="s">
        <v>13620</v>
      </c>
      <c r="C4292" s="83"/>
      <c r="D4292" s="83"/>
      <c r="L4292">
        <v>0</v>
      </c>
    </row>
    <row r="4293" spans="2:22" ht="21" customHeight="1" outlineLevel="6" x14ac:dyDescent="0.2">
      <c r="B4293" s="69">
        <v>3242</v>
      </c>
      <c r="C4293" s="6" t="s">
        <v>13621</v>
      </c>
      <c r="D4293" s="6" t="s">
        <v>13622</v>
      </c>
      <c r="E4293" s="7" t="s">
        <v>13623</v>
      </c>
      <c r="F4293" s="13"/>
      <c r="G4293" s="14"/>
      <c r="H4293" s="15">
        <v>48</v>
      </c>
      <c r="I4293" s="15">
        <v>6</v>
      </c>
      <c r="J4293" s="15">
        <v>629</v>
      </c>
      <c r="K4293" s="5">
        <v>48</v>
      </c>
      <c r="L4293" s="16">
        <v>48.666666666666664</v>
      </c>
      <c r="M4293" s="12"/>
      <c r="N4293" s="14">
        <f>L4293*M4293</f>
        <v>0</v>
      </c>
      <c r="O4293" s="23">
        <f>0.356*M4293</f>
        <v>0</v>
      </c>
      <c r="P4293" s="24">
        <f>0.00034*M4293</f>
        <v>0</v>
      </c>
      <c r="Q4293" s="25"/>
      <c r="R4293" s="26" t="s">
        <v>13624</v>
      </c>
      <c r="S4293" s="26" t="s">
        <v>93</v>
      </c>
      <c r="T4293" s="6" t="str">
        <f>HYPERLINK("https://kanzpp.ru/api/getInfo/image/7e6c0bc9-e690-11ee-a25a-00155d82e908")</f>
        <v>https://kanzpp.ru/api/getInfo/image/7e6c0bc9-e690-11ee-a25a-00155d82e908</v>
      </c>
      <c r="U4293" s="6"/>
      <c r="V4293" s="33" t="s">
        <v>35</v>
      </c>
    </row>
    <row r="4294" spans="2:22" ht="21" customHeight="1" outlineLevel="6" x14ac:dyDescent="0.2">
      <c r="B4294" s="69">
        <v>3243</v>
      </c>
      <c r="C4294" s="6" t="s">
        <v>13625</v>
      </c>
      <c r="D4294" s="6" t="s">
        <v>13626</v>
      </c>
      <c r="E4294" s="7" t="s">
        <v>13627</v>
      </c>
      <c r="F4294" s="13"/>
      <c r="G4294" s="14"/>
      <c r="H4294" s="14"/>
      <c r="I4294" s="15">
        <v>6</v>
      </c>
      <c r="J4294" s="17">
        <v>6216</v>
      </c>
      <c r="K4294" s="5">
        <v>6</v>
      </c>
      <c r="L4294" s="16">
        <v>52.25333333333333</v>
      </c>
      <c r="M4294" s="12"/>
      <c r="N4294" s="14">
        <f>L4294*M4294</f>
        <v>0</v>
      </c>
      <c r="O4294" s="28">
        <f>0.21*M4294</f>
        <v>0</v>
      </c>
      <c r="P4294" s="24">
        <f>0.00055*M4294</f>
        <v>0</v>
      </c>
      <c r="Q4294" s="25"/>
      <c r="R4294" s="26" t="s">
        <v>13628</v>
      </c>
      <c r="S4294" s="26" t="s">
        <v>93</v>
      </c>
      <c r="T4294" s="6"/>
      <c r="U4294" s="6"/>
      <c r="V4294" s="33" t="s">
        <v>35</v>
      </c>
    </row>
    <row r="4295" spans="2:22" ht="21" customHeight="1" outlineLevel="6" x14ac:dyDescent="0.2">
      <c r="B4295" s="69">
        <v>3244</v>
      </c>
      <c r="C4295" s="6" t="s">
        <v>13629</v>
      </c>
      <c r="D4295" s="6" t="s">
        <v>13630</v>
      </c>
      <c r="E4295" s="7" t="s">
        <v>13631</v>
      </c>
      <c r="F4295" s="13"/>
      <c r="G4295" s="14"/>
      <c r="H4295" s="15">
        <v>48</v>
      </c>
      <c r="I4295" s="15">
        <v>6</v>
      </c>
      <c r="J4295" s="17">
        <v>6654</v>
      </c>
      <c r="K4295" s="5">
        <v>48</v>
      </c>
      <c r="L4295" s="16">
        <v>48.666666666666664</v>
      </c>
      <c r="M4295" s="12"/>
      <c r="N4295" s="14">
        <f>L4295*M4295</f>
        <v>0</v>
      </c>
      <c r="O4295" s="23">
        <f>0.204*M4295</f>
        <v>0</v>
      </c>
      <c r="P4295" s="24">
        <f>0.00034*M4295</f>
        <v>0</v>
      </c>
      <c r="Q4295" s="25"/>
      <c r="R4295" s="26" t="s">
        <v>13632</v>
      </c>
      <c r="S4295" s="26" t="s">
        <v>93</v>
      </c>
      <c r="T4295" s="6" t="str">
        <f>HYPERLINK("https://kanzpp.ru/api/getInfo/image/ef122fdf-9c3b-11ef-a267-00155d82e908")</f>
        <v>https://kanzpp.ru/api/getInfo/image/ef122fdf-9c3b-11ef-a267-00155d82e908</v>
      </c>
      <c r="U4295" s="6"/>
      <c r="V4295" s="33" t="s">
        <v>35</v>
      </c>
    </row>
    <row r="4296" spans="2:22" ht="22.95" customHeight="1" outlineLevel="5" x14ac:dyDescent="0.2">
      <c r="B4296" s="83" t="s">
        <v>13633</v>
      </c>
      <c r="C4296" s="83"/>
      <c r="D4296" s="83"/>
      <c r="L4296">
        <v>0</v>
      </c>
    </row>
    <row r="4297" spans="2:22" ht="22.95" customHeight="1" outlineLevel="6" x14ac:dyDescent="0.2">
      <c r="B4297" s="84" t="s">
        <v>13634</v>
      </c>
      <c r="C4297" s="84"/>
      <c r="D4297" s="84"/>
      <c r="L4297">
        <v>0</v>
      </c>
    </row>
    <row r="4298" spans="2:22" ht="21" customHeight="1" outlineLevel="7" x14ac:dyDescent="0.2">
      <c r="B4298" s="69">
        <v>3245</v>
      </c>
      <c r="C4298" s="6" t="s">
        <v>13635</v>
      </c>
      <c r="D4298" s="6" t="s">
        <v>13636</v>
      </c>
      <c r="E4298" s="7" t="s">
        <v>13637</v>
      </c>
      <c r="F4298" s="13"/>
      <c r="G4298" s="14"/>
      <c r="H4298" s="15">
        <v>50</v>
      </c>
      <c r="I4298" s="15">
        <v>5</v>
      </c>
      <c r="J4298" s="17">
        <v>1560</v>
      </c>
      <c r="K4298" s="5">
        <v>50</v>
      </c>
      <c r="L4298" s="16">
        <v>53.32</v>
      </c>
      <c r="M4298" s="12"/>
      <c r="N4298" s="14">
        <f>L4298*M4298</f>
        <v>0</v>
      </c>
      <c r="O4298" s="23">
        <f>0.209*M4298</f>
        <v>0</v>
      </c>
      <c r="P4298" s="24">
        <f>0.00028*M4298</f>
        <v>0</v>
      </c>
      <c r="Q4298" s="25"/>
      <c r="R4298" s="26" t="s">
        <v>13638</v>
      </c>
      <c r="S4298" s="26" t="s">
        <v>93</v>
      </c>
      <c r="T4298" s="6" t="str">
        <f>HYPERLINK("https://kanzpp.ru/api/getInfo/image/84e4caf3-19d2-11ef-a25d-00155d82e908")</f>
        <v>https://kanzpp.ru/api/getInfo/image/84e4caf3-19d2-11ef-a25d-00155d82e908</v>
      </c>
      <c r="U4298" s="6"/>
      <c r="V4298" s="33" t="s">
        <v>35</v>
      </c>
    </row>
    <row r="4299" spans="2:22" ht="21" customHeight="1" outlineLevel="7" x14ac:dyDescent="0.2">
      <c r="B4299" s="69">
        <v>3246</v>
      </c>
      <c r="C4299" s="6" t="s">
        <v>13639</v>
      </c>
      <c r="D4299" s="6" t="s">
        <v>13640</v>
      </c>
      <c r="E4299" s="7" t="s">
        <v>13641</v>
      </c>
      <c r="F4299" s="13"/>
      <c r="G4299" s="14"/>
      <c r="H4299" s="15">
        <v>50</v>
      </c>
      <c r="I4299" s="15">
        <v>5</v>
      </c>
      <c r="J4299" s="17">
        <v>9875</v>
      </c>
      <c r="K4299" s="5">
        <v>50</v>
      </c>
      <c r="L4299" s="16">
        <v>53.32</v>
      </c>
      <c r="M4299" s="12"/>
      <c r="N4299" s="14">
        <f>L4299*M4299</f>
        <v>0</v>
      </c>
      <c r="O4299" s="23">
        <f>0.207*M4299</f>
        <v>0</v>
      </c>
      <c r="P4299" s="24">
        <f>0.00028*M4299</f>
        <v>0</v>
      </c>
      <c r="Q4299" s="25"/>
      <c r="R4299" s="26" t="s">
        <v>13642</v>
      </c>
      <c r="S4299" s="26" t="s">
        <v>93</v>
      </c>
      <c r="T4299" s="6" t="str">
        <f>HYPERLINK("https://kanzpp.ru/api/getInfo/image/cbe3ac5c-19d2-11ef-a25d-00155d82e908")</f>
        <v>https://kanzpp.ru/api/getInfo/image/cbe3ac5c-19d2-11ef-a25d-00155d82e908</v>
      </c>
      <c r="U4299" s="6"/>
      <c r="V4299" s="33" t="s">
        <v>35</v>
      </c>
    </row>
    <row r="4300" spans="2:22" ht="21" customHeight="1" outlineLevel="7" x14ac:dyDescent="0.2">
      <c r="B4300" s="69">
        <v>3247</v>
      </c>
      <c r="C4300" s="6" t="s">
        <v>13643</v>
      </c>
      <c r="D4300" s="6" t="s">
        <v>13644</v>
      </c>
      <c r="E4300" s="7" t="s">
        <v>13645</v>
      </c>
      <c r="F4300" s="13"/>
      <c r="G4300" s="14"/>
      <c r="H4300" s="15">
        <v>50</v>
      </c>
      <c r="I4300" s="15">
        <v>5</v>
      </c>
      <c r="J4300" s="17">
        <v>3830</v>
      </c>
      <c r="K4300" s="5">
        <v>50</v>
      </c>
      <c r="L4300" s="16">
        <v>53.32</v>
      </c>
      <c r="M4300" s="12"/>
      <c r="N4300" s="14">
        <f>L4300*M4300</f>
        <v>0</v>
      </c>
      <c r="O4300" s="23">
        <f>0.207*M4300</f>
        <v>0</v>
      </c>
      <c r="P4300" s="24">
        <f>0.00027*M4300</f>
        <v>0</v>
      </c>
      <c r="Q4300" s="25"/>
      <c r="R4300" s="26" t="s">
        <v>13646</v>
      </c>
      <c r="S4300" s="26" t="s">
        <v>93</v>
      </c>
      <c r="T4300" s="6" t="str">
        <f>HYPERLINK("https://kanzpp.ru/api/getInfo/image/e6c6e841-19d2-11ef-a25d-00155d82e908")</f>
        <v>https://kanzpp.ru/api/getInfo/image/e6c6e841-19d2-11ef-a25d-00155d82e908</v>
      </c>
      <c r="U4300" s="6"/>
      <c r="V4300" s="33" t="s">
        <v>35</v>
      </c>
    </row>
    <row r="4301" spans="2:22" ht="21" customHeight="1" outlineLevel="7" x14ac:dyDescent="0.2">
      <c r="B4301" s="69">
        <v>3248</v>
      </c>
      <c r="C4301" s="6" t="s">
        <v>13647</v>
      </c>
      <c r="D4301" s="6" t="s">
        <v>13648</v>
      </c>
      <c r="E4301" s="7" t="s">
        <v>13649</v>
      </c>
      <c r="F4301" s="13"/>
      <c r="G4301" s="14"/>
      <c r="H4301" s="15">
        <v>50</v>
      </c>
      <c r="I4301" s="15">
        <v>5</v>
      </c>
      <c r="J4301" s="17">
        <v>2438</v>
      </c>
      <c r="K4301" s="5">
        <v>50</v>
      </c>
      <c r="L4301" s="16">
        <v>53.32</v>
      </c>
      <c r="M4301" s="12"/>
      <c r="N4301" s="14">
        <f>L4301*M4301</f>
        <v>0</v>
      </c>
      <c r="O4301" s="23">
        <f>10.475*M4301</f>
        <v>0</v>
      </c>
      <c r="P4301" s="24">
        <f>0.01904*M4301</f>
        <v>0</v>
      </c>
      <c r="Q4301" s="25"/>
      <c r="R4301" s="26" t="s">
        <v>13650</v>
      </c>
      <c r="S4301" s="26" t="s">
        <v>93</v>
      </c>
      <c r="T4301" s="6" t="str">
        <f>HYPERLINK("https://kanzpp.ru/api/getInfo/image/02f32904-19d3-11ef-a25d-00155d82e908")</f>
        <v>https://kanzpp.ru/api/getInfo/image/02f32904-19d3-11ef-a25d-00155d82e908</v>
      </c>
      <c r="U4301" s="6"/>
      <c r="V4301" s="33" t="s">
        <v>35</v>
      </c>
    </row>
    <row r="4302" spans="2:22" ht="21" customHeight="1" outlineLevel="7" x14ac:dyDescent="0.2">
      <c r="B4302" s="69">
        <v>3249</v>
      </c>
      <c r="C4302" s="6" t="s">
        <v>13651</v>
      </c>
      <c r="D4302" s="6" t="s">
        <v>13652</v>
      </c>
      <c r="E4302" s="7" t="s">
        <v>13653</v>
      </c>
      <c r="F4302" s="13"/>
      <c r="G4302" s="14"/>
      <c r="H4302" s="15">
        <v>50</v>
      </c>
      <c r="I4302" s="15">
        <v>5</v>
      </c>
      <c r="J4302" s="17">
        <v>1440</v>
      </c>
      <c r="K4302" s="5">
        <v>50</v>
      </c>
      <c r="L4302" s="16">
        <v>53.32</v>
      </c>
      <c r="M4302" s="12"/>
      <c r="N4302" s="14">
        <f>L4302*M4302</f>
        <v>0</v>
      </c>
      <c r="O4302" s="23">
        <f>0.202*M4302</f>
        <v>0</v>
      </c>
      <c r="P4302" s="24">
        <f>0.00031*M4302</f>
        <v>0</v>
      </c>
      <c r="Q4302" s="25"/>
      <c r="R4302" s="26" t="s">
        <v>13654</v>
      </c>
      <c r="S4302" s="26" t="s">
        <v>93</v>
      </c>
      <c r="T4302" s="6" t="str">
        <f>HYPERLINK("https://kanzpp.ru/api/getInfo/image/1de2504d-19d3-11ef-a25d-00155d82e908")</f>
        <v>https://kanzpp.ru/api/getInfo/image/1de2504d-19d3-11ef-a25d-00155d82e908</v>
      </c>
      <c r="U4302" s="6"/>
      <c r="V4302" s="33" t="s">
        <v>35</v>
      </c>
    </row>
    <row r="4303" spans="2:22" ht="22.95" customHeight="1" outlineLevel="6" x14ac:dyDescent="0.2">
      <c r="B4303" s="84" t="s">
        <v>13655</v>
      </c>
      <c r="C4303" s="84"/>
      <c r="D4303" s="84"/>
      <c r="L4303">
        <v>0</v>
      </c>
    </row>
    <row r="4304" spans="2:22" ht="21" customHeight="1" outlineLevel="7" x14ac:dyDescent="0.2">
      <c r="B4304" s="69">
        <v>3250</v>
      </c>
      <c r="C4304" s="6" t="s">
        <v>13656</v>
      </c>
      <c r="D4304" s="6" t="s">
        <v>13657</v>
      </c>
      <c r="E4304" s="7" t="s">
        <v>13658</v>
      </c>
      <c r="F4304" s="13"/>
      <c r="G4304" s="14"/>
      <c r="H4304" s="15">
        <v>50</v>
      </c>
      <c r="I4304" s="15">
        <v>5</v>
      </c>
      <c r="J4304" s="17">
        <v>4395</v>
      </c>
      <c r="K4304" s="5">
        <v>50</v>
      </c>
      <c r="L4304" s="16">
        <v>53.32</v>
      </c>
      <c r="M4304" s="12"/>
      <c r="N4304" s="14">
        <f t="shared" ref="N4304:N4313" si="198">L4304*M4304</f>
        <v>0</v>
      </c>
      <c r="O4304" s="23">
        <f>0.209*M4304</f>
        <v>0</v>
      </c>
      <c r="P4304" s="24">
        <f>0.00045*M4304</f>
        <v>0</v>
      </c>
      <c r="Q4304" s="25"/>
      <c r="R4304" s="26" t="s">
        <v>13659</v>
      </c>
      <c r="S4304" s="26" t="s">
        <v>93</v>
      </c>
      <c r="T4304" s="6" t="str">
        <f>HYPERLINK("https://kanzpp.ru/api/getInfo/image/e6db06b9-19d1-11ef-a25d-00155d82e908")</f>
        <v>https://kanzpp.ru/api/getInfo/image/e6db06b9-19d1-11ef-a25d-00155d82e908</v>
      </c>
      <c r="U4304" s="6"/>
      <c r="V4304" s="33" t="s">
        <v>35</v>
      </c>
    </row>
    <row r="4305" spans="2:22" ht="21" customHeight="1" outlineLevel="7" x14ac:dyDescent="0.2">
      <c r="B4305" s="69">
        <v>3251</v>
      </c>
      <c r="C4305" s="6" t="s">
        <v>13660</v>
      </c>
      <c r="D4305" s="6" t="s">
        <v>13661</v>
      </c>
      <c r="E4305" s="7" t="s">
        <v>13662</v>
      </c>
      <c r="F4305" s="13"/>
      <c r="G4305" s="14"/>
      <c r="H4305" s="15">
        <v>50</v>
      </c>
      <c r="I4305" s="15">
        <v>5</v>
      </c>
      <c r="J4305" s="17">
        <v>6555</v>
      </c>
      <c r="K4305" s="5">
        <v>50</v>
      </c>
      <c r="L4305" s="16">
        <v>53.32</v>
      </c>
      <c r="M4305" s="12"/>
      <c r="N4305" s="14">
        <f t="shared" si="198"/>
        <v>0</v>
      </c>
      <c r="O4305" s="23">
        <f>0.108*M4305</f>
        <v>0</v>
      </c>
      <c r="P4305" s="24">
        <f>0.00021*M4305</f>
        <v>0</v>
      </c>
      <c r="Q4305" s="25"/>
      <c r="R4305" s="26" t="s">
        <v>13663</v>
      </c>
      <c r="S4305" s="26" t="s">
        <v>93</v>
      </c>
      <c r="T4305" s="6" t="str">
        <f>HYPERLINK("https://kanzpp.ru/api/getInfo/image/0526e1ba-19d2-11ef-a25d-00155d82e908")</f>
        <v>https://kanzpp.ru/api/getInfo/image/0526e1ba-19d2-11ef-a25d-00155d82e908</v>
      </c>
      <c r="U4305" s="6"/>
      <c r="V4305" s="33" t="s">
        <v>35</v>
      </c>
    </row>
    <row r="4306" spans="2:22" ht="21" customHeight="1" outlineLevel="7" x14ac:dyDescent="0.2">
      <c r="B4306" s="69">
        <v>3252</v>
      </c>
      <c r="C4306" s="6" t="s">
        <v>13664</v>
      </c>
      <c r="D4306" s="6" t="s">
        <v>13665</v>
      </c>
      <c r="E4306" s="7" t="s">
        <v>13666</v>
      </c>
      <c r="F4306" s="13"/>
      <c r="G4306" s="14"/>
      <c r="H4306" s="15">
        <v>50</v>
      </c>
      <c r="I4306" s="15">
        <v>5</v>
      </c>
      <c r="J4306" s="17">
        <v>9990</v>
      </c>
      <c r="K4306" s="5">
        <v>50</v>
      </c>
      <c r="L4306" s="16">
        <v>53.32</v>
      </c>
      <c r="M4306" s="12"/>
      <c r="N4306" s="14">
        <f t="shared" si="198"/>
        <v>0</v>
      </c>
      <c r="O4306" s="27">
        <f>0.2*M4306</f>
        <v>0</v>
      </c>
      <c r="P4306" s="24">
        <f>0.00048*M4306</f>
        <v>0</v>
      </c>
      <c r="Q4306" s="25"/>
      <c r="R4306" s="26" t="s">
        <v>13667</v>
      </c>
      <c r="S4306" s="26" t="s">
        <v>93</v>
      </c>
      <c r="T4306" s="6" t="str">
        <f>HYPERLINK("https://kanzpp.ru/api/getInfo/image/95c3a824-19d1-11ef-a25d-00155d82e908")</f>
        <v>https://kanzpp.ru/api/getInfo/image/95c3a824-19d1-11ef-a25d-00155d82e908</v>
      </c>
      <c r="U4306" s="6"/>
      <c r="V4306" s="33" t="s">
        <v>35</v>
      </c>
    </row>
    <row r="4307" spans="2:22" ht="21" customHeight="1" outlineLevel="7" x14ac:dyDescent="0.2">
      <c r="B4307" s="69">
        <v>3253</v>
      </c>
      <c r="C4307" s="6" t="s">
        <v>13668</v>
      </c>
      <c r="D4307" s="6" t="s">
        <v>13669</v>
      </c>
      <c r="E4307" s="7" t="s">
        <v>13670</v>
      </c>
      <c r="F4307" s="13"/>
      <c r="G4307" s="14"/>
      <c r="H4307" s="15">
        <v>50</v>
      </c>
      <c r="I4307" s="15">
        <v>5</v>
      </c>
      <c r="J4307" s="17">
        <v>8795</v>
      </c>
      <c r="K4307" s="5">
        <v>50</v>
      </c>
      <c r="L4307" s="16">
        <v>53.32</v>
      </c>
      <c r="M4307" s="12"/>
      <c r="N4307" s="14">
        <f t="shared" si="198"/>
        <v>0</v>
      </c>
      <c r="O4307" s="23">
        <f>0.204*M4307</f>
        <v>0</v>
      </c>
      <c r="P4307" s="24">
        <f>0.00041*M4307</f>
        <v>0</v>
      </c>
      <c r="Q4307" s="25"/>
      <c r="R4307" s="26" t="s">
        <v>13671</v>
      </c>
      <c r="S4307" s="26" t="s">
        <v>93</v>
      </c>
      <c r="T4307" s="6" t="str">
        <f>HYPERLINK("https://kanzpp.ru/api/getInfo/image/b3152add-19d1-11ef-a25d-00155d82e908")</f>
        <v>https://kanzpp.ru/api/getInfo/image/b3152add-19d1-11ef-a25d-00155d82e908</v>
      </c>
      <c r="U4307" s="6"/>
      <c r="V4307" s="33" t="s">
        <v>35</v>
      </c>
    </row>
    <row r="4308" spans="2:22" ht="21" customHeight="1" outlineLevel="7" x14ac:dyDescent="0.2">
      <c r="B4308" s="69">
        <v>3254</v>
      </c>
      <c r="C4308" s="6" t="s">
        <v>13672</v>
      </c>
      <c r="D4308" s="6" t="s">
        <v>13673</v>
      </c>
      <c r="E4308" s="7" t="s">
        <v>13674</v>
      </c>
      <c r="F4308" s="13"/>
      <c r="G4308" s="14"/>
      <c r="H4308" s="15">
        <v>50</v>
      </c>
      <c r="I4308" s="15">
        <v>5</v>
      </c>
      <c r="J4308" s="17">
        <v>9720</v>
      </c>
      <c r="K4308" s="5">
        <v>50</v>
      </c>
      <c r="L4308" s="16">
        <v>53.32</v>
      </c>
      <c r="M4308" s="12"/>
      <c r="N4308" s="14">
        <f t="shared" si="198"/>
        <v>0</v>
      </c>
      <c r="O4308" s="23">
        <f>0.201*M4308</f>
        <v>0</v>
      </c>
      <c r="P4308" s="24">
        <f>0.00038*M4308</f>
        <v>0</v>
      </c>
      <c r="Q4308" s="25"/>
      <c r="R4308" s="26" t="s">
        <v>13675</v>
      </c>
      <c r="S4308" s="26" t="s">
        <v>93</v>
      </c>
      <c r="T4308" s="6" t="str">
        <f>HYPERLINK("https://kanzpp.ru/api/getInfo/image/22af3b2a-19d2-11ef-a25d-00155d82e908")</f>
        <v>https://kanzpp.ru/api/getInfo/image/22af3b2a-19d2-11ef-a25d-00155d82e908</v>
      </c>
      <c r="U4308" s="6"/>
      <c r="V4308" s="33" t="s">
        <v>35</v>
      </c>
    </row>
    <row r="4309" spans="2:22" ht="21" customHeight="1" outlineLevel="7" x14ac:dyDescent="0.2">
      <c r="B4309" s="69">
        <v>3255</v>
      </c>
      <c r="C4309" s="6" t="s">
        <v>13676</v>
      </c>
      <c r="D4309" s="6" t="s">
        <v>13677</v>
      </c>
      <c r="E4309" s="7" t="s">
        <v>13678</v>
      </c>
      <c r="F4309" s="13"/>
      <c r="G4309" s="14"/>
      <c r="H4309" s="15">
        <v>50</v>
      </c>
      <c r="I4309" s="15">
        <v>5</v>
      </c>
      <c r="J4309" s="17">
        <v>6580</v>
      </c>
      <c r="K4309" s="5">
        <v>50</v>
      </c>
      <c r="L4309" s="16">
        <v>53.32</v>
      </c>
      <c r="M4309" s="12"/>
      <c r="N4309" s="14">
        <f t="shared" si="198"/>
        <v>0</v>
      </c>
      <c r="O4309" s="23">
        <f>0.201*M4309</f>
        <v>0</v>
      </c>
      <c r="P4309" s="24">
        <f>0.00049*M4309</f>
        <v>0</v>
      </c>
      <c r="Q4309" s="25"/>
      <c r="R4309" s="26" t="s">
        <v>13679</v>
      </c>
      <c r="S4309" s="26" t="s">
        <v>93</v>
      </c>
      <c r="T4309" s="6" t="str">
        <f>HYPERLINK("https://kanzpp.ru/api/getInfo/image/292227b1-19d1-11ef-a25d-00155d82e908")</f>
        <v>https://kanzpp.ru/api/getInfo/image/292227b1-19d1-11ef-a25d-00155d82e908</v>
      </c>
      <c r="U4309" s="6"/>
      <c r="V4309" s="33" t="s">
        <v>35</v>
      </c>
    </row>
    <row r="4310" spans="2:22" ht="21" customHeight="1" outlineLevel="7" x14ac:dyDescent="0.2">
      <c r="B4310" s="69">
        <v>3256</v>
      </c>
      <c r="C4310" s="6" t="s">
        <v>13680</v>
      </c>
      <c r="D4310" s="6" t="s">
        <v>13681</v>
      </c>
      <c r="E4310" s="7" t="s">
        <v>13682</v>
      </c>
      <c r="F4310" s="13"/>
      <c r="G4310" s="14"/>
      <c r="H4310" s="15">
        <v>50</v>
      </c>
      <c r="I4310" s="15">
        <v>5</v>
      </c>
      <c r="J4310" s="17">
        <v>4560</v>
      </c>
      <c r="K4310" s="5">
        <v>50</v>
      </c>
      <c r="L4310" s="16">
        <v>53.32</v>
      </c>
      <c r="M4310" s="12"/>
      <c r="N4310" s="14">
        <f t="shared" si="198"/>
        <v>0</v>
      </c>
      <c r="O4310" s="23">
        <f>0.214*M4310</f>
        <v>0</v>
      </c>
      <c r="P4310" s="24">
        <f>0.00027*M4310</f>
        <v>0</v>
      </c>
      <c r="Q4310" s="25"/>
      <c r="R4310" s="26" t="s">
        <v>13683</v>
      </c>
      <c r="S4310" s="26" t="s">
        <v>93</v>
      </c>
      <c r="T4310" s="6" t="str">
        <f>HYPERLINK("https://kanzpp.ru/api/getInfo/image/4407c598-19d1-11ef-a25d-00155d82e908")</f>
        <v>https://kanzpp.ru/api/getInfo/image/4407c598-19d1-11ef-a25d-00155d82e908</v>
      </c>
      <c r="U4310" s="6"/>
      <c r="V4310" s="33" t="s">
        <v>35</v>
      </c>
    </row>
    <row r="4311" spans="2:22" ht="21" customHeight="1" outlineLevel="7" x14ac:dyDescent="0.2">
      <c r="B4311" s="69">
        <v>3257</v>
      </c>
      <c r="C4311" s="6" t="s">
        <v>13684</v>
      </c>
      <c r="D4311" s="6" t="s">
        <v>13685</v>
      </c>
      <c r="E4311" s="7" t="s">
        <v>13686</v>
      </c>
      <c r="F4311" s="13"/>
      <c r="G4311" s="14"/>
      <c r="H4311" s="15">
        <v>50</v>
      </c>
      <c r="I4311" s="15">
        <v>5</v>
      </c>
      <c r="J4311" s="17">
        <v>4945</v>
      </c>
      <c r="K4311" s="5">
        <v>50</v>
      </c>
      <c r="L4311" s="16">
        <v>53.32</v>
      </c>
      <c r="M4311" s="12"/>
      <c r="N4311" s="14">
        <f t="shared" si="198"/>
        <v>0</v>
      </c>
      <c r="O4311" s="23">
        <f>0.202*M4311</f>
        <v>0</v>
      </c>
      <c r="P4311" s="24">
        <f>0.00041*M4311</f>
        <v>0</v>
      </c>
      <c r="Q4311" s="25"/>
      <c r="R4311" s="26" t="s">
        <v>13687</v>
      </c>
      <c r="S4311" s="26" t="s">
        <v>93</v>
      </c>
      <c r="T4311" s="6" t="str">
        <f>HYPERLINK("https://kanzpp.ru/api/getInfo/image/f1944e05-19d0-11ef-a25d-00155d82e908")</f>
        <v>https://kanzpp.ru/api/getInfo/image/f1944e05-19d0-11ef-a25d-00155d82e908</v>
      </c>
      <c r="U4311" s="6"/>
      <c r="V4311" s="33" t="s">
        <v>35</v>
      </c>
    </row>
    <row r="4312" spans="2:22" ht="21" customHeight="1" outlineLevel="7" x14ac:dyDescent="0.2">
      <c r="B4312" s="69">
        <v>3258</v>
      </c>
      <c r="C4312" s="6" t="s">
        <v>13688</v>
      </c>
      <c r="D4312" s="6" t="s">
        <v>13689</v>
      </c>
      <c r="E4312" s="7" t="s">
        <v>13690</v>
      </c>
      <c r="F4312" s="13"/>
      <c r="G4312" s="14"/>
      <c r="H4312" s="15">
        <v>50</v>
      </c>
      <c r="I4312" s="15">
        <v>5</v>
      </c>
      <c r="J4312" s="17">
        <v>7690</v>
      </c>
      <c r="K4312" s="5">
        <v>50</v>
      </c>
      <c r="L4312" s="16">
        <v>53.32</v>
      </c>
      <c r="M4312" s="12"/>
      <c r="N4312" s="14">
        <f t="shared" si="198"/>
        <v>0</v>
      </c>
      <c r="O4312" s="23">
        <f>10.405*M4312</f>
        <v>0</v>
      </c>
      <c r="P4312" s="24">
        <f>0.01953*M4312</f>
        <v>0</v>
      </c>
      <c r="Q4312" s="25"/>
      <c r="R4312" s="26" t="s">
        <v>13691</v>
      </c>
      <c r="S4312" s="26" t="s">
        <v>93</v>
      </c>
      <c r="T4312" s="6" t="str">
        <f>HYPERLINK("https://kanzpp.ru/api/getInfo/image/0d6857ea-19d1-11ef-a25d-00155d82e908")</f>
        <v>https://kanzpp.ru/api/getInfo/image/0d6857ea-19d1-11ef-a25d-00155d82e908</v>
      </c>
      <c r="U4312" s="6"/>
      <c r="V4312" s="33" t="s">
        <v>35</v>
      </c>
    </row>
    <row r="4313" spans="2:22" ht="21" customHeight="1" outlineLevel="7" x14ac:dyDescent="0.2">
      <c r="B4313" s="69">
        <v>3259</v>
      </c>
      <c r="C4313" s="6" t="s">
        <v>13692</v>
      </c>
      <c r="D4313" s="6" t="s">
        <v>13693</v>
      </c>
      <c r="E4313" s="7" t="s">
        <v>13694</v>
      </c>
      <c r="F4313" s="13"/>
      <c r="G4313" s="14"/>
      <c r="H4313" s="15">
        <v>50</v>
      </c>
      <c r="I4313" s="15">
        <v>5</v>
      </c>
      <c r="J4313" s="17">
        <v>11850</v>
      </c>
      <c r="K4313" s="5">
        <v>50</v>
      </c>
      <c r="L4313" s="16">
        <v>53.32</v>
      </c>
      <c r="M4313" s="12"/>
      <c r="N4313" s="14">
        <f t="shared" si="198"/>
        <v>0</v>
      </c>
      <c r="O4313" s="23">
        <f>0.205*M4313</f>
        <v>0</v>
      </c>
      <c r="P4313" s="24">
        <f>0.00045*M4313</f>
        <v>0</v>
      </c>
      <c r="Q4313" s="25"/>
      <c r="R4313" s="26" t="s">
        <v>13695</v>
      </c>
      <c r="S4313" s="26" t="s">
        <v>93</v>
      </c>
      <c r="T4313" s="6" t="str">
        <f>HYPERLINK("https://kanzpp.ru/api/getInfo/image/5e67df5b-19d1-11ef-a25d-00155d82e908")</f>
        <v>https://kanzpp.ru/api/getInfo/image/5e67df5b-19d1-11ef-a25d-00155d82e908</v>
      </c>
      <c r="U4313" s="6"/>
      <c r="V4313" s="33" t="s">
        <v>35</v>
      </c>
    </row>
    <row r="4314" spans="2:22" ht="22.95" customHeight="1" outlineLevel="5" x14ac:dyDescent="0.2">
      <c r="B4314" s="83" t="s">
        <v>13696</v>
      </c>
      <c r="C4314" s="83"/>
      <c r="D4314" s="83"/>
      <c r="L4314">
        <v>0</v>
      </c>
    </row>
    <row r="4315" spans="2:22" ht="21" customHeight="1" outlineLevel="6" x14ac:dyDescent="0.2">
      <c r="B4315" s="71">
        <v>3260</v>
      </c>
      <c r="C4315" s="37" t="s">
        <v>13697</v>
      </c>
      <c r="D4315" s="37" t="s">
        <v>13698</v>
      </c>
      <c r="E4315" s="38" t="s">
        <v>13699</v>
      </c>
      <c r="F4315" s="39"/>
      <c r="G4315" s="40"/>
      <c r="H4315" s="41">
        <v>48</v>
      </c>
      <c r="I4315" s="41">
        <v>6</v>
      </c>
      <c r="J4315" s="40" t="s">
        <v>144</v>
      </c>
      <c r="K4315" s="36">
        <v>48</v>
      </c>
      <c r="L4315" s="42">
        <f>(62.53*(1-O3/100))/0.75</f>
        <v>83.373333333333335</v>
      </c>
      <c r="M4315" s="12"/>
      <c r="N4315" s="40">
        <f t="shared" ref="N4315:N4322" si="199">L4315*M4315</f>
        <v>0</v>
      </c>
      <c r="O4315" s="43">
        <f>0.108*M4315</f>
        <v>0</v>
      </c>
      <c r="P4315" s="47">
        <f>0.00021*M4315</f>
        <v>0</v>
      </c>
      <c r="Q4315" s="44"/>
      <c r="R4315" s="45" t="s">
        <v>13700</v>
      </c>
      <c r="S4315" s="45" t="s">
        <v>93</v>
      </c>
      <c r="T4315" s="37" t="str">
        <f>HYPERLINK("https://kanzpp.ru/api/getInfo/image/95bb8f4e-bbbc-11f0-a288-00155d82e908")</f>
        <v>https://kanzpp.ru/api/getInfo/image/95bb8f4e-bbbc-11f0-a288-00155d82e908</v>
      </c>
      <c r="U4315" s="37"/>
    </row>
    <row r="4316" spans="2:22" ht="21" customHeight="1" outlineLevel="6" x14ac:dyDescent="0.2">
      <c r="B4316" s="71">
        <v>3261</v>
      </c>
      <c r="C4316" s="37" t="s">
        <v>13701</v>
      </c>
      <c r="D4316" s="37" t="s">
        <v>13702</v>
      </c>
      <c r="E4316" s="38" t="s">
        <v>13703</v>
      </c>
      <c r="F4316" s="39"/>
      <c r="G4316" s="40"/>
      <c r="H4316" s="41">
        <v>48</v>
      </c>
      <c r="I4316" s="41">
        <v>6</v>
      </c>
      <c r="J4316" s="50">
        <v>4192</v>
      </c>
      <c r="K4316" s="36">
        <v>48</v>
      </c>
      <c r="L4316" s="42">
        <f>(62.53*(1-O3/100))/0.75</f>
        <v>83.373333333333335</v>
      </c>
      <c r="M4316" s="12"/>
      <c r="N4316" s="40">
        <f t="shared" si="199"/>
        <v>0</v>
      </c>
      <c r="O4316" s="43">
        <f>0.204*M4316</f>
        <v>0</v>
      </c>
      <c r="P4316" s="47">
        <f>0.00034*M4316</f>
        <v>0</v>
      </c>
      <c r="Q4316" s="44"/>
      <c r="R4316" s="45" t="s">
        <v>13704</v>
      </c>
      <c r="S4316" s="45" t="s">
        <v>93</v>
      </c>
      <c r="T4316" s="37" t="str">
        <f>HYPERLINK("https://kanzpp.ru/api/getInfo/image/53b4cfa9-7f0c-11ef-a265-00155d82e908")</f>
        <v>https://kanzpp.ru/api/getInfo/image/53b4cfa9-7f0c-11ef-a265-00155d82e908</v>
      </c>
      <c r="U4316" s="37"/>
    </row>
    <row r="4317" spans="2:22" ht="21" customHeight="1" outlineLevel="6" x14ac:dyDescent="0.2">
      <c r="B4317" s="69">
        <v>3262</v>
      </c>
      <c r="C4317" s="6" t="s">
        <v>13705</v>
      </c>
      <c r="D4317" s="6" t="s">
        <v>13706</v>
      </c>
      <c r="E4317" s="7" t="s">
        <v>13707</v>
      </c>
      <c r="F4317" s="13"/>
      <c r="G4317" s="14"/>
      <c r="H4317" s="15">
        <v>48</v>
      </c>
      <c r="I4317" s="15">
        <v>6</v>
      </c>
      <c r="J4317" s="17">
        <v>5042</v>
      </c>
      <c r="K4317" s="5">
        <v>48</v>
      </c>
      <c r="L4317" s="16">
        <v>39.866666666666667</v>
      </c>
      <c r="M4317" s="12"/>
      <c r="N4317" s="14">
        <f t="shared" si="199"/>
        <v>0</v>
      </c>
      <c r="O4317" s="23">
        <f>0.108*M4317</f>
        <v>0</v>
      </c>
      <c r="P4317" s="24">
        <f>0.00021*M4317</f>
        <v>0</v>
      </c>
      <c r="Q4317" s="25"/>
      <c r="R4317" s="26" t="s">
        <v>13708</v>
      </c>
      <c r="S4317" s="26" t="s">
        <v>93</v>
      </c>
      <c r="T4317" s="6" t="str">
        <f>HYPERLINK("https://kanzpp.ru/api/getInfo/image/55e932d3-ecdf-11ee-a25b-00155d82e908")</f>
        <v>https://kanzpp.ru/api/getInfo/image/55e932d3-ecdf-11ee-a25b-00155d82e908</v>
      </c>
      <c r="U4317" s="6"/>
      <c r="V4317" s="33" t="s">
        <v>35</v>
      </c>
    </row>
    <row r="4318" spans="2:22" ht="21" customHeight="1" outlineLevel="6" x14ac:dyDescent="0.2">
      <c r="B4318" s="71">
        <v>3263</v>
      </c>
      <c r="C4318" s="37" t="s">
        <v>13709</v>
      </c>
      <c r="D4318" s="37" t="s">
        <v>13710</v>
      </c>
      <c r="E4318" s="38" t="s">
        <v>13711</v>
      </c>
      <c r="F4318" s="39"/>
      <c r="G4318" s="40"/>
      <c r="H4318" s="41">
        <v>48</v>
      </c>
      <c r="I4318" s="41">
        <v>6</v>
      </c>
      <c r="J4318" s="40" t="s">
        <v>144</v>
      </c>
      <c r="K4318" s="36">
        <v>48</v>
      </c>
      <c r="L4318" s="42">
        <f>(62.53*(1-O3/100))/0.75</f>
        <v>83.373333333333335</v>
      </c>
      <c r="M4318" s="12"/>
      <c r="N4318" s="40">
        <f t="shared" si="199"/>
        <v>0</v>
      </c>
      <c r="O4318" s="49">
        <f>0.2*M4318</f>
        <v>0</v>
      </c>
      <c r="P4318" s="47">
        <f>0.00031*M4318</f>
        <v>0</v>
      </c>
      <c r="Q4318" s="44"/>
      <c r="R4318" s="45" t="s">
        <v>13712</v>
      </c>
      <c r="S4318" s="45" t="s">
        <v>93</v>
      </c>
      <c r="T4318" s="37" t="str">
        <f>HYPERLINK("https://kanzpp.ru/api/getInfo/image/c4307d3e-bbbc-11f0-a288-00155d82e908")</f>
        <v>https://kanzpp.ru/api/getInfo/image/c4307d3e-bbbc-11f0-a288-00155d82e908</v>
      </c>
      <c r="U4318" s="37"/>
    </row>
    <row r="4319" spans="2:22" ht="21" customHeight="1" outlineLevel="6" x14ac:dyDescent="0.2">
      <c r="B4319" s="69">
        <v>3264</v>
      </c>
      <c r="C4319" s="6" t="s">
        <v>13713</v>
      </c>
      <c r="D4319" s="6" t="s">
        <v>13714</v>
      </c>
      <c r="E4319" s="7" t="s">
        <v>13715</v>
      </c>
      <c r="F4319" s="13"/>
      <c r="G4319" s="14"/>
      <c r="H4319" s="15">
        <v>48</v>
      </c>
      <c r="I4319" s="15">
        <v>6</v>
      </c>
      <c r="J4319" s="15">
        <v>247</v>
      </c>
      <c r="K4319" s="5">
        <v>48</v>
      </c>
      <c r="L4319" s="16">
        <v>48.666666666666664</v>
      </c>
      <c r="M4319" s="12"/>
      <c r="N4319" s="14">
        <f t="shared" si="199"/>
        <v>0</v>
      </c>
      <c r="O4319" s="23">
        <f>0.197*M4319</f>
        <v>0</v>
      </c>
      <c r="P4319" s="24">
        <f>0.00027*M4319</f>
        <v>0</v>
      </c>
      <c r="Q4319" s="25"/>
      <c r="R4319" s="26" t="s">
        <v>13716</v>
      </c>
      <c r="S4319" s="26" t="s">
        <v>93</v>
      </c>
      <c r="T4319" s="6" t="str">
        <f>HYPERLINK("https://kanzpp.ru/api/getInfo/image/de43f04e-441e-11eb-a25e-ac1f6b442184")</f>
        <v>https://kanzpp.ru/api/getInfo/image/de43f04e-441e-11eb-a25e-ac1f6b442184</v>
      </c>
      <c r="U4319" s="6"/>
      <c r="V4319" s="33" t="s">
        <v>35</v>
      </c>
    </row>
    <row r="4320" spans="2:22" ht="21" customHeight="1" outlineLevel="6" x14ac:dyDescent="0.2">
      <c r="B4320" s="71">
        <v>3265</v>
      </c>
      <c r="C4320" s="37" t="s">
        <v>13717</v>
      </c>
      <c r="D4320" s="37" t="s">
        <v>13718</v>
      </c>
      <c r="E4320" s="38" t="s">
        <v>13719</v>
      </c>
      <c r="F4320" s="39"/>
      <c r="G4320" s="40"/>
      <c r="H4320" s="41">
        <v>48</v>
      </c>
      <c r="I4320" s="41">
        <v>6</v>
      </c>
      <c r="J4320" s="50">
        <v>9913</v>
      </c>
      <c r="K4320" s="36">
        <v>48</v>
      </c>
      <c r="L4320" s="42">
        <f>(62.53*(1-O3/100))/0.75</f>
        <v>83.373333333333335</v>
      </c>
      <c r="M4320" s="12"/>
      <c r="N4320" s="40">
        <f t="shared" si="199"/>
        <v>0</v>
      </c>
      <c r="O4320" s="49">
        <f>0.2*M4320</f>
        <v>0</v>
      </c>
      <c r="P4320" s="47">
        <f>0.00038*M4320</f>
        <v>0</v>
      </c>
      <c r="Q4320" s="44"/>
      <c r="R4320" s="45" t="s">
        <v>13720</v>
      </c>
      <c r="S4320" s="45" t="s">
        <v>93</v>
      </c>
      <c r="T4320" s="37" t="str">
        <f>HYPERLINK("https://kanzpp.ru/api/getInfo/image/1b5d233d-bbbd-11f0-a288-00155d82e908")</f>
        <v>https://kanzpp.ru/api/getInfo/image/1b5d233d-bbbd-11f0-a288-00155d82e908</v>
      </c>
      <c r="U4320" s="37"/>
    </row>
    <row r="4321" spans="2:22" ht="21" customHeight="1" outlineLevel="6" x14ac:dyDescent="0.2">
      <c r="B4321" s="71">
        <v>3266</v>
      </c>
      <c r="C4321" s="37" t="s">
        <v>13721</v>
      </c>
      <c r="D4321" s="37" t="s">
        <v>13722</v>
      </c>
      <c r="E4321" s="38" t="s">
        <v>13723</v>
      </c>
      <c r="F4321" s="39"/>
      <c r="G4321" s="40"/>
      <c r="H4321" s="41">
        <v>48</v>
      </c>
      <c r="I4321" s="41">
        <v>6</v>
      </c>
      <c r="J4321" s="40" t="s">
        <v>144</v>
      </c>
      <c r="K4321" s="36">
        <v>48</v>
      </c>
      <c r="L4321" s="42">
        <f>(62.53*(1-O3/100))/0.75</f>
        <v>83.373333333333335</v>
      </c>
      <c r="M4321" s="12"/>
      <c r="N4321" s="40">
        <f t="shared" si="199"/>
        <v>0</v>
      </c>
      <c r="O4321" s="43">
        <f>0.203*M4321</f>
        <v>0</v>
      </c>
      <c r="P4321" s="47">
        <f>0.00039*M4321</f>
        <v>0</v>
      </c>
      <c r="Q4321" s="44"/>
      <c r="R4321" s="45" t="s">
        <v>13724</v>
      </c>
      <c r="S4321" s="45" t="s">
        <v>93</v>
      </c>
      <c r="T4321" s="37" t="str">
        <f>HYPERLINK("https://kanzpp.ru/api/getInfo/image/f1088312-bbbc-11f0-a288-00155d82e908")</f>
        <v>https://kanzpp.ru/api/getInfo/image/f1088312-bbbc-11f0-a288-00155d82e908</v>
      </c>
      <c r="U4321" s="37"/>
    </row>
    <row r="4322" spans="2:22" ht="21" customHeight="1" outlineLevel="6" x14ac:dyDescent="0.2">
      <c r="B4322" s="69">
        <v>3267</v>
      </c>
      <c r="C4322" s="6" t="s">
        <v>13725</v>
      </c>
      <c r="D4322" s="6" t="s">
        <v>13726</v>
      </c>
      <c r="E4322" s="7" t="s">
        <v>13727</v>
      </c>
      <c r="F4322" s="13"/>
      <c r="G4322" s="14"/>
      <c r="H4322" s="15">
        <v>48</v>
      </c>
      <c r="I4322" s="15">
        <v>6</v>
      </c>
      <c r="J4322" s="14" t="s">
        <v>144</v>
      </c>
      <c r="K4322" s="5">
        <v>48</v>
      </c>
      <c r="L4322" s="16">
        <v>48.666666666666664</v>
      </c>
      <c r="M4322" s="12"/>
      <c r="N4322" s="14">
        <f t="shared" si="199"/>
        <v>0</v>
      </c>
      <c r="O4322" s="23">
        <f>0.049*M4322</f>
        <v>0</v>
      </c>
      <c r="P4322" s="31">
        <f>0.0001*M4322</f>
        <v>0</v>
      </c>
      <c r="Q4322" s="25"/>
      <c r="R4322" s="26" t="s">
        <v>13728</v>
      </c>
      <c r="S4322" s="26" t="s">
        <v>93</v>
      </c>
      <c r="T4322" s="6" t="str">
        <f>HYPERLINK("https://kanzpp.ru/api/getInfo/image/9a5f75b5-ecdf-11ee-a25b-00155d82e908")</f>
        <v>https://kanzpp.ru/api/getInfo/image/9a5f75b5-ecdf-11ee-a25b-00155d82e908</v>
      </c>
      <c r="U4322" s="6"/>
      <c r="V4322" s="33" t="s">
        <v>35</v>
      </c>
    </row>
    <row r="4323" spans="2:22" ht="22.95" customHeight="1" outlineLevel="5" x14ac:dyDescent="0.2">
      <c r="B4323" s="83" t="s">
        <v>13729</v>
      </c>
      <c r="C4323" s="83"/>
      <c r="D4323" s="83"/>
      <c r="L4323">
        <v>0</v>
      </c>
    </row>
    <row r="4324" spans="2:22" ht="21" customHeight="1" outlineLevel="6" x14ac:dyDescent="0.2">
      <c r="B4324" s="71">
        <v>3268</v>
      </c>
      <c r="C4324" s="37" t="s">
        <v>13730</v>
      </c>
      <c r="D4324" s="37" t="s">
        <v>13731</v>
      </c>
      <c r="E4324" s="38" t="s">
        <v>13732</v>
      </c>
      <c r="F4324" s="39"/>
      <c r="G4324" s="40"/>
      <c r="H4324" s="41">
        <v>48</v>
      </c>
      <c r="I4324" s="41">
        <v>6</v>
      </c>
      <c r="J4324" s="40" t="s">
        <v>144</v>
      </c>
      <c r="K4324" s="36">
        <v>48</v>
      </c>
      <c r="L4324" s="42">
        <f>(59.87*(1-O3/100))/0.75</f>
        <v>79.826666666666668</v>
      </c>
      <c r="M4324" s="12"/>
      <c r="N4324" s="40">
        <f>L4324*M4324</f>
        <v>0</v>
      </c>
      <c r="O4324" s="43">
        <f>0.332*M4324</f>
        <v>0</v>
      </c>
      <c r="P4324" s="47">
        <f>0.00075*M4324</f>
        <v>0</v>
      </c>
      <c r="Q4324" s="44"/>
      <c r="R4324" s="45" t="s">
        <v>13733</v>
      </c>
      <c r="S4324" s="45" t="s">
        <v>93</v>
      </c>
      <c r="T4324" s="37" t="str">
        <f>HYPERLINK("https://kanzpp.ru/api/getInfo/image/70e5732f-bbbf-11f0-a288-00155d82e908")</f>
        <v>https://kanzpp.ru/api/getInfo/image/70e5732f-bbbf-11f0-a288-00155d82e908</v>
      </c>
      <c r="U4324" s="37"/>
    </row>
    <row r="4325" spans="2:22" ht="21" customHeight="1" outlineLevel="6" x14ac:dyDescent="0.2">
      <c r="B4325" s="71">
        <v>3269</v>
      </c>
      <c r="C4325" s="37" t="s">
        <v>13734</v>
      </c>
      <c r="D4325" s="37" t="s">
        <v>13735</v>
      </c>
      <c r="E4325" s="38" t="s">
        <v>13736</v>
      </c>
      <c r="F4325" s="39"/>
      <c r="G4325" s="40"/>
      <c r="H4325" s="41">
        <v>48</v>
      </c>
      <c r="I4325" s="41">
        <v>6</v>
      </c>
      <c r="J4325" s="40" t="s">
        <v>144</v>
      </c>
      <c r="K4325" s="36">
        <v>48</v>
      </c>
      <c r="L4325" s="42">
        <f>(59.87*(1-O3/100))/0.75</f>
        <v>79.826666666666668</v>
      </c>
      <c r="M4325" s="12"/>
      <c r="N4325" s="40">
        <f>L4325*M4325</f>
        <v>0</v>
      </c>
      <c r="O4325" s="43">
        <f>0.201*M4325</f>
        <v>0</v>
      </c>
      <c r="P4325" s="47">
        <f>0.00039*M4325</f>
        <v>0</v>
      </c>
      <c r="Q4325" s="44"/>
      <c r="R4325" s="45" t="s">
        <v>13737</v>
      </c>
      <c r="S4325" s="45" t="s">
        <v>93</v>
      </c>
      <c r="T4325" s="37" t="str">
        <f>HYPERLINK("https://kanzpp.ru/api/getInfo/image/679ef2a4-bbc0-11f0-a288-00155d82e908")</f>
        <v>https://kanzpp.ru/api/getInfo/image/679ef2a4-bbc0-11f0-a288-00155d82e908</v>
      </c>
      <c r="U4325" s="37"/>
    </row>
    <row r="4326" spans="2:22" ht="21" customHeight="1" outlineLevel="6" x14ac:dyDescent="0.2">
      <c r="B4326" s="71">
        <v>3270</v>
      </c>
      <c r="C4326" s="37" t="s">
        <v>13738</v>
      </c>
      <c r="D4326" s="37" t="s">
        <v>13739</v>
      </c>
      <c r="E4326" s="38" t="s">
        <v>13740</v>
      </c>
      <c r="F4326" s="39"/>
      <c r="G4326" s="40"/>
      <c r="H4326" s="41">
        <v>48</v>
      </c>
      <c r="I4326" s="41">
        <v>6</v>
      </c>
      <c r="J4326" s="50">
        <v>8952</v>
      </c>
      <c r="K4326" s="36">
        <v>48</v>
      </c>
      <c r="L4326" s="42">
        <f>(59.87*(1-O3/100))/0.75</f>
        <v>79.826666666666668</v>
      </c>
      <c r="M4326" s="12"/>
      <c r="N4326" s="40">
        <f>L4326*M4326</f>
        <v>0</v>
      </c>
      <c r="O4326" s="43">
        <f>0.201*M4326</f>
        <v>0</v>
      </c>
      <c r="P4326" s="47">
        <f>0.00045*M4326</f>
        <v>0</v>
      </c>
      <c r="Q4326" s="44"/>
      <c r="R4326" s="45" t="s">
        <v>13741</v>
      </c>
      <c r="S4326" s="45" t="s">
        <v>93</v>
      </c>
      <c r="T4326" s="37" t="str">
        <f>HYPERLINK("https://kanzpp.ru/api/getInfo/image/3c15183d-bbc0-11f0-a288-00155d82e908")</f>
        <v>https://kanzpp.ru/api/getInfo/image/3c15183d-bbc0-11f0-a288-00155d82e908</v>
      </c>
      <c r="U4326" s="37"/>
    </row>
    <row r="4327" spans="2:22" ht="21" customHeight="1" outlineLevel="6" x14ac:dyDescent="0.2">
      <c r="B4327" s="71">
        <v>3271</v>
      </c>
      <c r="C4327" s="37" t="s">
        <v>13742</v>
      </c>
      <c r="D4327" s="37" t="s">
        <v>13743</v>
      </c>
      <c r="E4327" s="38" t="s">
        <v>13744</v>
      </c>
      <c r="F4327" s="39"/>
      <c r="G4327" s="40"/>
      <c r="H4327" s="41">
        <v>48</v>
      </c>
      <c r="I4327" s="41">
        <v>6</v>
      </c>
      <c r="J4327" s="40" t="s">
        <v>144</v>
      </c>
      <c r="K4327" s="36">
        <v>48</v>
      </c>
      <c r="L4327" s="42">
        <f>(59.87*(1-O3/100))/0.75</f>
        <v>79.826666666666668</v>
      </c>
      <c r="M4327" s="12"/>
      <c r="N4327" s="40">
        <f>L4327*M4327</f>
        <v>0</v>
      </c>
      <c r="O4327" s="43">
        <f>0.204*M4327</f>
        <v>0</v>
      </c>
      <c r="P4327" s="47">
        <f>0.00038*M4327</f>
        <v>0</v>
      </c>
      <c r="Q4327" s="44"/>
      <c r="R4327" s="45" t="s">
        <v>13745</v>
      </c>
      <c r="S4327" s="45" t="s">
        <v>93</v>
      </c>
      <c r="T4327" s="37" t="str">
        <f>HYPERLINK("https://kanzpp.ru/api/getInfo/image/00a27d7c-bbc0-11f0-a288-00155d82e908")</f>
        <v>https://kanzpp.ru/api/getInfo/image/00a27d7c-bbc0-11f0-a288-00155d82e908</v>
      </c>
      <c r="U4327" s="37"/>
    </row>
    <row r="4328" spans="2:22" ht="22.95" customHeight="1" outlineLevel="5" x14ac:dyDescent="0.2">
      <c r="B4328" s="83" t="s">
        <v>13746</v>
      </c>
      <c r="C4328" s="83"/>
      <c r="D4328" s="83"/>
      <c r="L4328">
        <v>0</v>
      </c>
    </row>
    <row r="4329" spans="2:22" ht="22.95" customHeight="1" outlineLevel="6" x14ac:dyDescent="0.2">
      <c r="B4329" s="84" t="s">
        <v>13747</v>
      </c>
      <c r="C4329" s="84"/>
      <c r="D4329" s="84"/>
      <c r="L4329">
        <v>0</v>
      </c>
    </row>
    <row r="4330" spans="2:22" ht="21" customHeight="1" outlineLevel="7" x14ac:dyDescent="0.2">
      <c r="B4330" s="71">
        <v>3272</v>
      </c>
      <c r="C4330" s="37" t="s">
        <v>13748</v>
      </c>
      <c r="D4330" s="37" t="s">
        <v>13749</v>
      </c>
      <c r="E4330" s="38" t="s">
        <v>13750</v>
      </c>
      <c r="F4330" s="39"/>
      <c r="G4330" s="40"/>
      <c r="H4330" s="41">
        <v>50</v>
      </c>
      <c r="I4330" s="41">
        <v>5</v>
      </c>
      <c r="J4330" s="50">
        <v>4164</v>
      </c>
      <c r="K4330" s="36">
        <v>50</v>
      </c>
      <c r="L4330" s="42">
        <f>(64.27*(1-O3/100))/0.75</f>
        <v>85.693333333333328</v>
      </c>
      <c r="M4330" s="12"/>
      <c r="N4330" s="40">
        <f>L4330*M4330</f>
        <v>0</v>
      </c>
      <c r="O4330" s="43">
        <f>0.108*M4330</f>
        <v>0</v>
      </c>
      <c r="P4330" s="47">
        <f>0.00021*M4330</f>
        <v>0</v>
      </c>
      <c r="Q4330" s="44"/>
      <c r="R4330" s="45" t="s">
        <v>13751</v>
      </c>
      <c r="S4330" s="45" t="s">
        <v>93</v>
      </c>
      <c r="T4330" s="37" t="str">
        <f>HYPERLINK("https://kanzpp.ru/api/getInfo/image/cf1881c7-ece3-11ee-a25b-00155d82e908")</f>
        <v>https://kanzpp.ru/api/getInfo/image/cf1881c7-ece3-11ee-a25b-00155d82e908</v>
      </c>
      <c r="U4330" s="37"/>
    </row>
    <row r="4331" spans="2:22" ht="21" customHeight="1" outlineLevel="7" x14ac:dyDescent="0.2">
      <c r="B4331" s="71">
        <v>3273</v>
      </c>
      <c r="C4331" s="37" t="s">
        <v>13752</v>
      </c>
      <c r="D4331" s="37" t="s">
        <v>13753</v>
      </c>
      <c r="E4331" s="38" t="s">
        <v>13754</v>
      </c>
      <c r="F4331" s="39"/>
      <c r="G4331" s="40"/>
      <c r="H4331" s="41">
        <v>50</v>
      </c>
      <c r="I4331" s="41">
        <v>5</v>
      </c>
      <c r="J4331" s="50">
        <v>2700</v>
      </c>
      <c r="K4331" s="36">
        <v>50</v>
      </c>
      <c r="L4331" s="42">
        <f>(64.27*(1-O3/100))/0.75</f>
        <v>85.693333333333328</v>
      </c>
      <c r="M4331" s="12"/>
      <c r="N4331" s="40">
        <f>L4331*M4331</f>
        <v>0</v>
      </c>
      <c r="O4331" s="43">
        <f>0.203*M4331</f>
        <v>0</v>
      </c>
      <c r="P4331" s="47">
        <f>0.00031*M4331</f>
        <v>0</v>
      </c>
      <c r="Q4331" s="44"/>
      <c r="R4331" s="45" t="s">
        <v>13755</v>
      </c>
      <c r="S4331" s="45" t="s">
        <v>93</v>
      </c>
      <c r="T4331" s="37" t="str">
        <f>HYPERLINK("https://kanzpp.ru/api/getInfo/image/f97fc64f-ece3-11ee-a25b-00155d82e908")</f>
        <v>https://kanzpp.ru/api/getInfo/image/f97fc64f-ece3-11ee-a25b-00155d82e908</v>
      </c>
      <c r="U4331" s="37"/>
    </row>
    <row r="4332" spans="2:22" ht="22.95" customHeight="1" outlineLevel="6" x14ac:dyDescent="0.2">
      <c r="B4332" s="84" t="s">
        <v>13756</v>
      </c>
      <c r="C4332" s="84"/>
      <c r="D4332" s="84"/>
      <c r="L4332">
        <v>0</v>
      </c>
    </row>
    <row r="4333" spans="2:22" ht="21" customHeight="1" outlineLevel="7" x14ac:dyDescent="0.2">
      <c r="B4333" s="71">
        <v>3274</v>
      </c>
      <c r="C4333" s="37" t="s">
        <v>13757</v>
      </c>
      <c r="D4333" s="37" t="s">
        <v>13758</v>
      </c>
      <c r="E4333" s="38" t="s">
        <v>13759</v>
      </c>
      <c r="F4333" s="39"/>
      <c r="G4333" s="40"/>
      <c r="H4333" s="41">
        <v>50</v>
      </c>
      <c r="I4333" s="41">
        <v>5</v>
      </c>
      <c r="J4333" s="40" t="s">
        <v>144</v>
      </c>
      <c r="K4333" s="36">
        <v>50</v>
      </c>
      <c r="L4333" s="42">
        <f>(70.53*(1-O3/100))/0.75</f>
        <v>94.04</v>
      </c>
      <c r="M4333" s="12"/>
      <c r="N4333" s="40">
        <f t="shared" ref="N4333:N4338" si="200">L4333*M4333</f>
        <v>0</v>
      </c>
      <c r="O4333" s="43">
        <f>0.206*M4333</f>
        <v>0</v>
      </c>
      <c r="P4333" s="47">
        <f>0.00041*M4333</f>
        <v>0</v>
      </c>
      <c r="Q4333" s="44"/>
      <c r="R4333" s="45" t="s">
        <v>13760</v>
      </c>
      <c r="S4333" s="45" t="s">
        <v>93</v>
      </c>
      <c r="T4333" s="37" t="str">
        <f>HYPERLINK("https://kanzpp.ru/api/getInfo/image/2cccacfb-c50b-11f0-a289-00155d82e908")</f>
        <v>https://kanzpp.ru/api/getInfo/image/2cccacfb-c50b-11f0-a289-00155d82e908</v>
      </c>
      <c r="U4333" s="37"/>
    </row>
    <row r="4334" spans="2:22" ht="21" customHeight="1" outlineLevel="7" x14ac:dyDescent="0.2">
      <c r="B4334" s="71">
        <v>3275</v>
      </c>
      <c r="C4334" s="37" t="s">
        <v>13761</v>
      </c>
      <c r="D4334" s="37" t="s">
        <v>13762</v>
      </c>
      <c r="E4334" s="38" t="s">
        <v>13763</v>
      </c>
      <c r="F4334" s="39"/>
      <c r="G4334" s="40"/>
      <c r="H4334" s="41">
        <v>50</v>
      </c>
      <c r="I4334" s="41">
        <v>5</v>
      </c>
      <c r="J4334" s="40" t="s">
        <v>144</v>
      </c>
      <c r="K4334" s="36">
        <v>50</v>
      </c>
      <c r="L4334" s="42">
        <f>(70.53*(1-O3/100))/0.75</f>
        <v>94.04</v>
      </c>
      <c r="M4334" s="12"/>
      <c r="N4334" s="40">
        <f t="shared" si="200"/>
        <v>0</v>
      </c>
      <c r="O4334" s="43">
        <f>0.211*M4334</f>
        <v>0</v>
      </c>
      <c r="P4334" s="47">
        <f>0.00044*M4334</f>
        <v>0</v>
      </c>
      <c r="Q4334" s="44"/>
      <c r="R4334" s="45" t="s">
        <v>13764</v>
      </c>
      <c r="S4334" s="45" t="s">
        <v>93</v>
      </c>
      <c r="T4334" s="37" t="str">
        <f>HYPERLINK("https://kanzpp.ru/api/getInfo/image/ec71f638-c50b-11f0-a289-00155d82e908")</f>
        <v>https://kanzpp.ru/api/getInfo/image/ec71f638-c50b-11f0-a289-00155d82e908</v>
      </c>
      <c r="U4334" s="37"/>
    </row>
    <row r="4335" spans="2:22" ht="21" customHeight="1" outlineLevel="7" x14ac:dyDescent="0.2">
      <c r="B4335" s="71">
        <v>3276</v>
      </c>
      <c r="C4335" s="37" t="s">
        <v>13765</v>
      </c>
      <c r="D4335" s="37" t="s">
        <v>13766</v>
      </c>
      <c r="E4335" s="38" t="s">
        <v>13767</v>
      </c>
      <c r="F4335" s="39"/>
      <c r="G4335" s="40"/>
      <c r="H4335" s="41">
        <v>50</v>
      </c>
      <c r="I4335" s="41">
        <v>5</v>
      </c>
      <c r="J4335" s="50">
        <v>9235</v>
      </c>
      <c r="K4335" s="36">
        <v>50</v>
      </c>
      <c r="L4335" s="42">
        <f>(70.53*(1-O3/100))/0.75</f>
        <v>94.04</v>
      </c>
      <c r="M4335" s="12"/>
      <c r="N4335" s="40">
        <f t="shared" si="200"/>
        <v>0</v>
      </c>
      <c r="O4335" s="43">
        <f>0.196*M4335</f>
        <v>0</v>
      </c>
      <c r="P4335" s="47">
        <f>0.00055*M4335</f>
        <v>0</v>
      </c>
      <c r="Q4335" s="44"/>
      <c r="R4335" s="45" t="s">
        <v>13768</v>
      </c>
      <c r="S4335" s="45" t="s">
        <v>93</v>
      </c>
      <c r="T4335" s="37" t="str">
        <f>HYPERLINK("https://kanzpp.ru/api/getInfo/image/09256bec-c50c-11f0-a289-00155d82e908")</f>
        <v>https://kanzpp.ru/api/getInfo/image/09256bec-c50c-11f0-a289-00155d82e908</v>
      </c>
      <c r="U4335" s="37"/>
    </row>
    <row r="4336" spans="2:22" ht="21" customHeight="1" outlineLevel="7" x14ac:dyDescent="0.2">
      <c r="B4336" s="71">
        <v>3277</v>
      </c>
      <c r="C4336" s="37" t="s">
        <v>13769</v>
      </c>
      <c r="D4336" s="37" t="s">
        <v>13770</v>
      </c>
      <c r="E4336" s="38" t="s">
        <v>13771</v>
      </c>
      <c r="F4336" s="39"/>
      <c r="G4336" s="40"/>
      <c r="H4336" s="41">
        <v>50</v>
      </c>
      <c r="I4336" s="41">
        <v>5</v>
      </c>
      <c r="J4336" s="40" t="s">
        <v>144</v>
      </c>
      <c r="K4336" s="36">
        <v>50</v>
      </c>
      <c r="L4336" s="42">
        <f>(70.53*(1-O3/100))/0.75</f>
        <v>94.04</v>
      </c>
      <c r="M4336" s="12"/>
      <c r="N4336" s="40">
        <f t="shared" si="200"/>
        <v>0</v>
      </c>
      <c r="O4336" s="43">
        <f>0.207*M4336</f>
        <v>0</v>
      </c>
      <c r="P4336" s="47">
        <f>0.00048*M4336</f>
        <v>0</v>
      </c>
      <c r="Q4336" s="44"/>
      <c r="R4336" s="45" t="s">
        <v>13772</v>
      </c>
      <c r="S4336" s="45" t="s">
        <v>93</v>
      </c>
      <c r="T4336" s="37" t="str">
        <f>HYPERLINK("https://kanzpp.ru/api/getInfo/image/03a9c42c-c50b-11f0-a289-00155d82e908")</f>
        <v>https://kanzpp.ru/api/getInfo/image/03a9c42c-c50b-11f0-a289-00155d82e908</v>
      </c>
      <c r="U4336" s="37"/>
    </row>
    <row r="4337" spans="2:22" ht="21" customHeight="1" outlineLevel="7" x14ac:dyDescent="0.2">
      <c r="B4337" s="71">
        <v>3278</v>
      </c>
      <c r="C4337" s="37" t="s">
        <v>13773</v>
      </c>
      <c r="D4337" s="37" t="s">
        <v>13774</v>
      </c>
      <c r="E4337" s="38" t="s">
        <v>13775</v>
      </c>
      <c r="F4337" s="39"/>
      <c r="G4337" s="40"/>
      <c r="H4337" s="41">
        <v>50</v>
      </c>
      <c r="I4337" s="41">
        <v>5</v>
      </c>
      <c r="J4337" s="40" t="s">
        <v>144</v>
      </c>
      <c r="K4337" s="36">
        <v>50</v>
      </c>
      <c r="L4337" s="42">
        <f>(70.53*(1-O3/100))/0.75</f>
        <v>94.04</v>
      </c>
      <c r="M4337" s="12"/>
      <c r="N4337" s="40">
        <f t="shared" si="200"/>
        <v>0</v>
      </c>
      <c r="O4337" s="43">
        <f>0.207*M4337</f>
        <v>0</v>
      </c>
      <c r="P4337" s="47">
        <f>0.00045*M4337</f>
        <v>0</v>
      </c>
      <c r="Q4337" s="44"/>
      <c r="R4337" s="45" t="s">
        <v>13776</v>
      </c>
      <c r="S4337" s="45" t="s">
        <v>93</v>
      </c>
      <c r="T4337" s="37" t="str">
        <f>HYPERLINK("https://kanzpp.ru/api/getInfo/image/ccc0a8c7-c50b-11f0-a289-00155d82e908")</f>
        <v>https://kanzpp.ru/api/getInfo/image/ccc0a8c7-c50b-11f0-a289-00155d82e908</v>
      </c>
      <c r="U4337" s="37"/>
    </row>
    <row r="4338" spans="2:22" ht="21" customHeight="1" outlineLevel="7" x14ac:dyDescent="0.2">
      <c r="B4338" s="69">
        <v>3279</v>
      </c>
      <c r="C4338" s="6" t="s">
        <v>13777</v>
      </c>
      <c r="D4338" s="6" t="s">
        <v>13778</v>
      </c>
      <c r="E4338" s="7" t="s">
        <v>13779</v>
      </c>
      <c r="F4338" s="13"/>
      <c r="G4338" s="14"/>
      <c r="H4338" s="15">
        <v>48</v>
      </c>
      <c r="I4338" s="15">
        <v>6</v>
      </c>
      <c r="J4338" s="17">
        <v>8417</v>
      </c>
      <c r="K4338" s="5">
        <v>48</v>
      </c>
      <c r="L4338" s="16">
        <v>53.199999999999996</v>
      </c>
      <c r="M4338" s="12"/>
      <c r="N4338" s="14">
        <f t="shared" si="200"/>
        <v>0</v>
      </c>
      <c r="O4338" s="23">
        <f>0.203*M4338</f>
        <v>0</v>
      </c>
      <c r="P4338" s="24">
        <f>0.00035*M4338</f>
        <v>0</v>
      </c>
      <c r="Q4338" s="25"/>
      <c r="R4338" s="26" t="s">
        <v>13780</v>
      </c>
      <c r="S4338" s="26" t="s">
        <v>93</v>
      </c>
      <c r="T4338" s="6" t="str">
        <f>HYPERLINK("https://kanzpp.ru/api/getInfo/image/5abc25f8-ece5-11ee-a25b-00155d82e908")</f>
        <v>https://kanzpp.ru/api/getInfo/image/5abc25f8-ece5-11ee-a25b-00155d82e908</v>
      </c>
      <c r="U4338" s="6"/>
      <c r="V4338" s="33" t="s">
        <v>35</v>
      </c>
    </row>
    <row r="4339" spans="2:22" ht="22.95" customHeight="1" outlineLevel="2" x14ac:dyDescent="0.2">
      <c r="B4339" s="80" t="s">
        <v>13781</v>
      </c>
      <c r="C4339" s="80"/>
      <c r="D4339" s="80"/>
      <c r="L4339">
        <v>0</v>
      </c>
    </row>
    <row r="4340" spans="2:22" ht="22.95" customHeight="1" outlineLevel="3" x14ac:dyDescent="0.2">
      <c r="B4340" s="81" t="s">
        <v>13782</v>
      </c>
      <c r="C4340" s="81"/>
      <c r="D4340" s="81"/>
      <c r="L4340">
        <v>0</v>
      </c>
    </row>
    <row r="4341" spans="2:22" ht="21" customHeight="1" outlineLevel="4" x14ac:dyDescent="0.2">
      <c r="B4341" s="69">
        <v>3280</v>
      </c>
      <c r="C4341" s="6" t="s">
        <v>13783</v>
      </c>
      <c r="D4341" s="6" t="s">
        <v>13784</v>
      </c>
      <c r="E4341" s="7" t="s">
        <v>13785</v>
      </c>
      <c r="F4341" s="13"/>
      <c r="G4341" s="14"/>
      <c r="H4341" s="15">
        <v>8</v>
      </c>
      <c r="I4341" s="14"/>
      <c r="J4341" s="14" t="s">
        <v>144</v>
      </c>
      <c r="K4341" s="5">
        <v>8</v>
      </c>
      <c r="L4341" s="16">
        <v>179.86666666666667</v>
      </c>
      <c r="M4341" s="12"/>
      <c r="N4341" s="14">
        <f t="shared" ref="N4341:N4349" si="201">L4341*M4341</f>
        <v>0</v>
      </c>
      <c r="O4341" s="23">
        <f>1.317*M4341</f>
        <v>0</v>
      </c>
      <c r="P4341" s="24">
        <f>0.00216*M4341</f>
        <v>0</v>
      </c>
      <c r="Q4341" s="25"/>
      <c r="R4341" s="26" t="s">
        <v>13786</v>
      </c>
      <c r="S4341" s="26" t="s">
        <v>93</v>
      </c>
      <c r="T4341" s="6" t="str">
        <f>HYPERLINK("https://kanzpp.ru/api/getInfo/image/1d4be165-3c39-11ee-a241-00155d82e902")</f>
        <v>https://kanzpp.ru/api/getInfo/image/1d4be165-3c39-11ee-a241-00155d82e902</v>
      </c>
      <c r="U4341" s="6"/>
      <c r="V4341" s="33" t="s">
        <v>35</v>
      </c>
    </row>
    <row r="4342" spans="2:22" ht="21" customHeight="1" outlineLevel="4" x14ac:dyDescent="0.2">
      <c r="B4342" s="69">
        <v>3281</v>
      </c>
      <c r="C4342" s="6" t="s">
        <v>13787</v>
      </c>
      <c r="D4342" s="6" t="s">
        <v>13788</v>
      </c>
      <c r="E4342" s="7" t="s">
        <v>13789</v>
      </c>
      <c r="F4342" s="13"/>
      <c r="G4342" s="14"/>
      <c r="H4342" s="15">
        <v>8</v>
      </c>
      <c r="I4342" s="14"/>
      <c r="J4342" s="14" t="s">
        <v>144</v>
      </c>
      <c r="K4342" s="5">
        <v>8</v>
      </c>
      <c r="L4342" s="16">
        <v>665.33333333333337</v>
      </c>
      <c r="M4342" s="12"/>
      <c r="N4342" s="14">
        <f t="shared" si="201"/>
        <v>0</v>
      </c>
      <c r="O4342" s="23">
        <f>1.358*M4342</f>
        <v>0</v>
      </c>
      <c r="P4342" s="24">
        <f>0.00233*M4342</f>
        <v>0</v>
      </c>
      <c r="Q4342" s="25"/>
      <c r="R4342" s="26" t="s">
        <v>13790</v>
      </c>
      <c r="S4342" s="26" t="s">
        <v>93</v>
      </c>
      <c r="T4342" s="6" t="str">
        <f>HYPERLINK("https://kanzpp.ru/api/getInfo/image/ed39e753-4b11-11ef-a262-00155d82e908")</f>
        <v>https://kanzpp.ru/api/getInfo/image/ed39e753-4b11-11ef-a262-00155d82e908</v>
      </c>
      <c r="U4342" s="6"/>
      <c r="V4342" s="33" t="s">
        <v>35</v>
      </c>
    </row>
    <row r="4343" spans="2:22" ht="21" customHeight="1" outlineLevel="4" x14ac:dyDescent="0.2">
      <c r="B4343" s="69">
        <v>3282</v>
      </c>
      <c r="C4343" s="6" t="s">
        <v>13791</v>
      </c>
      <c r="D4343" s="6" t="s">
        <v>13792</v>
      </c>
      <c r="E4343" s="7" t="s">
        <v>13793</v>
      </c>
      <c r="F4343" s="13"/>
      <c r="G4343" s="14"/>
      <c r="H4343" s="15">
        <v>8</v>
      </c>
      <c r="I4343" s="14"/>
      <c r="J4343" s="15">
        <v>286</v>
      </c>
      <c r="K4343" s="5">
        <v>8</v>
      </c>
      <c r="L4343" s="16">
        <v>590.90666666666664</v>
      </c>
      <c r="M4343" s="12"/>
      <c r="N4343" s="14">
        <f t="shared" si="201"/>
        <v>0</v>
      </c>
      <c r="O4343" s="23">
        <f>1.364*M4343</f>
        <v>0</v>
      </c>
      <c r="P4343" s="24">
        <f>0.00222*M4343</f>
        <v>0</v>
      </c>
      <c r="Q4343" s="25"/>
      <c r="R4343" s="26" t="s">
        <v>13794</v>
      </c>
      <c r="S4343" s="26" t="s">
        <v>93</v>
      </c>
      <c r="T4343" s="6" t="str">
        <f>HYPERLINK("https://kanzpp.ru/api/getInfo/image/c98c4e9c-8c86-11ef-a265-00155d82e908")</f>
        <v>https://kanzpp.ru/api/getInfo/image/c98c4e9c-8c86-11ef-a265-00155d82e908</v>
      </c>
      <c r="U4343" s="6"/>
      <c r="V4343" s="33" t="s">
        <v>35</v>
      </c>
    </row>
    <row r="4344" spans="2:22" ht="21" customHeight="1" outlineLevel="4" x14ac:dyDescent="0.2">
      <c r="B4344" s="69">
        <v>3283</v>
      </c>
      <c r="C4344" s="6" t="s">
        <v>13795</v>
      </c>
      <c r="D4344" s="6" t="s">
        <v>13796</v>
      </c>
      <c r="E4344" s="7" t="s">
        <v>13797</v>
      </c>
      <c r="F4344" s="13"/>
      <c r="G4344" s="14"/>
      <c r="H4344" s="15">
        <v>8</v>
      </c>
      <c r="I4344" s="14"/>
      <c r="J4344" s="15">
        <v>205</v>
      </c>
      <c r="K4344" s="5">
        <v>8</v>
      </c>
      <c r="L4344" s="16">
        <v>590.90666666666664</v>
      </c>
      <c r="M4344" s="12"/>
      <c r="N4344" s="14">
        <f t="shared" si="201"/>
        <v>0</v>
      </c>
      <c r="O4344" s="23">
        <f>0.108*M4344</f>
        <v>0</v>
      </c>
      <c r="P4344" s="24">
        <f>0.00021*M4344</f>
        <v>0</v>
      </c>
      <c r="Q4344" s="25"/>
      <c r="R4344" s="26" t="s">
        <v>13798</v>
      </c>
      <c r="S4344" s="26" t="s">
        <v>93</v>
      </c>
      <c r="T4344" s="6" t="str">
        <f>HYPERLINK("https://kanzpp.ru/api/getInfo/image/ece77f51-8c88-11ef-a265-00155d82e908")</f>
        <v>https://kanzpp.ru/api/getInfo/image/ece77f51-8c88-11ef-a265-00155d82e908</v>
      </c>
      <c r="U4344" s="6"/>
      <c r="V4344" s="33" t="s">
        <v>35</v>
      </c>
    </row>
    <row r="4345" spans="2:22" ht="21" customHeight="1" outlineLevel="4" x14ac:dyDescent="0.2">
      <c r="B4345" s="69">
        <v>3284</v>
      </c>
      <c r="C4345" s="6" t="s">
        <v>13799</v>
      </c>
      <c r="D4345" s="6" t="s">
        <v>13800</v>
      </c>
      <c r="E4345" s="7" t="s">
        <v>13801</v>
      </c>
      <c r="F4345" s="13"/>
      <c r="G4345" s="14"/>
      <c r="H4345" s="15">
        <v>8</v>
      </c>
      <c r="I4345" s="14"/>
      <c r="J4345" s="14" t="s">
        <v>144</v>
      </c>
      <c r="K4345" s="5">
        <v>8</v>
      </c>
      <c r="L4345" s="16">
        <v>532</v>
      </c>
      <c r="M4345" s="12"/>
      <c r="N4345" s="14">
        <f t="shared" si="201"/>
        <v>0</v>
      </c>
      <c r="O4345" s="23">
        <f>1.331*M4345</f>
        <v>0</v>
      </c>
      <c r="P4345" s="24">
        <f>0.00231*M4345</f>
        <v>0</v>
      </c>
      <c r="Q4345" s="25"/>
      <c r="R4345" s="26" t="s">
        <v>13802</v>
      </c>
      <c r="S4345" s="26" t="s">
        <v>93</v>
      </c>
      <c r="T4345" s="6" t="str">
        <f>HYPERLINK("https://kanzpp.ru/api/getInfo/image/9bbeb1ba-8c84-11ef-a265-00155d82e908")</f>
        <v>https://kanzpp.ru/api/getInfo/image/9bbeb1ba-8c84-11ef-a265-00155d82e908</v>
      </c>
      <c r="U4345" s="6"/>
      <c r="V4345" s="33" t="s">
        <v>35</v>
      </c>
    </row>
    <row r="4346" spans="2:22" ht="21" customHeight="1" outlineLevel="4" x14ac:dyDescent="0.2">
      <c r="B4346" s="71">
        <v>3285</v>
      </c>
      <c r="C4346" s="37" t="s">
        <v>13803</v>
      </c>
      <c r="D4346" s="37" t="s">
        <v>13804</v>
      </c>
      <c r="E4346" s="38" t="s">
        <v>13805</v>
      </c>
      <c r="F4346" s="39"/>
      <c r="G4346" s="40"/>
      <c r="H4346" s="41">
        <v>8</v>
      </c>
      <c r="I4346" s="40"/>
      <c r="J4346" s="40" t="s">
        <v>144</v>
      </c>
      <c r="K4346" s="36">
        <v>8</v>
      </c>
      <c r="L4346" s="42">
        <f>(465.07*(1-O3/100))/0.75</f>
        <v>620.09333333333336</v>
      </c>
      <c r="M4346" s="12"/>
      <c r="N4346" s="40">
        <f t="shared" si="201"/>
        <v>0</v>
      </c>
      <c r="O4346" s="43">
        <f>1.337*M4346</f>
        <v>0</v>
      </c>
      <c r="P4346" s="47">
        <f>0.00229*M4346</f>
        <v>0</v>
      </c>
      <c r="Q4346" s="44"/>
      <c r="R4346" s="45" t="s">
        <v>13806</v>
      </c>
      <c r="S4346" s="45" t="s">
        <v>93</v>
      </c>
      <c r="T4346" s="37" t="str">
        <f>HYPERLINK("https://kanzpp.ru/api/getInfo/image/516f268f-a416-11f0-a286-00155d82e908")</f>
        <v>https://kanzpp.ru/api/getInfo/image/516f268f-a416-11f0-a286-00155d82e908</v>
      </c>
      <c r="U4346" s="37"/>
    </row>
    <row r="4347" spans="2:22" ht="21" customHeight="1" outlineLevel="4" x14ac:dyDescent="0.2">
      <c r="B4347" s="69">
        <v>3286</v>
      </c>
      <c r="C4347" s="6" t="s">
        <v>13807</v>
      </c>
      <c r="D4347" s="6" t="s">
        <v>13808</v>
      </c>
      <c r="E4347" s="7" t="s">
        <v>13809</v>
      </c>
      <c r="F4347" s="13"/>
      <c r="G4347" s="14"/>
      <c r="H4347" s="15">
        <v>8</v>
      </c>
      <c r="I4347" s="14"/>
      <c r="J4347" s="14" t="s">
        <v>144</v>
      </c>
      <c r="K4347" s="5">
        <v>8</v>
      </c>
      <c r="L4347" s="16">
        <v>532</v>
      </c>
      <c r="M4347" s="12"/>
      <c r="N4347" s="14">
        <f t="shared" si="201"/>
        <v>0</v>
      </c>
      <c r="O4347" s="23">
        <f>1.353*M4347</f>
        <v>0</v>
      </c>
      <c r="P4347" s="24">
        <f>0.00214*M4347</f>
        <v>0</v>
      </c>
      <c r="Q4347" s="25"/>
      <c r="R4347" s="26" t="s">
        <v>13810</v>
      </c>
      <c r="S4347" s="26" t="s">
        <v>93</v>
      </c>
      <c r="T4347" s="6" t="str">
        <f>HYPERLINK("https://kanzpp.ru/api/getInfo/image/ca5af4bc-8c85-11ef-a265-00155d82e908")</f>
        <v>https://kanzpp.ru/api/getInfo/image/ca5af4bc-8c85-11ef-a265-00155d82e908</v>
      </c>
      <c r="U4347" s="6"/>
      <c r="V4347" s="33" t="s">
        <v>35</v>
      </c>
    </row>
    <row r="4348" spans="2:22" ht="21" customHeight="1" outlineLevel="4" x14ac:dyDescent="0.2">
      <c r="B4348" s="69">
        <v>3287</v>
      </c>
      <c r="C4348" s="6" t="s">
        <v>13811</v>
      </c>
      <c r="D4348" s="6" t="s">
        <v>13812</v>
      </c>
      <c r="E4348" s="7" t="s">
        <v>13813</v>
      </c>
      <c r="F4348" s="13"/>
      <c r="G4348" s="14"/>
      <c r="H4348" s="15">
        <v>8</v>
      </c>
      <c r="I4348" s="14"/>
      <c r="J4348" s="14" t="s">
        <v>144</v>
      </c>
      <c r="K4348" s="5">
        <v>1</v>
      </c>
      <c r="L4348" s="16">
        <v>532</v>
      </c>
      <c r="M4348" s="12"/>
      <c r="N4348" s="14">
        <f t="shared" si="201"/>
        <v>0</v>
      </c>
      <c r="O4348" s="23">
        <f>1.368*M4348</f>
        <v>0</v>
      </c>
      <c r="P4348" s="31">
        <f>0.0023*M4348</f>
        <v>0</v>
      </c>
      <c r="Q4348" s="25"/>
      <c r="R4348" s="26" t="s">
        <v>13814</v>
      </c>
      <c r="S4348" s="26" t="s">
        <v>93</v>
      </c>
      <c r="T4348" s="6" t="str">
        <f>HYPERLINK("https://kanzpp.ru/api/getInfo/image/d66bb6cd-4a8b-11ef-a262-00155d82e908")</f>
        <v>https://kanzpp.ru/api/getInfo/image/d66bb6cd-4a8b-11ef-a262-00155d82e908</v>
      </c>
      <c r="U4348" s="6"/>
      <c r="V4348" s="33" t="s">
        <v>35</v>
      </c>
    </row>
    <row r="4349" spans="2:22" ht="21" customHeight="1" outlineLevel="4" x14ac:dyDescent="0.2">
      <c r="B4349" s="70">
        <v>3288</v>
      </c>
      <c r="C4349" s="3" t="s">
        <v>13815</v>
      </c>
      <c r="D4349" s="3" t="s">
        <v>13816</v>
      </c>
      <c r="E4349" s="4" t="s">
        <v>13817</v>
      </c>
      <c r="F4349" s="8"/>
      <c r="G4349" s="9"/>
      <c r="H4349" s="10">
        <v>80</v>
      </c>
      <c r="I4349" s="10">
        <v>10</v>
      </c>
      <c r="J4349" s="10">
        <v>80</v>
      </c>
      <c r="K4349" s="2">
        <v>80</v>
      </c>
      <c r="L4349" s="18">
        <v>8.8266666666666662</v>
      </c>
      <c r="M4349" s="12"/>
      <c r="N4349" s="9">
        <f t="shared" si="201"/>
        <v>0</v>
      </c>
      <c r="O4349" s="29">
        <f>0.105*M4349</f>
        <v>0</v>
      </c>
      <c r="P4349" s="30">
        <f>0.00032*M4349</f>
        <v>0</v>
      </c>
      <c r="Q4349" s="21"/>
      <c r="R4349" s="22" t="s">
        <v>13818</v>
      </c>
      <c r="S4349" s="22" t="s">
        <v>93</v>
      </c>
      <c r="T4349" s="3" t="str">
        <f>HYPERLINK("https://kanzpp.ru/api/getInfo/image/85d9af1c-3bf7-11ee-a241-00155d82e902")</f>
        <v>https://kanzpp.ru/api/getInfo/image/85d9af1c-3bf7-11ee-a241-00155d82e902</v>
      </c>
      <c r="U4349" s="3"/>
      <c r="V4349" s="32" t="s">
        <v>30</v>
      </c>
    </row>
    <row r="4350" spans="2:22" ht="22.95" customHeight="1" outlineLevel="3" x14ac:dyDescent="0.2">
      <c r="B4350" s="81" t="s">
        <v>13819</v>
      </c>
      <c r="C4350" s="81"/>
      <c r="D4350" s="81"/>
      <c r="L4350">
        <v>0</v>
      </c>
    </row>
    <row r="4351" spans="2:22" ht="22.95" customHeight="1" outlineLevel="4" x14ac:dyDescent="0.2">
      <c r="B4351" s="82" t="s">
        <v>13820</v>
      </c>
      <c r="C4351" s="82"/>
      <c r="D4351" s="82"/>
      <c r="L4351">
        <v>0</v>
      </c>
    </row>
    <row r="4352" spans="2:22" ht="21" customHeight="1" outlineLevel="5" x14ac:dyDescent="0.2">
      <c r="B4352" s="69">
        <v>3289</v>
      </c>
      <c r="C4352" s="6" t="s">
        <v>13821</v>
      </c>
      <c r="D4352" s="6" t="s">
        <v>13822</v>
      </c>
      <c r="E4352" s="7" t="s">
        <v>13823</v>
      </c>
      <c r="F4352" s="13"/>
      <c r="G4352" s="14"/>
      <c r="H4352" s="15">
        <v>80</v>
      </c>
      <c r="I4352" s="15">
        <v>10</v>
      </c>
      <c r="J4352" s="17">
        <v>6320</v>
      </c>
      <c r="K4352" s="5">
        <v>80</v>
      </c>
      <c r="L4352" s="16">
        <v>15.866666666666667</v>
      </c>
      <c r="M4352" s="12"/>
      <c r="N4352" s="14">
        <f t="shared" ref="N4352:N4367" si="202">L4352*M4352</f>
        <v>0</v>
      </c>
      <c r="O4352" s="23">
        <f>0.109*M4352</f>
        <v>0</v>
      </c>
      <c r="P4352" s="24">
        <f>0.00035*M4352</f>
        <v>0</v>
      </c>
      <c r="Q4352" s="25"/>
      <c r="R4352" s="26" t="s">
        <v>13824</v>
      </c>
      <c r="S4352" s="26" t="s">
        <v>93</v>
      </c>
      <c r="T4352" s="6" t="str">
        <f>HYPERLINK("https://kanzpp.ru/api/getInfo/image/ff8007e0-4a86-11ef-a262-00155d82e908")</f>
        <v>https://kanzpp.ru/api/getInfo/image/ff8007e0-4a86-11ef-a262-00155d82e908</v>
      </c>
      <c r="U4352" s="6"/>
      <c r="V4352" s="33" t="s">
        <v>35</v>
      </c>
    </row>
    <row r="4353" spans="2:22" ht="21" customHeight="1" outlineLevel="5" x14ac:dyDescent="0.2">
      <c r="B4353" s="69">
        <v>3290</v>
      </c>
      <c r="C4353" s="6" t="s">
        <v>13825</v>
      </c>
      <c r="D4353" s="6" t="s">
        <v>13826</v>
      </c>
      <c r="E4353" s="7" t="s">
        <v>13827</v>
      </c>
      <c r="F4353" s="13"/>
      <c r="G4353" s="14"/>
      <c r="H4353" s="15">
        <v>80</v>
      </c>
      <c r="I4353" s="15">
        <v>10</v>
      </c>
      <c r="J4353" s="15">
        <v>460</v>
      </c>
      <c r="K4353" s="5">
        <v>80</v>
      </c>
      <c r="L4353" s="16">
        <v>15.866666666666667</v>
      </c>
      <c r="M4353" s="12"/>
      <c r="N4353" s="14">
        <f t="shared" si="202"/>
        <v>0</v>
      </c>
      <c r="O4353" s="23">
        <f>0.109*M4353</f>
        <v>0</v>
      </c>
      <c r="P4353" s="24">
        <f>0.00034*M4353</f>
        <v>0</v>
      </c>
      <c r="Q4353" s="25"/>
      <c r="R4353" s="26" t="s">
        <v>13828</v>
      </c>
      <c r="S4353" s="26" t="s">
        <v>93</v>
      </c>
      <c r="T4353" s="6" t="str">
        <f>HYPERLINK("https://kanzpp.ru/api/getInfo/image/bd548fa1-4b1f-11ef-a262-00155d82e908")</f>
        <v>https://kanzpp.ru/api/getInfo/image/bd548fa1-4b1f-11ef-a262-00155d82e908</v>
      </c>
      <c r="U4353" s="6"/>
      <c r="V4353" s="33" t="s">
        <v>35</v>
      </c>
    </row>
    <row r="4354" spans="2:22" ht="21" customHeight="1" outlineLevel="5" x14ac:dyDescent="0.2">
      <c r="B4354" s="69">
        <v>3291</v>
      </c>
      <c r="C4354" s="6" t="s">
        <v>13829</v>
      </c>
      <c r="D4354" s="6" t="s">
        <v>13830</v>
      </c>
      <c r="E4354" s="7" t="s">
        <v>13831</v>
      </c>
      <c r="F4354" s="13"/>
      <c r="G4354" s="14"/>
      <c r="H4354" s="15">
        <v>80</v>
      </c>
      <c r="I4354" s="15">
        <v>10</v>
      </c>
      <c r="J4354" s="17">
        <v>1500</v>
      </c>
      <c r="K4354" s="5">
        <v>80</v>
      </c>
      <c r="L4354" s="16">
        <v>15.866666666666667</v>
      </c>
      <c r="M4354" s="12"/>
      <c r="N4354" s="14">
        <f t="shared" si="202"/>
        <v>0</v>
      </c>
      <c r="O4354" s="23">
        <f>0.109*M4354</f>
        <v>0</v>
      </c>
      <c r="P4354" s="24">
        <f>0.00035*M4354</f>
        <v>0</v>
      </c>
      <c r="Q4354" s="25"/>
      <c r="R4354" s="26" t="s">
        <v>13832</v>
      </c>
      <c r="S4354" s="26" t="s">
        <v>93</v>
      </c>
      <c r="T4354" s="6" t="str">
        <f>HYPERLINK("https://kanzpp.ru/api/getInfo/image/eea5a8af-4b20-11ef-a262-00155d82e908")</f>
        <v>https://kanzpp.ru/api/getInfo/image/eea5a8af-4b20-11ef-a262-00155d82e908</v>
      </c>
      <c r="U4354" s="6"/>
      <c r="V4354" s="33" t="s">
        <v>35</v>
      </c>
    </row>
    <row r="4355" spans="2:22" ht="21" customHeight="1" outlineLevel="5" x14ac:dyDescent="0.2">
      <c r="B4355" s="69">
        <v>3292</v>
      </c>
      <c r="C4355" s="6" t="s">
        <v>13833</v>
      </c>
      <c r="D4355" s="6" t="s">
        <v>13834</v>
      </c>
      <c r="E4355" s="7" t="s">
        <v>13835</v>
      </c>
      <c r="F4355" s="13"/>
      <c r="G4355" s="14"/>
      <c r="H4355" s="15">
        <v>80</v>
      </c>
      <c r="I4355" s="15">
        <v>10</v>
      </c>
      <c r="J4355" s="17">
        <v>1410</v>
      </c>
      <c r="K4355" s="5">
        <v>80</v>
      </c>
      <c r="L4355" s="16">
        <v>15.866666666666667</v>
      </c>
      <c r="M4355" s="12"/>
      <c r="N4355" s="14">
        <f t="shared" si="202"/>
        <v>0</v>
      </c>
      <c r="O4355" s="23">
        <f>0.107*M4355</f>
        <v>0</v>
      </c>
      <c r="P4355" s="24">
        <f>0.00021*M4355</f>
        <v>0</v>
      </c>
      <c r="Q4355" s="25"/>
      <c r="R4355" s="26" t="s">
        <v>13836</v>
      </c>
      <c r="S4355" s="26" t="s">
        <v>93</v>
      </c>
      <c r="T4355" s="6" t="str">
        <f>HYPERLINK("https://kanzpp.ru/api/getInfo/image/0ffab6fc-4b21-11ef-a262-00155d82e908")</f>
        <v>https://kanzpp.ru/api/getInfo/image/0ffab6fc-4b21-11ef-a262-00155d82e908</v>
      </c>
      <c r="U4355" s="6"/>
      <c r="V4355" s="33" t="s">
        <v>35</v>
      </c>
    </row>
    <row r="4356" spans="2:22" ht="21" customHeight="1" outlineLevel="5" x14ac:dyDescent="0.2">
      <c r="B4356" s="69">
        <v>3293</v>
      </c>
      <c r="C4356" s="6" t="s">
        <v>13837</v>
      </c>
      <c r="D4356" s="6" t="s">
        <v>13838</v>
      </c>
      <c r="E4356" s="7" t="s">
        <v>13839</v>
      </c>
      <c r="F4356" s="13"/>
      <c r="G4356" s="14"/>
      <c r="H4356" s="15">
        <v>80</v>
      </c>
      <c r="I4356" s="15">
        <v>10</v>
      </c>
      <c r="J4356" s="17">
        <v>1280</v>
      </c>
      <c r="K4356" s="5">
        <v>80</v>
      </c>
      <c r="L4356" s="16">
        <v>15.866666666666667</v>
      </c>
      <c r="M4356" s="12"/>
      <c r="N4356" s="14">
        <f t="shared" si="202"/>
        <v>0</v>
      </c>
      <c r="O4356" s="23">
        <f>0.107*M4356</f>
        <v>0</v>
      </c>
      <c r="P4356" s="24">
        <f>0.00021*M4356</f>
        <v>0</v>
      </c>
      <c r="Q4356" s="25"/>
      <c r="R4356" s="26" t="s">
        <v>13840</v>
      </c>
      <c r="S4356" s="26" t="s">
        <v>93</v>
      </c>
      <c r="T4356" s="6" t="str">
        <f>HYPERLINK("https://kanzpp.ru/api/getInfo/image/873b196e-4b22-11ef-a262-00155d82e908")</f>
        <v>https://kanzpp.ru/api/getInfo/image/873b196e-4b22-11ef-a262-00155d82e908</v>
      </c>
      <c r="U4356" s="6"/>
      <c r="V4356" s="33" t="s">
        <v>35</v>
      </c>
    </row>
    <row r="4357" spans="2:22" ht="21" customHeight="1" outlineLevel="5" x14ac:dyDescent="0.2">
      <c r="B4357" s="69">
        <v>3294</v>
      </c>
      <c r="C4357" s="6" t="s">
        <v>13841</v>
      </c>
      <c r="D4357" s="6" t="s">
        <v>13842</v>
      </c>
      <c r="E4357" s="7" t="s">
        <v>13843</v>
      </c>
      <c r="F4357" s="13"/>
      <c r="G4357" s="14"/>
      <c r="H4357" s="15">
        <v>80</v>
      </c>
      <c r="I4357" s="15">
        <v>10</v>
      </c>
      <c r="J4357" s="17">
        <v>2560</v>
      </c>
      <c r="K4357" s="5">
        <v>80</v>
      </c>
      <c r="L4357" s="16">
        <v>15.866666666666667</v>
      </c>
      <c r="M4357" s="12"/>
      <c r="N4357" s="14">
        <f t="shared" si="202"/>
        <v>0</v>
      </c>
      <c r="O4357" s="23">
        <f>0.107*M4357</f>
        <v>0</v>
      </c>
      <c r="P4357" s="24">
        <f>0.00021*M4357</f>
        <v>0</v>
      </c>
      <c r="Q4357" s="25"/>
      <c r="R4357" s="26" t="s">
        <v>13844</v>
      </c>
      <c r="S4357" s="26" t="s">
        <v>93</v>
      </c>
      <c r="T4357" s="6" t="str">
        <f>HYPERLINK("https://kanzpp.ru/api/getInfo/image/6e84fdd8-4b24-11ef-a262-00155d82e908")</f>
        <v>https://kanzpp.ru/api/getInfo/image/6e84fdd8-4b24-11ef-a262-00155d82e908</v>
      </c>
      <c r="U4357" s="6"/>
      <c r="V4357" s="33" t="s">
        <v>35</v>
      </c>
    </row>
    <row r="4358" spans="2:22" ht="21" customHeight="1" outlineLevel="5" x14ac:dyDescent="0.2">
      <c r="B4358" s="69">
        <v>3295</v>
      </c>
      <c r="C4358" s="6" t="s">
        <v>13845</v>
      </c>
      <c r="D4358" s="6" t="s">
        <v>13846</v>
      </c>
      <c r="E4358" s="7" t="s">
        <v>13847</v>
      </c>
      <c r="F4358" s="13"/>
      <c r="G4358" s="14"/>
      <c r="H4358" s="15">
        <v>80</v>
      </c>
      <c r="I4358" s="15">
        <v>10</v>
      </c>
      <c r="J4358" s="17">
        <v>4420</v>
      </c>
      <c r="K4358" s="5">
        <v>80</v>
      </c>
      <c r="L4358" s="16">
        <v>15.866666666666667</v>
      </c>
      <c r="M4358" s="12"/>
      <c r="N4358" s="14">
        <f t="shared" si="202"/>
        <v>0</v>
      </c>
      <c r="O4358" s="23">
        <f>0.107*M4358</f>
        <v>0</v>
      </c>
      <c r="P4358" s="24">
        <f>0.00021*M4358</f>
        <v>0</v>
      </c>
      <c r="Q4358" s="25"/>
      <c r="R4358" s="26" t="s">
        <v>13848</v>
      </c>
      <c r="S4358" s="26" t="s">
        <v>93</v>
      </c>
      <c r="T4358" s="6" t="str">
        <f>HYPERLINK("https://kanzpp.ru/api/getInfo/image/3ea2d1d2-4b23-11ef-a262-00155d82e908")</f>
        <v>https://kanzpp.ru/api/getInfo/image/3ea2d1d2-4b23-11ef-a262-00155d82e908</v>
      </c>
      <c r="U4358" s="6"/>
      <c r="V4358" s="33" t="s">
        <v>35</v>
      </c>
    </row>
    <row r="4359" spans="2:22" ht="21" customHeight="1" outlineLevel="5" x14ac:dyDescent="0.2">
      <c r="B4359" s="69">
        <v>3296</v>
      </c>
      <c r="C4359" s="6" t="s">
        <v>13849</v>
      </c>
      <c r="D4359" s="6" t="s">
        <v>13850</v>
      </c>
      <c r="E4359" s="7" t="s">
        <v>13851</v>
      </c>
      <c r="F4359" s="13"/>
      <c r="G4359" s="14"/>
      <c r="H4359" s="15">
        <v>80</v>
      </c>
      <c r="I4359" s="15">
        <v>10</v>
      </c>
      <c r="J4359" s="17">
        <v>2710</v>
      </c>
      <c r="K4359" s="5">
        <v>80</v>
      </c>
      <c r="L4359" s="16">
        <v>15.866666666666667</v>
      </c>
      <c r="M4359" s="12"/>
      <c r="N4359" s="14">
        <f t="shared" si="202"/>
        <v>0</v>
      </c>
      <c r="O4359" s="23">
        <f>0.107*M4359</f>
        <v>0</v>
      </c>
      <c r="P4359" s="24">
        <f>0.00021*M4359</f>
        <v>0</v>
      </c>
      <c r="Q4359" s="25"/>
      <c r="R4359" s="26" t="s">
        <v>13852</v>
      </c>
      <c r="S4359" s="26" t="s">
        <v>93</v>
      </c>
      <c r="T4359" s="6" t="str">
        <f>HYPERLINK("https://kanzpp.ru/api/getInfo/image/5f49d425-4b23-11ef-a262-00155d82e908")</f>
        <v>https://kanzpp.ru/api/getInfo/image/5f49d425-4b23-11ef-a262-00155d82e908</v>
      </c>
      <c r="U4359" s="6"/>
      <c r="V4359" s="33" t="s">
        <v>35</v>
      </c>
    </row>
    <row r="4360" spans="2:22" ht="21" customHeight="1" outlineLevel="5" x14ac:dyDescent="0.2">
      <c r="B4360" s="69">
        <v>3297</v>
      </c>
      <c r="C4360" s="6" t="s">
        <v>13853</v>
      </c>
      <c r="D4360" s="6" t="s">
        <v>13854</v>
      </c>
      <c r="E4360" s="7" t="s">
        <v>13855</v>
      </c>
      <c r="F4360" s="13"/>
      <c r="G4360" s="14"/>
      <c r="H4360" s="15">
        <v>80</v>
      </c>
      <c r="I4360" s="15">
        <v>10</v>
      </c>
      <c r="J4360" s="15">
        <v>380</v>
      </c>
      <c r="K4360" s="5">
        <v>80</v>
      </c>
      <c r="L4360" s="16">
        <v>15.866666666666667</v>
      </c>
      <c r="M4360" s="12"/>
      <c r="N4360" s="14">
        <f t="shared" si="202"/>
        <v>0</v>
      </c>
      <c r="O4360" s="23">
        <f>0.109*M4360</f>
        <v>0</v>
      </c>
      <c r="P4360" s="24">
        <f>0.00034*M4360</f>
        <v>0</v>
      </c>
      <c r="Q4360" s="25"/>
      <c r="R4360" s="26" t="s">
        <v>13856</v>
      </c>
      <c r="S4360" s="26" t="s">
        <v>93</v>
      </c>
      <c r="T4360" s="6" t="str">
        <f>HYPERLINK("https://kanzpp.ru/api/getInfo/image/840c4525-4b23-11ef-a262-00155d82e908")</f>
        <v>https://kanzpp.ru/api/getInfo/image/840c4525-4b23-11ef-a262-00155d82e908</v>
      </c>
      <c r="U4360" s="6"/>
      <c r="V4360" s="33" t="s">
        <v>35</v>
      </c>
    </row>
    <row r="4361" spans="2:22" ht="21" customHeight="1" outlineLevel="5" x14ac:dyDescent="0.2">
      <c r="B4361" s="69">
        <v>3298</v>
      </c>
      <c r="C4361" s="6" t="s">
        <v>13857</v>
      </c>
      <c r="D4361" s="6" t="s">
        <v>13858</v>
      </c>
      <c r="E4361" s="7" t="s">
        <v>13859</v>
      </c>
      <c r="F4361" s="13"/>
      <c r="G4361" s="14"/>
      <c r="H4361" s="15">
        <v>80</v>
      </c>
      <c r="I4361" s="15">
        <v>10</v>
      </c>
      <c r="J4361" s="15">
        <v>470</v>
      </c>
      <c r="K4361" s="5">
        <v>80</v>
      </c>
      <c r="L4361" s="16">
        <v>15.866666666666667</v>
      </c>
      <c r="M4361" s="12"/>
      <c r="N4361" s="14">
        <f t="shared" si="202"/>
        <v>0</v>
      </c>
      <c r="O4361" s="23">
        <f>0.109*M4361</f>
        <v>0</v>
      </c>
      <c r="P4361" s="24">
        <f>0.00063*M4361</f>
        <v>0</v>
      </c>
      <c r="Q4361" s="25"/>
      <c r="R4361" s="26" t="s">
        <v>13860</v>
      </c>
      <c r="S4361" s="26" t="s">
        <v>93</v>
      </c>
      <c r="T4361" s="6" t="str">
        <f>HYPERLINK("https://kanzpp.ru/api/getInfo/image/a4518702-4b23-11ef-a262-00155d82e908")</f>
        <v>https://kanzpp.ru/api/getInfo/image/a4518702-4b23-11ef-a262-00155d82e908</v>
      </c>
      <c r="U4361" s="6"/>
      <c r="V4361" s="33" t="s">
        <v>35</v>
      </c>
    </row>
    <row r="4362" spans="2:22" ht="21" customHeight="1" outlineLevel="5" x14ac:dyDescent="0.2">
      <c r="B4362" s="69">
        <v>3299</v>
      </c>
      <c r="C4362" s="6" t="s">
        <v>13861</v>
      </c>
      <c r="D4362" s="6" t="s">
        <v>13862</v>
      </c>
      <c r="E4362" s="7" t="s">
        <v>13863</v>
      </c>
      <c r="F4362" s="13"/>
      <c r="G4362" s="14"/>
      <c r="H4362" s="15">
        <v>80</v>
      </c>
      <c r="I4362" s="15">
        <v>10</v>
      </c>
      <c r="J4362" s="17">
        <v>3510</v>
      </c>
      <c r="K4362" s="5">
        <v>80</v>
      </c>
      <c r="L4362" s="16">
        <v>15.866666666666667</v>
      </c>
      <c r="M4362" s="12"/>
      <c r="N4362" s="14">
        <f t="shared" si="202"/>
        <v>0</v>
      </c>
      <c r="O4362" s="23">
        <f>0.107*M4362</f>
        <v>0</v>
      </c>
      <c r="P4362" s="24">
        <f>0.00021*M4362</f>
        <v>0</v>
      </c>
      <c r="Q4362" s="25"/>
      <c r="R4362" s="26" t="s">
        <v>13864</v>
      </c>
      <c r="S4362" s="26" t="s">
        <v>93</v>
      </c>
      <c r="T4362" s="6" t="str">
        <f>HYPERLINK("https://kanzpp.ru/api/getInfo/image/ea787b20-4b24-11ef-a262-00155d82e908")</f>
        <v>https://kanzpp.ru/api/getInfo/image/ea787b20-4b24-11ef-a262-00155d82e908</v>
      </c>
      <c r="U4362" s="6"/>
      <c r="V4362" s="33" t="s">
        <v>35</v>
      </c>
    </row>
    <row r="4363" spans="2:22" ht="21" customHeight="1" outlineLevel="5" x14ac:dyDescent="0.2">
      <c r="B4363" s="69">
        <v>3300</v>
      </c>
      <c r="C4363" s="6" t="s">
        <v>13865</v>
      </c>
      <c r="D4363" s="6" t="s">
        <v>13866</v>
      </c>
      <c r="E4363" s="7" t="s">
        <v>13867</v>
      </c>
      <c r="F4363" s="13"/>
      <c r="G4363" s="14"/>
      <c r="H4363" s="15">
        <v>80</v>
      </c>
      <c r="I4363" s="15">
        <v>10</v>
      </c>
      <c r="J4363" s="17">
        <v>3130</v>
      </c>
      <c r="K4363" s="5">
        <v>80</v>
      </c>
      <c r="L4363" s="16">
        <v>15.866666666666667</v>
      </c>
      <c r="M4363" s="12"/>
      <c r="N4363" s="14">
        <f t="shared" si="202"/>
        <v>0</v>
      </c>
      <c r="O4363" s="23">
        <f>0.109*M4363</f>
        <v>0</v>
      </c>
      <c r="P4363" s="24">
        <f>0.00035*M4363</f>
        <v>0</v>
      </c>
      <c r="Q4363" s="25"/>
      <c r="R4363" s="26" t="s">
        <v>13868</v>
      </c>
      <c r="S4363" s="26" t="s">
        <v>93</v>
      </c>
      <c r="T4363" s="6" t="str">
        <f>HYPERLINK("https://kanzpp.ru/api/getInfo/image/c2d1c9ba-4b23-11ef-a262-00155d82e908")</f>
        <v>https://kanzpp.ru/api/getInfo/image/c2d1c9ba-4b23-11ef-a262-00155d82e908</v>
      </c>
      <c r="U4363" s="6"/>
      <c r="V4363" s="33" t="s">
        <v>35</v>
      </c>
    </row>
    <row r="4364" spans="2:22" ht="21" customHeight="1" outlineLevel="5" x14ac:dyDescent="0.2">
      <c r="B4364" s="69">
        <v>3301</v>
      </c>
      <c r="C4364" s="6" t="s">
        <v>13869</v>
      </c>
      <c r="D4364" s="6" t="s">
        <v>13870</v>
      </c>
      <c r="E4364" s="7" t="s">
        <v>13871</v>
      </c>
      <c r="F4364" s="13"/>
      <c r="G4364" s="14"/>
      <c r="H4364" s="15">
        <v>80</v>
      </c>
      <c r="I4364" s="15">
        <v>10</v>
      </c>
      <c r="J4364" s="17">
        <v>1420</v>
      </c>
      <c r="K4364" s="5">
        <v>80</v>
      </c>
      <c r="L4364" s="16">
        <v>15.866666666666667</v>
      </c>
      <c r="M4364" s="12"/>
      <c r="N4364" s="14">
        <f t="shared" si="202"/>
        <v>0</v>
      </c>
      <c r="O4364" s="23">
        <f>0.109*M4364</f>
        <v>0</v>
      </c>
      <c r="P4364" s="24">
        <f>0.00035*M4364</f>
        <v>0</v>
      </c>
      <c r="Q4364" s="25"/>
      <c r="R4364" s="26" t="s">
        <v>13872</v>
      </c>
      <c r="S4364" s="26" t="s">
        <v>93</v>
      </c>
      <c r="T4364" s="6" t="str">
        <f>HYPERLINK("https://kanzpp.ru/api/getInfo/image/1a1e0d15-4b25-11ef-a262-00155d82e908")</f>
        <v>https://kanzpp.ru/api/getInfo/image/1a1e0d15-4b25-11ef-a262-00155d82e908</v>
      </c>
      <c r="U4364" s="6"/>
      <c r="V4364" s="33" t="s">
        <v>35</v>
      </c>
    </row>
    <row r="4365" spans="2:22" ht="21" customHeight="1" outlineLevel="5" x14ac:dyDescent="0.2">
      <c r="B4365" s="69">
        <v>3302</v>
      </c>
      <c r="C4365" s="6" t="s">
        <v>13873</v>
      </c>
      <c r="D4365" s="6" t="s">
        <v>13874</v>
      </c>
      <c r="E4365" s="7" t="s">
        <v>13875</v>
      </c>
      <c r="F4365" s="13"/>
      <c r="G4365" s="14"/>
      <c r="H4365" s="15">
        <v>80</v>
      </c>
      <c r="I4365" s="15">
        <v>10</v>
      </c>
      <c r="J4365" s="17">
        <v>6610</v>
      </c>
      <c r="K4365" s="5">
        <v>80</v>
      </c>
      <c r="L4365" s="16">
        <v>15.866666666666667</v>
      </c>
      <c r="M4365" s="12"/>
      <c r="N4365" s="14">
        <f t="shared" si="202"/>
        <v>0</v>
      </c>
      <c r="O4365" s="23">
        <f>0.109*M4365</f>
        <v>0</v>
      </c>
      <c r="P4365" s="24">
        <f>0.00035*M4365</f>
        <v>0</v>
      </c>
      <c r="Q4365" s="25"/>
      <c r="R4365" s="26" t="s">
        <v>13876</v>
      </c>
      <c r="S4365" s="26" t="s">
        <v>93</v>
      </c>
      <c r="T4365" s="6" t="str">
        <f>HYPERLINK("https://kanzpp.ru/api/getInfo/image/f4a07e37-4b23-11ef-a262-00155d82e908")</f>
        <v>https://kanzpp.ru/api/getInfo/image/f4a07e37-4b23-11ef-a262-00155d82e908</v>
      </c>
      <c r="U4365" s="6"/>
      <c r="V4365" s="33" t="s">
        <v>35</v>
      </c>
    </row>
    <row r="4366" spans="2:22" ht="21" customHeight="1" outlineLevel="5" x14ac:dyDescent="0.2">
      <c r="B4366" s="69">
        <v>3303</v>
      </c>
      <c r="C4366" s="6" t="s">
        <v>13877</v>
      </c>
      <c r="D4366" s="6" t="s">
        <v>13878</v>
      </c>
      <c r="E4366" s="7" t="s">
        <v>13879</v>
      </c>
      <c r="F4366" s="13"/>
      <c r="G4366" s="14"/>
      <c r="H4366" s="15">
        <v>80</v>
      </c>
      <c r="I4366" s="15">
        <v>10</v>
      </c>
      <c r="J4366" s="17">
        <v>3260</v>
      </c>
      <c r="K4366" s="5">
        <v>80</v>
      </c>
      <c r="L4366" s="16">
        <v>15.866666666666667</v>
      </c>
      <c r="M4366" s="12"/>
      <c r="N4366" s="14">
        <f t="shared" si="202"/>
        <v>0</v>
      </c>
      <c r="O4366" s="23">
        <f>0.109*M4366</f>
        <v>0</v>
      </c>
      <c r="P4366" s="24">
        <f>0.00063*M4366</f>
        <v>0</v>
      </c>
      <c r="Q4366" s="25"/>
      <c r="R4366" s="26" t="s">
        <v>13880</v>
      </c>
      <c r="S4366" s="26" t="s">
        <v>93</v>
      </c>
      <c r="T4366" s="6" t="str">
        <f>HYPERLINK("https://kanzpp.ru/api/getInfo/image/bafb6770-4b24-11ef-a262-00155d82e908")</f>
        <v>https://kanzpp.ru/api/getInfo/image/bafb6770-4b24-11ef-a262-00155d82e908</v>
      </c>
      <c r="U4366" s="6"/>
      <c r="V4366" s="33" t="s">
        <v>35</v>
      </c>
    </row>
    <row r="4367" spans="2:22" ht="21" customHeight="1" outlineLevel="5" x14ac:dyDescent="0.2">
      <c r="B4367" s="69">
        <v>3304</v>
      </c>
      <c r="C4367" s="6" t="s">
        <v>13881</v>
      </c>
      <c r="D4367" s="6" t="s">
        <v>13882</v>
      </c>
      <c r="E4367" s="7" t="s">
        <v>13883</v>
      </c>
      <c r="F4367" s="13"/>
      <c r="G4367" s="14"/>
      <c r="H4367" s="15">
        <v>80</v>
      </c>
      <c r="I4367" s="15">
        <v>10</v>
      </c>
      <c r="J4367" s="17">
        <v>1340</v>
      </c>
      <c r="K4367" s="5">
        <v>80</v>
      </c>
      <c r="L4367" s="16">
        <v>15.866666666666667</v>
      </c>
      <c r="M4367" s="12"/>
      <c r="N4367" s="14">
        <f t="shared" si="202"/>
        <v>0</v>
      </c>
      <c r="O4367" s="23">
        <f>0.109*M4367</f>
        <v>0</v>
      </c>
      <c r="P4367" s="24">
        <f>0.00035*M4367</f>
        <v>0</v>
      </c>
      <c r="Q4367" s="25"/>
      <c r="R4367" s="26" t="s">
        <v>13884</v>
      </c>
      <c r="S4367" s="26" t="s">
        <v>93</v>
      </c>
      <c r="T4367" s="6" t="str">
        <f>HYPERLINK("https://kanzpp.ru/api/getInfo/image/27de5ea3-4b24-11ef-a262-00155d82e908")</f>
        <v>https://kanzpp.ru/api/getInfo/image/27de5ea3-4b24-11ef-a262-00155d82e908</v>
      </c>
      <c r="U4367" s="6"/>
      <c r="V4367" s="33" t="s">
        <v>35</v>
      </c>
    </row>
    <row r="4368" spans="2:22" ht="22.95" customHeight="1" outlineLevel="4" x14ac:dyDescent="0.2">
      <c r="B4368" s="82" t="s">
        <v>13885</v>
      </c>
      <c r="C4368" s="82"/>
      <c r="D4368" s="82"/>
      <c r="L4368">
        <v>0</v>
      </c>
    </row>
    <row r="4369" spans="2:22" ht="21" customHeight="1" outlineLevel="5" x14ac:dyDescent="0.2">
      <c r="B4369" s="69">
        <v>3305</v>
      </c>
      <c r="C4369" s="6" t="s">
        <v>13886</v>
      </c>
      <c r="D4369" s="6" t="s">
        <v>13887</v>
      </c>
      <c r="E4369" s="7" t="s">
        <v>13888</v>
      </c>
      <c r="F4369" s="13"/>
      <c r="G4369" s="14"/>
      <c r="H4369" s="15">
        <v>80</v>
      </c>
      <c r="I4369" s="15">
        <v>10</v>
      </c>
      <c r="J4369" s="17">
        <v>2850</v>
      </c>
      <c r="K4369" s="5">
        <v>80</v>
      </c>
      <c r="L4369" s="16">
        <v>13.200000000000001</v>
      </c>
      <c r="M4369" s="12"/>
      <c r="N4369" s="14">
        <f t="shared" ref="N4369:N4382" si="203">L4369*M4369</f>
        <v>0</v>
      </c>
      <c r="O4369" s="28">
        <f>0.08*M4369</f>
        <v>0</v>
      </c>
      <c r="P4369" s="24">
        <f>0.00021*M4369</f>
        <v>0</v>
      </c>
      <c r="Q4369" s="25"/>
      <c r="R4369" s="26" t="s">
        <v>13889</v>
      </c>
      <c r="S4369" s="26" t="s">
        <v>93</v>
      </c>
      <c r="T4369" s="6" t="str">
        <f>HYPERLINK("https://kanzpp.ru/api/getInfo/image/81b92f8c-4a86-11ef-a262-00155d82e908")</f>
        <v>https://kanzpp.ru/api/getInfo/image/81b92f8c-4a86-11ef-a262-00155d82e908</v>
      </c>
      <c r="U4369" s="6"/>
      <c r="V4369" s="33" t="s">
        <v>35</v>
      </c>
    </row>
    <row r="4370" spans="2:22" ht="21" customHeight="1" outlineLevel="5" x14ac:dyDescent="0.2">
      <c r="B4370" s="69">
        <v>3306</v>
      </c>
      <c r="C4370" s="6" t="s">
        <v>13890</v>
      </c>
      <c r="D4370" s="6" t="s">
        <v>13891</v>
      </c>
      <c r="E4370" s="7" t="s">
        <v>13892</v>
      </c>
      <c r="F4370" s="13"/>
      <c r="G4370" s="14"/>
      <c r="H4370" s="15">
        <v>80</v>
      </c>
      <c r="I4370" s="15">
        <v>10</v>
      </c>
      <c r="J4370" s="17">
        <v>2370</v>
      </c>
      <c r="K4370" s="5">
        <v>80</v>
      </c>
      <c r="L4370" s="16">
        <v>13.200000000000001</v>
      </c>
      <c r="M4370" s="12"/>
      <c r="N4370" s="14">
        <f t="shared" si="203"/>
        <v>0</v>
      </c>
      <c r="O4370" s="28">
        <f>0.08*M4370</f>
        <v>0</v>
      </c>
      <c r="P4370" s="24">
        <f>0.00021*M4370</f>
        <v>0</v>
      </c>
      <c r="Q4370" s="25"/>
      <c r="R4370" s="26" t="s">
        <v>13893</v>
      </c>
      <c r="S4370" s="26" t="s">
        <v>93</v>
      </c>
      <c r="T4370" s="6" t="str">
        <f>HYPERLINK("https://kanzpp.ru/api/getInfo/image/7fd7f203-4b18-11ef-a262-00155d82e908")</f>
        <v>https://kanzpp.ru/api/getInfo/image/7fd7f203-4b18-11ef-a262-00155d82e908</v>
      </c>
      <c r="U4370" s="6"/>
      <c r="V4370" s="33" t="s">
        <v>35</v>
      </c>
    </row>
    <row r="4371" spans="2:22" ht="21" customHeight="1" outlineLevel="5" x14ac:dyDescent="0.2">
      <c r="B4371" s="69">
        <v>3307</v>
      </c>
      <c r="C4371" s="6" t="s">
        <v>13894</v>
      </c>
      <c r="D4371" s="6" t="s">
        <v>13895</v>
      </c>
      <c r="E4371" s="7" t="s">
        <v>13896</v>
      </c>
      <c r="F4371" s="13"/>
      <c r="G4371" s="14"/>
      <c r="H4371" s="15">
        <v>80</v>
      </c>
      <c r="I4371" s="15">
        <v>10</v>
      </c>
      <c r="J4371" s="15">
        <v>480</v>
      </c>
      <c r="K4371" s="5">
        <v>80</v>
      </c>
      <c r="L4371" s="16">
        <v>13.200000000000001</v>
      </c>
      <c r="M4371" s="12"/>
      <c r="N4371" s="14">
        <f t="shared" si="203"/>
        <v>0</v>
      </c>
      <c r="O4371" s="23">
        <f>0.083*M4371</f>
        <v>0</v>
      </c>
      <c r="P4371" s="24">
        <f>0.00014*M4371</f>
        <v>0</v>
      </c>
      <c r="Q4371" s="25"/>
      <c r="R4371" s="26" t="s">
        <v>13897</v>
      </c>
      <c r="S4371" s="26" t="s">
        <v>93</v>
      </c>
      <c r="T4371" s="6" t="str">
        <f>HYPERLINK("https://kanzpp.ru/api/getInfo/image/c746e295-4b18-11ef-a262-00155d82e908")</f>
        <v>https://kanzpp.ru/api/getInfo/image/c746e295-4b18-11ef-a262-00155d82e908</v>
      </c>
      <c r="U4371" s="6"/>
      <c r="V4371" s="33" t="s">
        <v>35</v>
      </c>
    </row>
    <row r="4372" spans="2:22" ht="21" customHeight="1" outlineLevel="5" x14ac:dyDescent="0.2">
      <c r="B4372" s="69">
        <v>3308</v>
      </c>
      <c r="C4372" s="6" t="s">
        <v>13898</v>
      </c>
      <c r="D4372" s="6" t="s">
        <v>13899</v>
      </c>
      <c r="E4372" s="7" t="s">
        <v>13900</v>
      </c>
      <c r="F4372" s="13"/>
      <c r="G4372" s="14"/>
      <c r="H4372" s="15">
        <v>80</v>
      </c>
      <c r="I4372" s="15">
        <v>10</v>
      </c>
      <c r="J4372" s="17">
        <v>9540</v>
      </c>
      <c r="K4372" s="5">
        <v>80</v>
      </c>
      <c r="L4372" s="16">
        <v>13.200000000000001</v>
      </c>
      <c r="M4372" s="12"/>
      <c r="N4372" s="14">
        <f t="shared" si="203"/>
        <v>0</v>
      </c>
      <c r="O4372" s="28">
        <f t="shared" ref="O4372:O4380" si="204">0.08*M4372</f>
        <v>0</v>
      </c>
      <c r="P4372" s="24">
        <f t="shared" ref="P4372:P4380" si="205">0.00021*M4372</f>
        <v>0</v>
      </c>
      <c r="Q4372" s="25"/>
      <c r="R4372" s="26" t="s">
        <v>13901</v>
      </c>
      <c r="S4372" s="26" t="s">
        <v>93</v>
      </c>
      <c r="T4372" s="6" t="str">
        <f>HYPERLINK("https://kanzpp.ru/api/getInfo/image/e7129273-4b18-11ef-a262-00155d82e908")</f>
        <v>https://kanzpp.ru/api/getInfo/image/e7129273-4b18-11ef-a262-00155d82e908</v>
      </c>
      <c r="U4372" s="6"/>
      <c r="V4372" s="33" t="s">
        <v>35</v>
      </c>
    </row>
    <row r="4373" spans="2:22" ht="21" customHeight="1" outlineLevel="5" x14ac:dyDescent="0.2">
      <c r="B4373" s="69">
        <v>3309</v>
      </c>
      <c r="C4373" s="6" t="s">
        <v>13902</v>
      </c>
      <c r="D4373" s="6" t="s">
        <v>13903</v>
      </c>
      <c r="E4373" s="7" t="s">
        <v>13904</v>
      </c>
      <c r="F4373" s="13"/>
      <c r="G4373" s="14"/>
      <c r="H4373" s="15">
        <v>80</v>
      </c>
      <c r="I4373" s="15">
        <v>10</v>
      </c>
      <c r="J4373" s="17">
        <v>5100</v>
      </c>
      <c r="K4373" s="5">
        <v>80</v>
      </c>
      <c r="L4373" s="16">
        <v>13.200000000000001</v>
      </c>
      <c r="M4373" s="12"/>
      <c r="N4373" s="14">
        <f t="shared" si="203"/>
        <v>0</v>
      </c>
      <c r="O4373" s="28">
        <f t="shared" si="204"/>
        <v>0</v>
      </c>
      <c r="P4373" s="24">
        <f t="shared" si="205"/>
        <v>0</v>
      </c>
      <c r="Q4373" s="25"/>
      <c r="R4373" s="26" t="s">
        <v>13905</v>
      </c>
      <c r="S4373" s="26" t="s">
        <v>93</v>
      </c>
      <c r="T4373" s="6" t="str">
        <f>HYPERLINK("https://kanzpp.ru/api/getInfo/image/4e62263b-4b19-11ef-a262-00155d82e908")</f>
        <v>https://kanzpp.ru/api/getInfo/image/4e62263b-4b19-11ef-a262-00155d82e908</v>
      </c>
      <c r="U4373" s="6"/>
      <c r="V4373" s="33" t="s">
        <v>35</v>
      </c>
    </row>
    <row r="4374" spans="2:22" ht="21" customHeight="1" outlineLevel="5" x14ac:dyDescent="0.2">
      <c r="B4374" s="69">
        <v>3310</v>
      </c>
      <c r="C4374" s="6" t="s">
        <v>13906</v>
      </c>
      <c r="D4374" s="6" t="s">
        <v>13907</v>
      </c>
      <c r="E4374" s="7" t="s">
        <v>13908</v>
      </c>
      <c r="F4374" s="13"/>
      <c r="G4374" s="14"/>
      <c r="H4374" s="15">
        <v>80</v>
      </c>
      <c r="I4374" s="15">
        <v>10</v>
      </c>
      <c r="J4374" s="17">
        <v>5080</v>
      </c>
      <c r="K4374" s="5">
        <v>80</v>
      </c>
      <c r="L4374" s="16">
        <v>13.200000000000001</v>
      </c>
      <c r="M4374" s="12"/>
      <c r="N4374" s="14">
        <f t="shared" si="203"/>
        <v>0</v>
      </c>
      <c r="O4374" s="28">
        <f t="shared" si="204"/>
        <v>0</v>
      </c>
      <c r="P4374" s="24">
        <f t="shared" si="205"/>
        <v>0</v>
      </c>
      <c r="Q4374" s="25"/>
      <c r="R4374" s="26" t="s">
        <v>13909</v>
      </c>
      <c r="S4374" s="26" t="s">
        <v>93</v>
      </c>
      <c r="T4374" s="6" t="str">
        <f>HYPERLINK("https://kanzpp.ru/api/getInfo/image/73e5a635-4b19-11ef-a262-00155d82e908")</f>
        <v>https://kanzpp.ru/api/getInfo/image/73e5a635-4b19-11ef-a262-00155d82e908</v>
      </c>
      <c r="U4374" s="6"/>
      <c r="V4374" s="33" t="s">
        <v>35</v>
      </c>
    </row>
    <row r="4375" spans="2:22" ht="21" customHeight="1" outlineLevel="5" x14ac:dyDescent="0.2">
      <c r="B4375" s="69">
        <v>3311</v>
      </c>
      <c r="C4375" s="6" t="s">
        <v>13910</v>
      </c>
      <c r="D4375" s="6" t="s">
        <v>13911</v>
      </c>
      <c r="E4375" s="7" t="s">
        <v>13912</v>
      </c>
      <c r="F4375" s="13"/>
      <c r="G4375" s="14"/>
      <c r="H4375" s="15">
        <v>80</v>
      </c>
      <c r="I4375" s="15">
        <v>10</v>
      </c>
      <c r="J4375" s="17">
        <v>1940</v>
      </c>
      <c r="K4375" s="5">
        <v>80</v>
      </c>
      <c r="L4375" s="16">
        <v>13.200000000000001</v>
      </c>
      <c r="M4375" s="12"/>
      <c r="N4375" s="14">
        <f t="shared" si="203"/>
        <v>0</v>
      </c>
      <c r="O4375" s="28">
        <f t="shared" si="204"/>
        <v>0</v>
      </c>
      <c r="P4375" s="24">
        <f t="shared" si="205"/>
        <v>0</v>
      </c>
      <c r="Q4375" s="25"/>
      <c r="R4375" s="26" t="s">
        <v>13913</v>
      </c>
      <c r="S4375" s="26" t="s">
        <v>93</v>
      </c>
      <c r="T4375" s="6" t="str">
        <f>HYPERLINK("https://kanzpp.ru/api/getInfo/image/949fadb7-4b19-11ef-a262-00155d82e908")</f>
        <v>https://kanzpp.ru/api/getInfo/image/949fadb7-4b19-11ef-a262-00155d82e908</v>
      </c>
      <c r="U4375" s="6"/>
      <c r="V4375" s="33" t="s">
        <v>35</v>
      </c>
    </row>
    <row r="4376" spans="2:22" ht="21" customHeight="1" outlineLevel="5" x14ac:dyDescent="0.2">
      <c r="B4376" s="69">
        <v>3312</v>
      </c>
      <c r="C4376" s="6" t="s">
        <v>13914</v>
      </c>
      <c r="D4376" s="6" t="s">
        <v>13915</v>
      </c>
      <c r="E4376" s="7" t="s">
        <v>13916</v>
      </c>
      <c r="F4376" s="13"/>
      <c r="G4376" s="14"/>
      <c r="H4376" s="15">
        <v>80</v>
      </c>
      <c r="I4376" s="15">
        <v>10</v>
      </c>
      <c r="J4376" s="17">
        <v>5430</v>
      </c>
      <c r="K4376" s="5">
        <v>80</v>
      </c>
      <c r="L4376" s="16">
        <v>13.200000000000001</v>
      </c>
      <c r="M4376" s="12"/>
      <c r="N4376" s="14">
        <f t="shared" si="203"/>
        <v>0</v>
      </c>
      <c r="O4376" s="28">
        <f t="shared" si="204"/>
        <v>0</v>
      </c>
      <c r="P4376" s="24">
        <f t="shared" si="205"/>
        <v>0</v>
      </c>
      <c r="Q4376" s="25"/>
      <c r="R4376" s="26" t="s">
        <v>13917</v>
      </c>
      <c r="S4376" s="26" t="s">
        <v>93</v>
      </c>
      <c r="T4376" s="6" t="str">
        <f>HYPERLINK("https://kanzpp.ru/api/getInfo/image/f38b7282-4b19-11ef-a262-00155d82e908")</f>
        <v>https://kanzpp.ru/api/getInfo/image/f38b7282-4b19-11ef-a262-00155d82e908</v>
      </c>
      <c r="U4376" s="6"/>
      <c r="V4376" s="33" t="s">
        <v>35</v>
      </c>
    </row>
    <row r="4377" spans="2:22" ht="21" customHeight="1" outlineLevel="5" x14ac:dyDescent="0.2">
      <c r="B4377" s="69">
        <v>3313</v>
      </c>
      <c r="C4377" s="6" t="s">
        <v>13918</v>
      </c>
      <c r="D4377" s="6" t="s">
        <v>13919</v>
      </c>
      <c r="E4377" s="7" t="s">
        <v>13920</v>
      </c>
      <c r="F4377" s="13"/>
      <c r="G4377" s="14"/>
      <c r="H4377" s="15">
        <v>80</v>
      </c>
      <c r="I4377" s="15">
        <v>10</v>
      </c>
      <c r="J4377" s="17">
        <v>2710</v>
      </c>
      <c r="K4377" s="5">
        <v>80</v>
      </c>
      <c r="L4377" s="16">
        <v>13.200000000000001</v>
      </c>
      <c r="M4377" s="12"/>
      <c r="N4377" s="14">
        <f t="shared" si="203"/>
        <v>0</v>
      </c>
      <c r="O4377" s="28">
        <f t="shared" si="204"/>
        <v>0</v>
      </c>
      <c r="P4377" s="24">
        <f t="shared" si="205"/>
        <v>0</v>
      </c>
      <c r="Q4377" s="25"/>
      <c r="R4377" s="26" t="s">
        <v>13921</v>
      </c>
      <c r="S4377" s="26" t="s">
        <v>93</v>
      </c>
      <c r="T4377" s="6" t="str">
        <f>HYPERLINK("https://kanzpp.ru/api/getInfo/image/3e6eced3-4b1a-11ef-a262-00155d82e908")</f>
        <v>https://kanzpp.ru/api/getInfo/image/3e6eced3-4b1a-11ef-a262-00155d82e908</v>
      </c>
      <c r="U4377" s="6"/>
      <c r="V4377" s="33" t="s">
        <v>35</v>
      </c>
    </row>
    <row r="4378" spans="2:22" ht="21" customHeight="1" outlineLevel="5" x14ac:dyDescent="0.2">
      <c r="B4378" s="69">
        <v>3314</v>
      </c>
      <c r="C4378" s="6" t="s">
        <v>13922</v>
      </c>
      <c r="D4378" s="6" t="s">
        <v>13923</v>
      </c>
      <c r="E4378" s="7" t="s">
        <v>13924</v>
      </c>
      <c r="F4378" s="13"/>
      <c r="G4378" s="14"/>
      <c r="H4378" s="15">
        <v>80</v>
      </c>
      <c r="I4378" s="15">
        <v>10</v>
      </c>
      <c r="J4378" s="17">
        <v>6450</v>
      </c>
      <c r="K4378" s="5">
        <v>80</v>
      </c>
      <c r="L4378" s="16">
        <v>13.200000000000001</v>
      </c>
      <c r="M4378" s="12"/>
      <c r="N4378" s="14">
        <f t="shared" si="203"/>
        <v>0</v>
      </c>
      <c r="O4378" s="28">
        <f t="shared" si="204"/>
        <v>0</v>
      </c>
      <c r="P4378" s="24">
        <f t="shared" si="205"/>
        <v>0</v>
      </c>
      <c r="Q4378" s="25"/>
      <c r="R4378" s="26" t="s">
        <v>13925</v>
      </c>
      <c r="S4378" s="26" t="s">
        <v>93</v>
      </c>
      <c r="T4378" s="6" t="str">
        <f>HYPERLINK("https://kanzpp.ru/api/getInfo/image/75ab812d-4b1a-11ef-a262-00155d82e908")</f>
        <v>https://kanzpp.ru/api/getInfo/image/75ab812d-4b1a-11ef-a262-00155d82e908</v>
      </c>
      <c r="U4378" s="6"/>
      <c r="V4378" s="33" t="s">
        <v>35</v>
      </c>
    </row>
    <row r="4379" spans="2:22" ht="21" customHeight="1" outlineLevel="5" x14ac:dyDescent="0.2">
      <c r="B4379" s="69">
        <v>3315</v>
      </c>
      <c r="C4379" s="6" t="s">
        <v>13926</v>
      </c>
      <c r="D4379" s="6" t="s">
        <v>13927</v>
      </c>
      <c r="E4379" s="7" t="s">
        <v>13928</v>
      </c>
      <c r="F4379" s="13"/>
      <c r="G4379" s="14"/>
      <c r="H4379" s="15">
        <v>80</v>
      </c>
      <c r="I4379" s="15">
        <v>10</v>
      </c>
      <c r="J4379" s="17">
        <v>2510</v>
      </c>
      <c r="K4379" s="5">
        <v>80</v>
      </c>
      <c r="L4379" s="16">
        <v>13.200000000000001</v>
      </c>
      <c r="M4379" s="12"/>
      <c r="N4379" s="14">
        <f t="shared" si="203"/>
        <v>0</v>
      </c>
      <c r="O4379" s="28">
        <f t="shared" si="204"/>
        <v>0</v>
      </c>
      <c r="P4379" s="24">
        <f t="shared" si="205"/>
        <v>0</v>
      </c>
      <c r="Q4379" s="25"/>
      <c r="R4379" s="26" t="s">
        <v>13929</v>
      </c>
      <c r="S4379" s="26" t="s">
        <v>93</v>
      </c>
      <c r="T4379" s="6" t="str">
        <f>HYPERLINK("https://kanzpp.ru/api/getInfo/image/2a6ea43c-4b1b-11ef-a262-00155d82e908")</f>
        <v>https://kanzpp.ru/api/getInfo/image/2a6ea43c-4b1b-11ef-a262-00155d82e908</v>
      </c>
      <c r="U4379" s="6"/>
      <c r="V4379" s="33" t="s">
        <v>35</v>
      </c>
    </row>
    <row r="4380" spans="2:22" ht="21" customHeight="1" outlineLevel="5" x14ac:dyDescent="0.2">
      <c r="B4380" s="69">
        <v>3316</v>
      </c>
      <c r="C4380" s="6" t="s">
        <v>13930</v>
      </c>
      <c r="D4380" s="6" t="s">
        <v>13931</v>
      </c>
      <c r="E4380" s="7" t="s">
        <v>13932</v>
      </c>
      <c r="F4380" s="13"/>
      <c r="G4380" s="14"/>
      <c r="H4380" s="15">
        <v>80</v>
      </c>
      <c r="I4380" s="15">
        <v>10</v>
      </c>
      <c r="J4380" s="17">
        <v>3490</v>
      </c>
      <c r="K4380" s="5">
        <v>80</v>
      </c>
      <c r="L4380" s="16">
        <v>13.200000000000001</v>
      </c>
      <c r="M4380" s="12"/>
      <c r="N4380" s="14">
        <f t="shared" si="203"/>
        <v>0</v>
      </c>
      <c r="O4380" s="28">
        <f t="shared" si="204"/>
        <v>0</v>
      </c>
      <c r="P4380" s="24">
        <f t="shared" si="205"/>
        <v>0</v>
      </c>
      <c r="Q4380" s="25"/>
      <c r="R4380" s="26" t="s">
        <v>13933</v>
      </c>
      <c r="S4380" s="26" t="s">
        <v>93</v>
      </c>
      <c r="T4380" s="6" t="str">
        <f>HYPERLINK("https://kanzpp.ru/api/getInfo/image/5414cf32-4b1b-11ef-a262-00155d82e908")</f>
        <v>https://kanzpp.ru/api/getInfo/image/5414cf32-4b1b-11ef-a262-00155d82e908</v>
      </c>
      <c r="U4380" s="6"/>
      <c r="V4380" s="33" t="s">
        <v>35</v>
      </c>
    </row>
    <row r="4381" spans="2:22" ht="21" customHeight="1" outlineLevel="5" x14ac:dyDescent="0.2">
      <c r="B4381" s="69">
        <v>3317</v>
      </c>
      <c r="C4381" s="6" t="s">
        <v>13934</v>
      </c>
      <c r="D4381" s="6" t="s">
        <v>13935</v>
      </c>
      <c r="E4381" s="7" t="s">
        <v>13936</v>
      </c>
      <c r="F4381" s="13"/>
      <c r="G4381" s="14"/>
      <c r="H4381" s="15">
        <v>80</v>
      </c>
      <c r="I4381" s="15">
        <v>10</v>
      </c>
      <c r="J4381" s="17">
        <v>4760</v>
      </c>
      <c r="K4381" s="5">
        <v>80</v>
      </c>
      <c r="L4381" s="16">
        <v>13.200000000000001</v>
      </c>
      <c r="M4381" s="12"/>
      <c r="N4381" s="14">
        <f t="shared" si="203"/>
        <v>0</v>
      </c>
      <c r="O4381" s="23">
        <f>0.087*M4381</f>
        <v>0</v>
      </c>
      <c r="P4381" s="24">
        <f>0.00017*M4381</f>
        <v>0</v>
      </c>
      <c r="Q4381" s="25"/>
      <c r="R4381" s="26" t="s">
        <v>13937</v>
      </c>
      <c r="S4381" s="26" t="s">
        <v>93</v>
      </c>
      <c r="T4381" s="6" t="str">
        <f>HYPERLINK("https://kanzpp.ru/api/getInfo/image/8db1708b-4b1b-11ef-a262-00155d82e908")</f>
        <v>https://kanzpp.ru/api/getInfo/image/8db1708b-4b1b-11ef-a262-00155d82e908</v>
      </c>
      <c r="U4381" s="6"/>
      <c r="V4381" s="33" t="s">
        <v>35</v>
      </c>
    </row>
    <row r="4382" spans="2:22" ht="21" customHeight="1" outlineLevel="5" x14ac:dyDescent="0.2">
      <c r="B4382" s="69">
        <v>3318</v>
      </c>
      <c r="C4382" s="6" t="s">
        <v>13938</v>
      </c>
      <c r="D4382" s="6" t="s">
        <v>13939</v>
      </c>
      <c r="E4382" s="7" t="s">
        <v>13940</v>
      </c>
      <c r="F4382" s="13"/>
      <c r="G4382" s="14"/>
      <c r="H4382" s="15">
        <v>80</v>
      </c>
      <c r="I4382" s="15">
        <v>10</v>
      </c>
      <c r="J4382" s="17">
        <v>2760</v>
      </c>
      <c r="K4382" s="5">
        <v>80</v>
      </c>
      <c r="L4382" s="16">
        <v>13.200000000000001</v>
      </c>
      <c r="M4382" s="12"/>
      <c r="N4382" s="14">
        <f t="shared" si="203"/>
        <v>0</v>
      </c>
      <c r="O4382" s="23">
        <f>0.087*M4382</f>
        <v>0</v>
      </c>
      <c r="P4382" s="24">
        <f>0.00017*M4382</f>
        <v>0</v>
      </c>
      <c r="Q4382" s="25"/>
      <c r="R4382" s="26" t="s">
        <v>13941</v>
      </c>
      <c r="S4382" s="26" t="s">
        <v>93</v>
      </c>
      <c r="T4382" s="6" t="str">
        <f>HYPERLINK("https://kanzpp.ru/api/getInfo/image/d7d6108d-4b1b-11ef-a262-00155d82e908")</f>
        <v>https://kanzpp.ru/api/getInfo/image/d7d6108d-4b1b-11ef-a262-00155d82e908</v>
      </c>
      <c r="U4382" s="6"/>
      <c r="V4382" s="33" t="s">
        <v>35</v>
      </c>
    </row>
    <row r="4383" spans="2:22" ht="22.95" customHeight="1" outlineLevel="4" x14ac:dyDescent="0.2">
      <c r="B4383" s="82" t="s">
        <v>13942</v>
      </c>
      <c r="C4383" s="82"/>
      <c r="D4383" s="82"/>
      <c r="L4383">
        <v>0</v>
      </c>
    </row>
    <row r="4384" spans="2:22" ht="21" customHeight="1" outlineLevel="5" x14ac:dyDescent="0.2">
      <c r="B4384" s="71">
        <v>3319</v>
      </c>
      <c r="C4384" s="37" t="s">
        <v>13943</v>
      </c>
      <c r="D4384" s="37" t="s">
        <v>13944</v>
      </c>
      <c r="E4384" s="38" t="s">
        <v>13945</v>
      </c>
      <c r="F4384" s="39"/>
      <c r="G4384" s="40"/>
      <c r="H4384" s="41">
        <v>80</v>
      </c>
      <c r="I4384" s="41">
        <v>10</v>
      </c>
      <c r="J4384" s="50">
        <v>2160</v>
      </c>
      <c r="K4384" s="36">
        <v>80</v>
      </c>
      <c r="L4384" s="42">
        <f>(33.2*(1-O3/100))/0.75</f>
        <v>44.266666666666673</v>
      </c>
      <c r="M4384" s="12"/>
      <c r="N4384" s="40">
        <f t="shared" ref="N4384:N4396" si="206">L4384*M4384</f>
        <v>0</v>
      </c>
      <c r="O4384" s="43">
        <f>0.111*M4384</f>
        <v>0</v>
      </c>
      <c r="P4384" s="47">
        <f>0.00025*M4384</f>
        <v>0</v>
      </c>
      <c r="Q4384" s="44"/>
      <c r="R4384" s="45" t="s">
        <v>13946</v>
      </c>
      <c r="S4384" s="45" t="s">
        <v>93</v>
      </c>
      <c r="T4384" s="37" t="str">
        <f>HYPERLINK("https://kanzpp.ru/api/getInfo/image/c8e44d19-a40c-11f0-a286-00155d82e908")</f>
        <v>https://kanzpp.ru/api/getInfo/image/c8e44d19-a40c-11f0-a286-00155d82e908</v>
      </c>
      <c r="U4384" s="37"/>
    </row>
    <row r="4385" spans="2:22" ht="21" customHeight="1" outlineLevel="5" x14ac:dyDescent="0.2">
      <c r="B4385" s="71">
        <v>3320</v>
      </c>
      <c r="C4385" s="37" t="s">
        <v>13947</v>
      </c>
      <c r="D4385" s="37" t="s">
        <v>13948</v>
      </c>
      <c r="E4385" s="38" t="s">
        <v>13949</v>
      </c>
      <c r="F4385" s="39"/>
      <c r="G4385" s="40"/>
      <c r="H4385" s="41">
        <v>80</v>
      </c>
      <c r="I4385" s="41">
        <v>10</v>
      </c>
      <c r="J4385" s="50">
        <v>1490</v>
      </c>
      <c r="K4385" s="36">
        <v>80</v>
      </c>
      <c r="L4385" s="42">
        <f>(33.2*(1-O3/100))/0.75</f>
        <v>44.266666666666673</v>
      </c>
      <c r="M4385" s="12"/>
      <c r="N4385" s="40">
        <f t="shared" si="206"/>
        <v>0</v>
      </c>
      <c r="O4385" s="43">
        <f>0.109*M4385</f>
        <v>0</v>
      </c>
      <c r="P4385" s="47">
        <f>0.00035*M4385</f>
        <v>0</v>
      </c>
      <c r="Q4385" s="44"/>
      <c r="R4385" s="45" t="s">
        <v>13950</v>
      </c>
      <c r="S4385" s="45" t="s">
        <v>93</v>
      </c>
      <c r="T4385" s="37" t="str">
        <f>HYPERLINK("https://kanzpp.ru/api/getInfo/image/45e645cc-a40d-11f0-a286-00155d82e908")</f>
        <v>https://kanzpp.ru/api/getInfo/image/45e645cc-a40d-11f0-a286-00155d82e908</v>
      </c>
      <c r="U4385" s="37"/>
    </row>
    <row r="4386" spans="2:22" ht="21" customHeight="1" outlineLevel="5" x14ac:dyDescent="0.2">
      <c r="B4386" s="71">
        <v>3321</v>
      </c>
      <c r="C4386" s="37" t="s">
        <v>13951</v>
      </c>
      <c r="D4386" s="37" t="s">
        <v>13952</v>
      </c>
      <c r="E4386" s="38" t="s">
        <v>13953</v>
      </c>
      <c r="F4386" s="39"/>
      <c r="G4386" s="40"/>
      <c r="H4386" s="41">
        <v>80</v>
      </c>
      <c r="I4386" s="41">
        <v>10</v>
      </c>
      <c r="J4386" s="41">
        <v>700</v>
      </c>
      <c r="K4386" s="36">
        <v>80</v>
      </c>
      <c r="L4386" s="42">
        <f>(33.2*(1-O3/100))/0.75</f>
        <v>44.266666666666673</v>
      </c>
      <c r="M4386" s="12"/>
      <c r="N4386" s="40">
        <f t="shared" si="206"/>
        <v>0</v>
      </c>
      <c r="O4386" s="43">
        <f>0.109*M4386</f>
        <v>0</v>
      </c>
      <c r="P4386" s="47">
        <f>0.00021*M4386</f>
        <v>0</v>
      </c>
      <c r="Q4386" s="44"/>
      <c r="R4386" s="45" t="s">
        <v>13954</v>
      </c>
      <c r="S4386" s="45" t="s">
        <v>93</v>
      </c>
      <c r="T4386" s="37" t="str">
        <f>HYPERLINK("https://kanzpp.ru/api/getInfo/image/572483a3-a40d-11f0-a286-00155d82e908")</f>
        <v>https://kanzpp.ru/api/getInfo/image/572483a3-a40d-11f0-a286-00155d82e908</v>
      </c>
      <c r="U4386" s="37"/>
    </row>
    <row r="4387" spans="2:22" ht="21" customHeight="1" outlineLevel="5" x14ac:dyDescent="0.2">
      <c r="B4387" s="71">
        <v>3322</v>
      </c>
      <c r="C4387" s="37" t="s">
        <v>13955</v>
      </c>
      <c r="D4387" s="37" t="s">
        <v>13956</v>
      </c>
      <c r="E4387" s="38" t="s">
        <v>13957</v>
      </c>
      <c r="F4387" s="39"/>
      <c r="G4387" s="40"/>
      <c r="H4387" s="41">
        <v>80</v>
      </c>
      <c r="I4387" s="41">
        <v>10</v>
      </c>
      <c r="J4387" s="50">
        <v>3890</v>
      </c>
      <c r="K4387" s="36">
        <v>80</v>
      </c>
      <c r="L4387" s="42">
        <f>(33.2*(1-O3/100))/0.75</f>
        <v>44.266666666666673</v>
      </c>
      <c r="M4387" s="12"/>
      <c r="N4387" s="40">
        <f t="shared" si="206"/>
        <v>0</v>
      </c>
      <c r="O4387" s="43">
        <f>0.109*M4387</f>
        <v>0</v>
      </c>
      <c r="P4387" s="47">
        <f>0.00024*M4387</f>
        <v>0</v>
      </c>
      <c r="Q4387" s="44"/>
      <c r="R4387" s="45" t="s">
        <v>13958</v>
      </c>
      <c r="S4387" s="45" t="s">
        <v>93</v>
      </c>
      <c r="T4387" s="37" t="str">
        <f>HYPERLINK("https://kanzpp.ru/api/getInfo/image/80fe6325-a40d-11f0-a286-00155d82e908")</f>
        <v>https://kanzpp.ru/api/getInfo/image/80fe6325-a40d-11f0-a286-00155d82e908</v>
      </c>
      <c r="U4387" s="37"/>
    </row>
    <row r="4388" spans="2:22" ht="21" customHeight="1" outlineLevel="5" x14ac:dyDescent="0.2">
      <c r="B4388" s="71">
        <v>3323</v>
      </c>
      <c r="C4388" s="37" t="s">
        <v>13959</v>
      </c>
      <c r="D4388" s="37" t="s">
        <v>13960</v>
      </c>
      <c r="E4388" s="38" t="s">
        <v>13961</v>
      </c>
      <c r="F4388" s="39"/>
      <c r="G4388" s="40"/>
      <c r="H4388" s="41">
        <v>80</v>
      </c>
      <c r="I4388" s="41">
        <v>10</v>
      </c>
      <c r="J4388" s="50">
        <v>3420</v>
      </c>
      <c r="K4388" s="36">
        <v>80</v>
      </c>
      <c r="L4388" s="42">
        <f>(33.2*(1-O3/100))/0.75</f>
        <v>44.266666666666673</v>
      </c>
      <c r="M4388" s="12"/>
      <c r="N4388" s="40">
        <f t="shared" si="206"/>
        <v>0</v>
      </c>
      <c r="O4388" s="43">
        <f>0.111*M4388</f>
        <v>0</v>
      </c>
      <c r="P4388" s="47">
        <f>0.00025*M4388</f>
        <v>0</v>
      </c>
      <c r="Q4388" s="44"/>
      <c r="R4388" s="45" t="s">
        <v>13962</v>
      </c>
      <c r="S4388" s="45" t="s">
        <v>93</v>
      </c>
      <c r="T4388" s="37" t="str">
        <f>HYPERLINK("https://kanzpp.ru/api/getInfo/image/54becc29-a40e-11f0-a286-00155d82e908")</f>
        <v>https://kanzpp.ru/api/getInfo/image/54becc29-a40e-11f0-a286-00155d82e908</v>
      </c>
      <c r="U4388" s="37"/>
    </row>
    <row r="4389" spans="2:22" ht="21" customHeight="1" outlineLevel="5" x14ac:dyDescent="0.2">
      <c r="B4389" s="71">
        <v>3324</v>
      </c>
      <c r="C4389" s="37" t="s">
        <v>13963</v>
      </c>
      <c r="D4389" s="37" t="s">
        <v>13964</v>
      </c>
      <c r="E4389" s="38" t="s">
        <v>13965</v>
      </c>
      <c r="F4389" s="39"/>
      <c r="G4389" s="40"/>
      <c r="H4389" s="41">
        <v>80</v>
      </c>
      <c r="I4389" s="41">
        <v>10</v>
      </c>
      <c r="J4389" s="50">
        <v>3660</v>
      </c>
      <c r="K4389" s="36">
        <v>80</v>
      </c>
      <c r="L4389" s="42">
        <f>(33.2*(1-O3/100))/0.75</f>
        <v>44.266666666666673</v>
      </c>
      <c r="M4389" s="12"/>
      <c r="N4389" s="40">
        <f t="shared" si="206"/>
        <v>0</v>
      </c>
      <c r="O4389" s="43">
        <f>0.113*M4389</f>
        <v>0</v>
      </c>
      <c r="P4389" s="47">
        <f>0.00028*M4389</f>
        <v>0</v>
      </c>
      <c r="Q4389" s="44"/>
      <c r="R4389" s="45" t="s">
        <v>13966</v>
      </c>
      <c r="S4389" s="45" t="s">
        <v>93</v>
      </c>
      <c r="T4389" s="37" t="str">
        <f>HYPERLINK("https://kanzpp.ru/api/getInfo/image/95f0a9e9-a40d-11f0-a286-00155d82e908")</f>
        <v>https://kanzpp.ru/api/getInfo/image/95f0a9e9-a40d-11f0-a286-00155d82e908</v>
      </c>
      <c r="U4389" s="37"/>
    </row>
    <row r="4390" spans="2:22" ht="21" customHeight="1" outlineLevel="5" x14ac:dyDescent="0.2">
      <c r="B4390" s="71">
        <v>3325</v>
      </c>
      <c r="C4390" s="37" t="s">
        <v>13967</v>
      </c>
      <c r="D4390" s="37" t="s">
        <v>13968</v>
      </c>
      <c r="E4390" s="38" t="s">
        <v>13969</v>
      </c>
      <c r="F4390" s="39"/>
      <c r="G4390" s="40"/>
      <c r="H4390" s="41">
        <v>80</v>
      </c>
      <c r="I4390" s="41">
        <v>10</v>
      </c>
      <c r="J4390" s="50">
        <v>2040</v>
      </c>
      <c r="K4390" s="36">
        <v>80</v>
      </c>
      <c r="L4390" s="42">
        <f>(33.2*(1-O3/100))/0.75</f>
        <v>44.266666666666673</v>
      </c>
      <c r="M4390" s="12"/>
      <c r="N4390" s="40">
        <f t="shared" si="206"/>
        <v>0</v>
      </c>
      <c r="O4390" s="48">
        <f>0.11*M4390</f>
        <v>0</v>
      </c>
      <c r="P4390" s="47">
        <f>0.00024*M4390</f>
        <v>0</v>
      </c>
      <c r="Q4390" s="44"/>
      <c r="R4390" s="45" t="s">
        <v>13970</v>
      </c>
      <c r="S4390" s="45" t="s">
        <v>93</v>
      </c>
      <c r="T4390" s="37" t="str">
        <f>HYPERLINK("https://kanzpp.ru/api/getInfo/image/ab279b3f-a40d-11f0-a286-00155d82e908")</f>
        <v>https://kanzpp.ru/api/getInfo/image/ab279b3f-a40d-11f0-a286-00155d82e908</v>
      </c>
      <c r="U4390" s="37"/>
    </row>
    <row r="4391" spans="2:22" ht="21" customHeight="1" outlineLevel="5" x14ac:dyDescent="0.2">
      <c r="B4391" s="71">
        <v>3326</v>
      </c>
      <c r="C4391" s="37" t="s">
        <v>13971</v>
      </c>
      <c r="D4391" s="37" t="s">
        <v>13972</v>
      </c>
      <c r="E4391" s="38" t="s">
        <v>13973</v>
      </c>
      <c r="F4391" s="39"/>
      <c r="G4391" s="40"/>
      <c r="H4391" s="41">
        <v>80</v>
      </c>
      <c r="I4391" s="41">
        <v>10</v>
      </c>
      <c r="J4391" s="50">
        <v>1100</v>
      </c>
      <c r="K4391" s="36">
        <v>80</v>
      </c>
      <c r="L4391" s="42">
        <f>(33.2*(1-O3/100))/0.75</f>
        <v>44.266666666666673</v>
      </c>
      <c r="M4391" s="12"/>
      <c r="N4391" s="40">
        <f t="shared" si="206"/>
        <v>0</v>
      </c>
      <c r="O4391" s="43">
        <f>0.111*M4391</f>
        <v>0</v>
      </c>
      <c r="P4391" s="47">
        <f>0.00025*M4391</f>
        <v>0</v>
      </c>
      <c r="Q4391" s="44"/>
      <c r="R4391" s="45" t="s">
        <v>13974</v>
      </c>
      <c r="S4391" s="45" t="s">
        <v>93</v>
      </c>
      <c r="T4391" s="37" t="str">
        <f>HYPERLINK("https://kanzpp.ru/api/getInfo/image/c14e43d0-a40d-11f0-a286-00155d82e908")</f>
        <v>https://kanzpp.ru/api/getInfo/image/c14e43d0-a40d-11f0-a286-00155d82e908</v>
      </c>
      <c r="U4391" s="37"/>
    </row>
    <row r="4392" spans="2:22" ht="21" customHeight="1" outlineLevel="5" x14ac:dyDescent="0.2">
      <c r="B4392" s="71">
        <v>3327</v>
      </c>
      <c r="C4392" s="37" t="s">
        <v>13975</v>
      </c>
      <c r="D4392" s="37" t="s">
        <v>13976</v>
      </c>
      <c r="E4392" s="38" t="s">
        <v>13977</v>
      </c>
      <c r="F4392" s="39"/>
      <c r="G4392" s="40"/>
      <c r="H4392" s="41">
        <v>80</v>
      </c>
      <c r="I4392" s="41">
        <v>10</v>
      </c>
      <c r="J4392" s="50">
        <v>1330</v>
      </c>
      <c r="K4392" s="36">
        <v>80</v>
      </c>
      <c r="L4392" s="42">
        <f>(33.2*(1-O3/100))/0.75</f>
        <v>44.266666666666673</v>
      </c>
      <c r="M4392" s="12"/>
      <c r="N4392" s="40">
        <f t="shared" si="206"/>
        <v>0</v>
      </c>
      <c r="O4392" s="43">
        <f>0.092*M4392</f>
        <v>0</v>
      </c>
      <c r="P4392" s="47">
        <f>0.00015*M4392</f>
        <v>0</v>
      </c>
      <c r="Q4392" s="44"/>
      <c r="R4392" s="45" t="s">
        <v>13978</v>
      </c>
      <c r="S4392" s="45" t="s">
        <v>93</v>
      </c>
      <c r="T4392" s="37" t="str">
        <f>HYPERLINK("https://kanzpp.ru/api/getInfo/image/d61730df-a40d-11f0-a286-00155d82e908")</f>
        <v>https://kanzpp.ru/api/getInfo/image/d61730df-a40d-11f0-a286-00155d82e908</v>
      </c>
      <c r="U4392" s="37"/>
    </row>
    <row r="4393" spans="2:22" ht="21" customHeight="1" outlineLevel="5" x14ac:dyDescent="0.2">
      <c r="B4393" s="71">
        <v>3328</v>
      </c>
      <c r="C4393" s="37" t="s">
        <v>13979</v>
      </c>
      <c r="D4393" s="37" t="s">
        <v>13980</v>
      </c>
      <c r="E4393" s="38" t="s">
        <v>13981</v>
      </c>
      <c r="F4393" s="39"/>
      <c r="G4393" s="40"/>
      <c r="H4393" s="41">
        <v>80</v>
      </c>
      <c r="I4393" s="41">
        <v>10</v>
      </c>
      <c r="J4393" s="50">
        <v>3820</v>
      </c>
      <c r="K4393" s="36">
        <v>80</v>
      </c>
      <c r="L4393" s="42">
        <f>(33.2*(1-O3/100))/0.75</f>
        <v>44.266666666666673</v>
      </c>
      <c r="M4393" s="12"/>
      <c r="N4393" s="40">
        <f t="shared" si="206"/>
        <v>0</v>
      </c>
      <c r="O4393" s="43">
        <f>0.111*M4393</f>
        <v>0</v>
      </c>
      <c r="P4393" s="47">
        <f>0.00025*M4393</f>
        <v>0</v>
      </c>
      <c r="Q4393" s="44"/>
      <c r="R4393" s="45" t="s">
        <v>13982</v>
      </c>
      <c r="S4393" s="45" t="s">
        <v>93</v>
      </c>
      <c r="T4393" s="37" t="str">
        <f>HYPERLINK("https://kanzpp.ru/api/getInfo/image/b3add659-a40e-11f0-a286-00155d82e908")</f>
        <v>https://kanzpp.ru/api/getInfo/image/b3add659-a40e-11f0-a286-00155d82e908</v>
      </c>
      <c r="U4393" s="37"/>
    </row>
    <row r="4394" spans="2:22" ht="21" customHeight="1" outlineLevel="5" x14ac:dyDescent="0.2">
      <c r="B4394" s="71">
        <v>3329</v>
      </c>
      <c r="C4394" s="37" t="s">
        <v>13983</v>
      </c>
      <c r="D4394" s="37" t="s">
        <v>13984</v>
      </c>
      <c r="E4394" s="38" t="s">
        <v>13985</v>
      </c>
      <c r="F4394" s="39"/>
      <c r="G4394" s="40"/>
      <c r="H4394" s="41">
        <v>80</v>
      </c>
      <c r="I4394" s="41">
        <v>10</v>
      </c>
      <c r="J4394" s="50">
        <v>3580</v>
      </c>
      <c r="K4394" s="36">
        <v>80</v>
      </c>
      <c r="L4394" s="42">
        <f>(33.2*(1-O3/100))/0.75</f>
        <v>44.266666666666673</v>
      </c>
      <c r="M4394" s="12"/>
      <c r="N4394" s="40">
        <f t="shared" si="206"/>
        <v>0</v>
      </c>
      <c r="O4394" s="48">
        <f>0.11*M4394</f>
        <v>0</v>
      </c>
      <c r="P4394" s="47">
        <f>0.00035*M4394</f>
        <v>0</v>
      </c>
      <c r="Q4394" s="44"/>
      <c r="R4394" s="45" t="s">
        <v>13986</v>
      </c>
      <c r="S4394" s="45" t="s">
        <v>93</v>
      </c>
      <c r="T4394" s="37" t="str">
        <f>HYPERLINK("https://kanzpp.ru/api/getInfo/image/e9df5370-a40d-11f0-a286-00155d82e908")</f>
        <v>https://kanzpp.ru/api/getInfo/image/e9df5370-a40d-11f0-a286-00155d82e908</v>
      </c>
      <c r="U4394" s="37"/>
    </row>
    <row r="4395" spans="2:22" ht="21" customHeight="1" outlineLevel="5" x14ac:dyDescent="0.2">
      <c r="B4395" s="71">
        <v>3330</v>
      </c>
      <c r="C4395" s="37" t="s">
        <v>13987</v>
      </c>
      <c r="D4395" s="37" t="s">
        <v>13988</v>
      </c>
      <c r="E4395" s="38" t="s">
        <v>13989</v>
      </c>
      <c r="F4395" s="39"/>
      <c r="G4395" s="40"/>
      <c r="H4395" s="41">
        <v>80</v>
      </c>
      <c r="I4395" s="41">
        <v>10</v>
      </c>
      <c r="J4395" s="50">
        <v>2540</v>
      </c>
      <c r="K4395" s="36">
        <v>80</v>
      </c>
      <c r="L4395" s="42">
        <f>(33.2*(1-O3/100))/0.75</f>
        <v>44.266666666666673</v>
      </c>
      <c r="M4395" s="12"/>
      <c r="N4395" s="40">
        <f t="shared" si="206"/>
        <v>0</v>
      </c>
      <c r="O4395" s="43">
        <f>0.111*M4395</f>
        <v>0</v>
      </c>
      <c r="P4395" s="47">
        <f>0.00025*M4395</f>
        <v>0</v>
      </c>
      <c r="Q4395" s="44"/>
      <c r="R4395" s="45" t="s">
        <v>13990</v>
      </c>
      <c r="S4395" s="45" t="s">
        <v>93</v>
      </c>
      <c r="T4395" s="37" t="str">
        <f>HYPERLINK("https://kanzpp.ru/api/getInfo/image/74c39114-a40e-11f0-a286-00155d82e908")</f>
        <v>https://kanzpp.ru/api/getInfo/image/74c39114-a40e-11f0-a286-00155d82e908</v>
      </c>
      <c r="U4395" s="37"/>
    </row>
    <row r="4396" spans="2:22" ht="21" customHeight="1" outlineLevel="5" x14ac:dyDescent="0.2">
      <c r="B4396" s="71">
        <v>3331</v>
      </c>
      <c r="C4396" s="37" t="s">
        <v>13991</v>
      </c>
      <c r="D4396" s="37" t="s">
        <v>13992</v>
      </c>
      <c r="E4396" s="38" t="s">
        <v>13993</v>
      </c>
      <c r="F4396" s="39"/>
      <c r="G4396" s="40"/>
      <c r="H4396" s="41">
        <v>80</v>
      </c>
      <c r="I4396" s="41">
        <v>10</v>
      </c>
      <c r="J4396" s="50">
        <v>3260</v>
      </c>
      <c r="K4396" s="36">
        <v>80</v>
      </c>
      <c r="L4396" s="42">
        <f>(33.2*(1-O3/100))/0.75</f>
        <v>44.266666666666673</v>
      </c>
      <c r="M4396" s="12"/>
      <c r="N4396" s="40">
        <f t="shared" si="206"/>
        <v>0</v>
      </c>
      <c r="O4396" s="43">
        <f>0.111*M4396</f>
        <v>0</v>
      </c>
      <c r="P4396" s="47">
        <f>0.00025*M4396</f>
        <v>0</v>
      </c>
      <c r="Q4396" s="44"/>
      <c r="R4396" s="45" t="s">
        <v>13994</v>
      </c>
      <c r="S4396" s="45" t="s">
        <v>93</v>
      </c>
      <c r="T4396" s="37" t="str">
        <f>HYPERLINK("https://kanzpp.ru/api/getInfo/image/919d535e-a40e-11f0-a286-00155d82e908")</f>
        <v>https://kanzpp.ru/api/getInfo/image/919d535e-a40e-11f0-a286-00155d82e908</v>
      </c>
      <c r="U4396" s="37"/>
    </row>
    <row r="4397" spans="2:22" ht="22.95" customHeight="1" outlineLevel="4" x14ac:dyDescent="0.2">
      <c r="B4397" s="82" t="s">
        <v>13995</v>
      </c>
      <c r="C4397" s="82"/>
      <c r="D4397" s="82"/>
      <c r="L4397">
        <v>0</v>
      </c>
    </row>
    <row r="4398" spans="2:22" ht="21" customHeight="1" outlineLevel="5" x14ac:dyDescent="0.2">
      <c r="B4398" s="69">
        <v>3332</v>
      </c>
      <c r="C4398" s="6" t="s">
        <v>13996</v>
      </c>
      <c r="D4398" s="6" t="s">
        <v>13997</v>
      </c>
      <c r="E4398" s="7" t="s">
        <v>13998</v>
      </c>
      <c r="F4398" s="13"/>
      <c r="G4398" s="14"/>
      <c r="H4398" s="15">
        <v>80</v>
      </c>
      <c r="I4398" s="15">
        <v>10</v>
      </c>
      <c r="J4398" s="17">
        <v>3637</v>
      </c>
      <c r="K4398" s="5">
        <v>80</v>
      </c>
      <c r="L4398" s="16">
        <v>13.200000000000001</v>
      </c>
      <c r="M4398" s="12"/>
      <c r="N4398" s="14">
        <f t="shared" ref="N4398:N4410" si="207">L4398*M4398</f>
        <v>0</v>
      </c>
      <c r="O4398" s="23">
        <f t="shared" ref="O4398:O4409" si="208">0.111*M4398</f>
        <v>0</v>
      </c>
      <c r="P4398" s="24">
        <f t="shared" ref="P4398:P4409" si="209">0.00018*M4398</f>
        <v>0</v>
      </c>
      <c r="Q4398" s="25"/>
      <c r="R4398" s="26" t="s">
        <v>13999</v>
      </c>
      <c r="S4398" s="26" t="s">
        <v>93</v>
      </c>
      <c r="T4398" s="6" t="str">
        <f>HYPERLINK("https://kanzpp.ru/api/getInfo/image/82608942-3bfd-11ee-a241-00155d82e902")</f>
        <v>https://kanzpp.ru/api/getInfo/image/82608942-3bfd-11ee-a241-00155d82e902</v>
      </c>
      <c r="U4398" s="6"/>
      <c r="V4398" s="33" t="s">
        <v>35</v>
      </c>
    </row>
    <row r="4399" spans="2:22" ht="21" customHeight="1" outlineLevel="5" x14ac:dyDescent="0.2">
      <c r="B4399" s="69">
        <v>3333</v>
      </c>
      <c r="C4399" s="6" t="s">
        <v>14000</v>
      </c>
      <c r="D4399" s="6" t="s">
        <v>14001</v>
      </c>
      <c r="E4399" s="7" t="s">
        <v>14002</v>
      </c>
      <c r="F4399" s="13"/>
      <c r="G4399" s="14"/>
      <c r="H4399" s="15">
        <v>80</v>
      </c>
      <c r="I4399" s="15">
        <v>10</v>
      </c>
      <c r="J4399" s="14" t="s">
        <v>144</v>
      </c>
      <c r="K4399" s="5">
        <v>80</v>
      </c>
      <c r="L4399" s="16">
        <v>13.200000000000001</v>
      </c>
      <c r="M4399" s="12"/>
      <c r="N4399" s="14">
        <f t="shared" si="207"/>
        <v>0</v>
      </c>
      <c r="O4399" s="23">
        <f t="shared" si="208"/>
        <v>0</v>
      </c>
      <c r="P4399" s="24">
        <f t="shared" si="209"/>
        <v>0</v>
      </c>
      <c r="Q4399" s="25"/>
      <c r="R4399" s="26" t="s">
        <v>14003</v>
      </c>
      <c r="S4399" s="26" t="s">
        <v>93</v>
      </c>
      <c r="T4399" s="6" t="str">
        <f>HYPERLINK("https://kanzpp.ru/api/getInfo/image/5a33e8ea-3bfe-11ee-a241-00155d82e902")</f>
        <v>https://kanzpp.ru/api/getInfo/image/5a33e8ea-3bfe-11ee-a241-00155d82e902</v>
      </c>
      <c r="U4399" s="6"/>
      <c r="V4399" s="33" t="s">
        <v>35</v>
      </c>
    </row>
    <row r="4400" spans="2:22" ht="21" customHeight="1" outlineLevel="5" x14ac:dyDescent="0.2">
      <c r="B4400" s="69">
        <v>3334</v>
      </c>
      <c r="C4400" s="6" t="s">
        <v>14004</v>
      </c>
      <c r="D4400" s="6" t="s">
        <v>14005</v>
      </c>
      <c r="E4400" s="7" t="s">
        <v>14006</v>
      </c>
      <c r="F4400" s="13"/>
      <c r="G4400" s="14"/>
      <c r="H4400" s="15">
        <v>80</v>
      </c>
      <c r="I4400" s="15">
        <v>10</v>
      </c>
      <c r="J4400" s="17">
        <v>1510</v>
      </c>
      <c r="K4400" s="5">
        <v>80</v>
      </c>
      <c r="L4400" s="16">
        <v>13.200000000000001</v>
      </c>
      <c r="M4400" s="12"/>
      <c r="N4400" s="14">
        <f t="shared" si="207"/>
        <v>0</v>
      </c>
      <c r="O4400" s="23">
        <f t="shared" si="208"/>
        <v>0</v>
      </c>
      <c r="P4400" s="24">
        <f t="shared" si="209"/>
        <v>0</v>
      </c>
      <c r="Q4400" s="25"/>
      <c r="R4400" s="26" t="s">
        <v>14007</v>
      </c>
      <c r="S4400" s="26" t="s">
        <v>93</v>
      </c>
      <c r="T4400" s="6" t="str">
        <f>HYPERLINK("https://kanzpp.ru/api/getInfo/image/3a2d8809-3bff-11ee-a241-00155d82e902")</f>
        <v>https://kanzpp.ru/api/getInfo/image/3a2d8809-3bff-11ee-a241-00155d82e902</v>
      </c>
      <c r="U4400" s="6"/>
      <c r="V4400" s="33" t="s">
        <v>35</v>
      </c>
    </row>
    <row r="4401" spans="2:22" ht="21" customHeight="1" outlineLevel="5" x14ac:dyDescent="0.2">
      <c r="B4401" s="69">
        <v>3335</v>
      </c>
      <c r="C4401" s="6" t="s">
        <v>14008</v>
      </c>
      <c r="D4401" s="6" t="s">
        <v>14009</v>
      </c>
      <c r="E4401" s="7" t="s">
        <v>14010</v>
      </c>
      <c r="F4401" s="13"/>
      <c r="G4401" s="14"/>
      <c r="H4401" s="15">
        <v>80</v>
      </c>
      <c r="I4401" s="15">
        <v>10</v>
      </c>
      <c r="J4401" s="14" t="s">
        <v>144</v>
      </c>
      <c r="K4401" s="5">
        <v>80</v>
      </c>
      <c r="L4401" s="16">
        <v>13.200000000000001</v>
      </c>
      <c r="M4401" s="12"/>
      <c r="N4401" s="14">
        <f t="shared" si="207"/>
        <v>0</v>
      </c>
      <c r="O4401" s="23">
        <f t="shared" si="208"/>
        <v>0</v>
      </c>
      <c r="P4401" s="24">
        <f t="shared" si="209"/>
        <v>0</v>
      </c>
      <c r="Q4401" s="25"/>
      <c r="R4401" s="26" t="s">
        <v>14011</v>
      </c>
      <c r="S4401" s="26" t="s">
        <v>93</v>
      </c>
      <c r="T4401" s="6" t="str">
        <f>HYPERLINK("https://kanzpp.ru/api/getInfo/image/96a642e5-3bff-11ee-a241-00155d82e902")</f>
        <v>https://kanzpp.ru/api/getInfo/image/96a642e5-3bff-11ee-a241-00155d82e902</v>
      </c>
      <c r="U4401" s="6"/>
      <c r="V4401" s="33" t="s">
        <v>35</v>
      </c>
    </row>
    <row r="4402" spans="2:22" ht="21" customHeight="1" outlineLevel="5" x14ac:dyDescent="0.2">
      <c r="B4402" s="69">
        <v>3336</v>
      </c>
      <c r="C4402" s="6" t="s">
        <v>14012</v>
      </c>
      <c r="D4402" s="6" t="s">
        <v>14013</v>
      </c>
      <c r="E4402" s="7" t="s">
        <v>14014</v>
      </c>
      <c r="F4402" s="13"/>
      <c r="G4402" s="14"/>
      <c r="H4402" s="15">
        <v>80</v>
      </c>
      <c r="I4402" s="15">
        <v>10</v>
      </c>
      <c r="J4402" s="17">
        <v>2879</v>
      </c>
      <c r="K4402" s="5">
        <v>80</v>
      </c>
      <c r="L4402" s="16">
        <v>13.200000000000001</v>
      </c>
      <c r="M4402" s="12"/>
      <c r="N4402" s="14">
        <f t="shared" si="207"/>
        <v>0</v>
      </c>
      <c r="O4402" s="23">
        <f t="shared" si="208"/>
        <v>0</v>
      </c>
      <c r="P4402" s="24">
        <f t="shared" si="209"/>
        <v>0</v>
      </c>
      <c r="Q4402" s="25"/>
      <c r="R4402" s="26" t="s">
        <v>14015</v>
      </c>
      <c r="S4402" s="26" t="s">
        <v>93</v>
      </c>
      <c r="T4402" s="6" t="str">
        <f>HYPERLINK("https://kanzpp.ru/api/getInfo/image/8fc32797-3c00-11ee-a241-00155d82e902")</f>
        <v>https://kanzpp.ru/api/getInfo/image/8fc32797-3c00-11ee-a241-00155d82e902</v>
      </c>
      <c r="U4402" s="6"/>
      <c r="V4402" s="33" t="s">
        <v>35</v>
      </c>
    </row>
    <row r="4403" spans="2:22" ht="21" customHeight="1" outlineLevel="5" x14ac:dyDescent="0.2">
      <c r="B4403" s="69">
        <v>3337</v>
      </c>
      <c r="C4403" s="6" t="s">
        <v>14016</v>
      </c>
      <c r="D4403" s="6" t="s">
        <v>14017</v>
      </c>
      <c r="E4403" s="7" t="s">
        <v>14018</v>
      </c>
      <c r="F4403" s="13"/>
      <c r="G4403" s="14"/>
      <c r="H4403" s="15">
        <v>80</v>
      </c>
      <c r="I4403" s="15">
        <v>10</v>
      </c>
      <c r="J4403" s="17">
        <v>3179</v>
      </c>
      <c r="K4403" s="5">
        <v>80</v>
      </c>
      <c r="L4403" s="16">
        <v>13.200000000000001</v>
      </c>
      <c r="M4403" s="12"/>
      <c r="N4403" s="14">
        <f t="shared" si="207"/>
        <v>0</v>
      </c>
      <c r="O4403" s="23">
        <f t="shared" si="208"/>
        <v>0</v>
      </c>
      <c r="P4403" s="24">
        <f t="shared" si="209"/>
        <v>0</v>
      </c>
      <c r="Q4403" s="25"/>
      <c r="R4403" s="26" t="s">
        <v>14019</v>
      </c>
      <c r="S4403" s="26" t="s">
        <v>93</v>
      </c>
      <c r="T4403" s="6" t="str">
        <f>HYPERLINK("https://kanzpp.ru/api/getInfo/image/bc821832-3bff-11ee-a241-00155d82e902")</f>
        <v>https://kanzpp.ru/api/getInfo/image/bc821832-3bff-11ee-a241-00155d82e902</v>
      </c>
      <c r="U4403" s="6"/>
      <c r="V4403" s="33" t="s">
        <v>35</v>
      </c>
    </row>
    <row r="4404" spans="2:22" ht="21" customHeight="1" outlineLevel="5" x14ac:dyDescent="0.2">
      <c r="B4404" s="69">
        <v>3338</v>
      </c>
      <c r="C4404" s="6" t="s">
        <v>14020</v>
      </c>
      <c r="D4404" s="6" t="s">
        <v>14021</v>
      </c>
      <c r="E4404" s="7" t="s">
        <v>14022</v>
      </c>
      <c r="F4404" s="13"/>
      <c r="G4404" s="14"/>
      <c r="H4404" s="15">
        <v>80</v>
      </c>
      <c r="I4404" s="15">
        <v>10</v>
      </c>
      <c r="J4404" s="17">
        <v>2690</v>
      </c>
      <c r="K4404" s="5">
        <v>80</v>
      </c>
      <c r="L4404" s="16">
        <v>13.200000000000001</v>
      </c>
      <c r="M4404" s="12"/>
      <c r="N4404" s="14">
        <f t="shared" si="207"/>
        <v>0</v>
      </c>
      <c r="O4404" s="23">
        <f t="shared" si="208"/>
        <v>0</v>
      </c>
      <c r="P4404" s="24">
        <f t="shared" si="209"/>
        <v>0</v>
      </c>
      <c r="Q4404" s="25"/>
      <c r="R4404" s="26" t="s">
        <v>14023</v>
      </c>
      <c r="S4404" s="26" t="s">
        <v>93</v>
      </c>
      <c r="T4404" s="6" t="str">
        <f>HYPERLINK("https://kanzpp.ru/api/getInfo/image/059245b2-3c00-11ee-a241-00155d82e902")</f>
        <v>https://kanzpp.ru/api/getInfo/image/059245b2-3c00-11ee-a241-00155d82e902</v>
      </c>
      <c r="U4404" s="6"/>
      <c r="V4404" s="33" t="s">
        <v>35</v>
      </c>
    </row>
    <row r="4405" spans="2:22" ht="21" customHeight="1" outlineLevel="5" x14ac:dyDescent="0.2">
      <c r="B4405" s="69">
        <v>3339</v>
      </c>
      <c r="C4405" s="6" t="s">
        <v>14024</v>
      </c>
      <c r="D4405" s="6" t="s">
        <v>14025</v>
      </c>
      <c r="E4405" s="7" t="s">
        <v>14026</v>
      </c>
      <c r="F4405" s="13"/>
      <c r="G4405" s="14"/>
      <c r="H4405" s="15">
        <v>80</v>
      </c>
      <c r="I4405" s="15">
        <v>10</v>
      </c>
      <c r="J4405" s="17">
        <v>3109</v>
      </c>
      <c r="K4405" s="5">
        <v>80</v>
      </c>
      <c r="L4405" s="16">
        <v>13.200000000000001</v>
      </c>
      <c r="M4405" s="12"/>
      <c r="N4405" s="14">
        <f t="shared" si="207"/>
        <v>0</v>
      </c>
      <c r="O4405" s="23">
        <f t="shared" si="208"/>
        <v>0</v>
      </c>
      <c r="P4405" s="24">
        <f t="shared" si="209"/>
        <v>0</v>
      </c>
      <c r="Q4405" s="25"/>
      <c r="R4405" s="26" t="s">
        <v>14027</v>
      </c>
      <c r="S4405" s="26" t="s">
        <v>93</v>
      </c>
      <c r="T4405" s="6" t="str">
        <f>HYPERLINK("https://kanzpp.ru/api/getInfo/image/c36eb3cd-3c00-11ee-a241-00155d82e902")</f>
        <v>https://kanzpp.ru/api/getInfo/image/c36eb3cd-3c00-11ee-a241-00155d82e902</v>
      </c>
      <c r="U4405" s="6"/>
      <c r="V4405" s="33" t="s">
        <v>35</v>
      </c>
    </row>
    <row r="4406" spans="2:22" ht="21" customHeight="1" outlineLevel="5" x14ac:dyDescent="0.2">
      <c r="B4406" s="69">
        <v>3340</v>
      </c>
      <c r="C4406" s="6" t="s">
        <v>14028</v>
      </c>
      <c r="D4406" s="6" t="s">
        <v>14029</v>
      </c>
      <c r="E4406" s="7" t="s">
        <v>14030</v>
      </c>
      <c r="F4406" s="13"/>
      <c r="G4406" s="14"/>
      <c r="H4406" s="15">
        <v>80</v>
      </c>
      <c r="I4406" s="15">
        <v>10</v>
      </c>
      <c r="J4406" s="17">
        <v>1540</v>
      </c>
      <c r="K4406" s="5">
        <v>80</v>
      </c>
      <c r="L4406" s="16">
        <v>13.200000000000001</v>
      </c>
      <c r="M4406" s="12"/>
      <c r="N4406" s="14">
        <f t="shared" si="207"/>
        <v>0</v>
      </c>
      <c r="O4406" s="23">
        <f t="shared" si="208"/>
        <v>0</v>
      </c>
      <c r="P4406" s="24">
        <f t="shared" si="209"/>
        <v>0</v>
      </c>
      <c r="Q4406" s="25"/>
      <c r="R4406" s="26" t="s">
        <v>14031</v>
      </c>
      <c r="S4406" s="26" t="s">
        <v>93</v>
      </c>
      <c r="T4406" s="6" t="str">
        <f>HYPERLINK("https://kanzpp.ru/api/getInfo/image/4f38a4b9-3c00-11ee-a241-00155d82e902")</f>
        <v>https://kanzpp.ru/api/getInfo/image/4f38a4b9-3c00-11ee-a241-00155d82e902</v>
      </c>
      <c r="U4406" s="6"/>
      <c r="V4406" s="33" t="s">
        <v>35</v>
      </c>
    </row>
    <row r="4407" spans="2:22" ht="21" customHeight="1" outlineLevel="5" x14ac:dyDescent="0.2">
      <c r="B4407" s="69">
        <v>3341</v>
      </c>
      <c r="C4407" s="6" t="s">
        <v>14032</v>
      </c>
      <c r="D4407" s="6" t="s">
        <v>14033</v>
      </c>
      <c r="E4407" s="7" t="s">
        <v>14034</v>
      </c>
      <c r="F4407" s="13"/>
      <c r="G4407" s="14"/>
      <c r="H4407" s="15">
        <v>80</v>
      </c>
      <c r="I4407" s="15">
        <v>10</v>
      </c>
      <c r="J4407" s="17">
        <v>4709</v>
      </c>
      <c r="K4407" s="5">
        <v>80</v>
      </c>
      <c r="L4407" s="16">
        <v>13.200000000000001</v>
      </c>
      <c r="M4407" s="12"/>
      <c r="N4407" s="14">
        <f t="shared" si="207"/>
        <v>0</v>
      </c>
      <c r="O4407" s="23">
        <f t="shared" si="208"/>
        <v>0</v>
      </c>
      <c r="P4407" s="24">
        <f t="shared" si="209"/>
        <v>0</v>
      </c>
      <c r="Q4407" s="25"/>
      <c r="R4407" s="26" t="s">
        <v>14035</v>
      </c>
      <c r="S4407" s="26" t="s">
        <v>93</v>
      </c>
      <c r="T4407" s="6" t="str">
        <f>HYPERLINK("https://kanzpp.ru/api/getInfo/image/a0c37a9a-3c01-11ee-a241-00155d82e902")</f>
        <v>https://kanzpp.ru/api/getInfo/image/a0c37a9a-3c01-11ee-a241-00155d82e902</v>
      </c>
      <c r="U4407" s="6"/>
      <c r="V4407" s="33" t="s">
        <v>35</v>
      </c>
    </row>
    <row r="4408" spans="2:22" ht="21" customHeight="1" outlineLevel="5" x14ac:dyDescent="0.2">
      <c r="B4408" s="69">
        <v>3342</v>
      </c>
      <c r="C4408" s="6" t="s">
        <v>14036</v>
      </c>
      <c r="D4408" s="6" t="s">
        <v>14037</v>
      </c>
      <c r="E4408" s="7" t="s">
        <v>14038</v>
      </c>
      <c r="F4408" s="13"/>
      <c r="G4408" s="14"/>
      <c r="H4408" s="15">
        <v>80</v>
      </c>
      <c r="I4408" s="15">
        <v>10</v>
      </c>
      <c r="J4408" s="14" t="s">
        <v>144</v>
      </c>
      <c r="K4408" s="5">
        <v>80</v>
      </c>
      <c r="L4408" s="16">
        <v>13.200000000000001</v>
      </c>
      <c r="M4408" s="12"/>
      <c r="N4408" s="14">
        <f t="shared" si="207"/>
        <v>0</v>
      </c>
      <c r="O4408" s="23">
        <f t="shared" si="208"/>
        <v>0</v>
      </c>
      <c r="P4408" s="24">
        <f t="shared" si="209"/>
        <v>0</v>
      </c>
      <c r="Q4408" s="25"/>
      <c r="R4408" s="26" t="s">
        <v>14039</v>
      </c>
      <c r="S4408" s="26" t="s">
        <v>93</v>
      </c>
      <c r="T4408" s="6" t="str">
        <f>HYPERLINK("https://kanzpp.ru/api/getInfo/image/0b145d24-3c01-11ee-a241-00155d82e902")</f>
        <v>https://kanzpp.ru/api/getInfo/image/0b145d24-3c01-11ee-a241-00155d82e902</v>
      </c>
      <c r="U4408" s="6"/>
      <c r="V4408" s="33" t="s">
        <v>35</v>
      </c>
    </row>
    <row r="4409" spans="2:22" ht="21" customHeight="1" outlineLevel="5" x14ac:dyDescent="0.2">
      <c r="B4409" s="69">
        <v>3343</v>
      </c>
      <c r="C4409" s="6" t="s">
        <v>14040</v>
      </c>
      <c r="D4409" s="6" t="s">
        <v>14041</v>
      </c>
      <c r="E4409" s="7" t="s">
        <v>14042</v>
      </c>
      <c r="F4409" s="13"/>
      <c r="G4409" s="14"/>
      <c r="H4409" s="15">
        <v>80</v>
      </c>
      <c r="I4409" s="15">
        <v>10</v>
      </c>
      <c r="J4409" s="17">
        <v>2449</v>
      </c>
      <c r="K4409" s="5">
        <v>80</v>
      </c>
      <c r="L4409" s="16">
        <v>13.200000000000001</v>
      </c>
      <c r="M4409" s="12"/>
      <c r="N4409" s="14">
        <f t="shared" si="207"/>
        <v>0</v>
      </c>
      <c r="O4409" s="23">
        <f t="shared" si="208"/>
        <v>0</v>
      </c>
      <c r="P4409" s="24">
        <f t="shared" si="209"/>
        <v>0</v>
      </c>
      <c r="Q4409" s="25"/>
      <c r="R4409" s="26" t="s">
        <v>14043</v>
      </c>
      <c r="S4409" s="26" t="s">
        <v>93</v>
      </c>
      <c r="T4409" s="6" t="str">
        <f>HYPERLINK("https://kanzpp.ru/api/getInfo/image/6dabab4e-3c01-11ee-a241-00155d82e902")</f>
        <v>https://kanzpp.ru/api/getInfo/image/6dabab4e-3c01-11ee-a241-00155d82e902</v>
      </c>
      <c r="U4409" s="6"/>
      <c r="V4409" s="33" t="s">
        <v>35</v>
      </c>
    </row>
    <row r="4410" spans="2:22" ht="21" customHeight="1" outlineLevel="5" x14ac:dyDescent="0.2">
      <c r="B4410" s="69">
        <v>3344</v>
      </c>
      <c r="C4410" s="6" t="s">
        <v>14044</v>
      </c>
      <c r="D4410" s="6" t="s">
        <v>14045</v>
      </c>
      <c r="E4410" s="7" t="s">
        <v>14046</v>
      </c>
      <c r="F4410" s="13"/>
      <c r="G4410" s="14"/>
      <c r="H4410" s="15">
        <v>80</v>
      </c>
      <c r="I4410" s="15">
        <v>10</v>
      </c>
      <c r="J4410" s="14" t="s">
        <v>144</v>
      </c>
      <c r="K4410" s="5">
        <v>80</v>
      </c>
      <c r="L4410" s="16">
        <v>13.200000000000001</v>
      </c>
      <c r="M4410" s="12"/>
      <c r="N4410" s="14">
        <f t="shared" si="207"/>
        <v>0</v>
      </c>
      <c r="O4410" s="23">
        <f>0.109*M4410</f>
        <v>0</v>
      </c>
      <c r="P4410" s="24">
        <f>0.00025*M4410</f>
        <v>0</v>
      </c>
      <c r="Q4410" s="25"/>
      <c r="R4410" s="26" t="s">
        <v>14047</v>
      </c>
      <c r="S4410" s="26" t="s">
        <v>93</v>
      </c>
      <c r="T4410" s="6" t="str">
        <f>HYPERLINK("https://kanzpp.ru/api/getInfo/image/36cbe248-3c01-11ee-a241-00155d82e902")</f>
        <v>https://kanzpp.ru/api/getInfo/image/36cbe248-3c01-11ee-a241-00155d82e902</v>
      </c>
      <c r="U4410" s="6"/>
      <c r="V4410" s="33" t="s">
        <v>35</v>
      </c>
    </row>
    <row r="4411" spans="2:22" ht="22.95" customHeight="1" outlineLevel="3" x14ac:dyDescent="0.2">
      <c r="B4411" s="81" t="s">
        <v>14048</v>
      </c>
      <c r="C4411" s="81"/>
      <c r="D4411" s="81"/>
      <c r="L4411">
        <v>0</v>
      </c>
    </row>
    <row r="4412" spans="2:22" ht="22.95" customHeight="1" outlineLevel="4" x14ac:dyDescent="0.2">
      <c r="B4412" s="82" t="s">
        <v>14049</v>
      </c>
      <c r="C4412" s="82"/>
      <c r="D4412" s="82"/>
      <c r="L4412">
        <v>0</v>
      </c>
    </row>
    <row r="4413" spans="2:22" ht="21" customHeight="1" outlineLevel="5" x14ac:dyDescent="0.2">
      <c r="B4413" s="69">
        <v>3345</v>
      </c>
      <c r="C4413" s="6" t="s">
        <v>14050</v>
      </c>
      <c r="D4413" s="6" t="s">
        <v>14051</v>
      </c>
      <c r="E4413" s="7" t="s">
        <v>14052</v>
      </c>
      <c r="F4413" s="13"/>
      <c r="G4413" s="14"/>
      <c r="H4413" s="15">
        <v>80</v>
      </c>
      <c r="I4413" s="15">
        <v>10</v>
      </c>
      <c r="J4413" s="17">
        <v>4170</v>
      </c>
      <c r="K4413" s="5">
        <v>80</v>
      </c>
      <c r="L4413" s="16">
        <v>15.866666666666667</v>
      </c>
      <c r="M4413" s="12"/>
      <c r="N4413" s="14">
        <f t="shared" ref="N4413:N4420" si="210">L4413*M4413</f>
        <v>0</v>
      </c>
      <c r="O4413" s="23">
        <f t="shared" ref="O4413:O4419" si="211">0.111*M4413</f>
        <v>0</v>
      </c>
      <c r="P4413" s="24">
        <f t="shared" ref="P4413:P4419" si="212">0.00028*M4413</f>
        <v>0</v>
      </c>
      <c r="Q4413" s="25"/>
      <c r="R4413" s="26" t="s">
        <v>14053</v>
      </c>
      <c r="S4413" s="26" t="s">
        <v>93</v>
      </c>
      <c r="T4413" s="6" t="str">
        <f>HYPERLINK("https://kanzpp.ru/api/getInfo/image/8e7d3708-4b2a-11ef-a262-00155d82e908")</f>
        <v>https://kanzpp.ru/api/getInfo/image/8e7d3708-4b2a-11ef-a262-00155d82e908</v>
      </c>
      <c r="U4413" s="6"/>
      <c r="V4413" s="33" t="s">
        <v>35</v>
      </c>
    </row>
    <row r="4414" spans="2:22" ht="21" customHeight="1" outlineLevel="5" x14ac:dyDescent="0.2">
      <c r="B4414" s="69">
        <v>3346</v>
      </c>
      <c r="C4414" s="6" t="s">
        <v>14054</v>
      </c>
      <c r="D4414" s="6" t="s">
        <v>14055</v>
      </c>
      <c r="E4414" s="7" t="s">
        <v>14056</v>
      </c>
      <c r="F4414" s="13"/>
      <c r="G4414" s="14"/>
      <c r="H4414" s="15">
        <v>80</v>
      </c>
      <c r="I4414" s="15">
        <v>10</v>
      </c>
      <c r="J4414" s="17">
        <v>4730</v>
      </c>
      <c r="K4414" s="5">
        <v>80</v>
      </c>
      <c r="L4414" s="16">
        <v>15.866666666666667</v>
      </c>
      <c r="M4414" s="12"/>
      <c r="N4414" s="14">
        <f t="shared" si="210"/>
        <v>0</v>
      </c>
      <c r="O4414" s="23">
        <f t="shared" si="211"/>
        <v>0</v>
      </c>
      <c r="P4414" s="24">
        <f t="shared" si="212"/>
        <v>0</v>
      </c>
      <c r="Q4414" s="25"/>
      <c r="R4414" s="26" t="s">
        <v>14057</v>
      </c>
      <c r="S4414" s="26" t="s">
        <v>93</v>
      </c>
      <c r="T4414" s="6" t="str">
        <f>HYPERLINK("https://kanzpp.ru/api/getInfo/image/c43c70d3-4b2a-11ef-a262-00155d82e908")</f>
        <v>https://kanzpp.ru/api/getInfo/image/c43c70d3-4b2a-11ef-a262-00155d82e908</v>
      </c>
      <c r="U4414" s="6"/>
      <c r="V4414" s="33" t="s">
        <v>35</v>
      </c>
    </row>
    <row r="4415" spans="2:22" ht="21" customHeight="1" outlineLevel="5" x14ac:dyDescent="0.2">
      <c r="B4415" s="69">
        <v>3347</v>
      </c>
      <c r="C4415" s="6" t="s">
        <v>14058</v>
      </c>
      <c r="D4415" s="6" t="s">
        <v>14059</v>
      </c>
      <c r="E4415" s="7" t="s">
        <v>14060</v>
      </c>
      <c r="F4415" s="13"/>
      <c r="G4415" s="14"/>
      <c r="H4415" s="15">
        <v>80</v>
      </c>
      <c r="I4415" s="15">
        <v>10</v>
      </c>
      <c r="J4415" s="17">
        <v>1770</v>
      </c>
      <c r="K4415" s="5">
        <v>80</v>
      </c>
      <c r="L4415" s="16">
        <v>15.866666666666667</v>
      </c>
      <c r="M4415" s="12"/>
      <c r="N4415" s="14">
        <f t="shared" si="210"/>
        <v>0</v>
      </c>
      <c r="O4415" s="23">
        <f t="shared" si="211"/>
        <v>0</v>
      </c>
      <c r="P4415" s="24">
        <f t="shared" si="212"/>
        <v>0</v>
      </c>
      <c r="Q4415" s="25"/>
      <c r="R4415" s="26" t="s">
        <v>14061</v>
      </c>
      <c r="S4415" s="26" t="s">
        <v>93</v>
      </c>
      <c r="T4415" s="6" t="str">
        <f>HYPERLINK("https://kanzpp.ru/api/getInfo/image/1c3cc14e-4b2b-11ef-a262-00155d82e908")</f>
        <v>https://kanzpp.ru/api/getInfo/image/1c3cc14e-4b2b-11ef-a262-00155d82e908</v>
      </c>
      <c r="U4415" s="6"/>
      <c r="V4415" s="33" t="s">
        <v>35</v>
      </c>
    </row>
    <row r="4416" spans="2:22" ht="21" customHeight="1" outlineLevel="5" x14ac:dyDescent="0.2">
      <c r="B4416" s="69">
        <v>3348</v>
      </c>
      <c r="C4416" s="6" t="s">
        <v>14062</v>
      </c>
      <c r="D4416" s="6" t="s">
        <v>14063</v>
      </c>
      <c r="E4416" s="7" t="s">
        <v>14064</v>
      </c>
      <c r="F4416" s="13"/>
      <c r="G4416" s="14"/>
      <c r="H4416" s="15">
        <v>80</v>
      </c>
      <c r="I4416" s="15">
        <v>10</v>
      </c>
      <c r="J4416" s="14" t="s">
        <v>144</v>
      </c>
      <c r="K4416" s="5">
        <v>80</v>
      </c>
      <c r="L4416" s="16">
        <v>15.866666666666667</v>
      </c>
      <c r="M4416" s="12"/>
      <c r="N4416" s="14">
        <f t="shared" si="210"/>
        <v>0</v>
      </c>
      <c r="O4416" s="23">
        <f t="shared" si="211"/>
        <v>0</v>
      </c>
      <c r="P4416" s="24">
        <f t="shared" si="212"/>
        <v>0</v>
      </c>
      <c r="Q4416" s="25"/>
      <c r="R4416" s="26" t="s">
        <v>14065</v>
      </c>
      <c r="S4416" s="26" t="s">
        <v>93</v>
      </c>
      <c r="T4416" s="6" t="str">
        <f>HYPERLINK("https://kanzpp.ru/api/getInfo/image/5ac447b6-4b2b-11ef-a262-00155d82e908")</f>
        <v>https://kanzpp.ru/api/getInfo/image/5ac447b6-4b2b-11ef-a262-00155d82e908</v>
      </c>
      <c r="U4416" s="6"/>
      <c r="V4416" s="33" t="s">
        <v>35</v>
      </c>
    </row>
    <row r="4417" spans="2:22" ht="21" customHeight="1" outlineLevel="5" x14ac:dyDescent="0.2">
      <c r="B4417" s="69">
        <v>3349</v>
      </c>
      <c r="C4417" s="6" t="s">
        <v>14066</v>
      </c>
      <c r="D4417" s="6" t="s">
        <v>14067</v>
      </c>
      <c r="E4417" s="7" t="s">
        <v>14068</v>
      </c>
      <c r="F4417" s="13"/>
      <c r="G4417" s="14"/>
      <c r="H4417" s="15">
        <v>80</v>
      </c>
      <c r="I4417" s="15">
        <v>10</v>
      </c>
      <c r="J4417" s="14" t="s">
        <v>144</v>
      </c>
      <c r="K4417" s="5">
        <v>80</v>
      </c>
      <c r="L4417" s="16">
        <v>15.866666666666667</v>
      </c>
      <c r="M4417" s="12"/>
      <c r="N4417" s="14">
        <f t="shared" si="210"/>
        <v>0</v>
      </c>
      <c r="O4417" s="23">
        <f t="shared" si="211"/>
        <v>0</v>
      </c>
      <c r="P4417" s="24">
        <f t="shared" si="212"/>
        <v>0</v>
      </c>
      <c r="Q4417" s="25"/>
      <c r="R4417" s="26" t="s">
        <v>14069</v>
      </c>
      <c r="S4417" s="26" t="s">
        <v>93</v>
      </c>
      <c r="T4417" s="6" t="str">
        <f>HYPERLINK("https://kanzpp.ru/api/getInfo/image/82710180-4b2b-11ef-a262-00155d82e908")</f>
        <v>https://kanzpp.ru/api/getInfo/image/82710180-4b2b-11ef-a262-00155d82e908</v>
      </c>
      <c r="U4417" s="6"/>
      <c r="V4417" s="33" t="s">
        <v>35</v>
      </c>
    </row>
    <row r="4418" spans="2:22" ht="21" customHeight="1" outlineLevel="5" x14ac:dyDescent="0.2">
      <c r="B4418" s="69">
        <v>3350</v>
      </c>
      <c r="C4418" s="6" t="s">
        <v>14070</v>
      </c>
      <c r="D4418" s="6" t="s">
        <v>14071</v>
      </c>
      <c r="E4418" s="7" t="s">
        <v>14072</v>
      </c>
      <c r="F4418" s="13"/>
      <c r="G4418" s="14"/>
      <c r="H4418" s="15">
        <v>80</v>
      </c>
      <c r="I4418" s="15">
        <v>10</v>
      </c>
      <c r="J4418" s="14" t="s">
        <v>144</v>
      </c>
      <c r="K4418" s="5">
        <v>80</v>
      </c>
      <c r="L4418" s="16">
        <v>15.866666666666667</v>
      </c>
      <c r="M4418" s="12"/>
      <c r="N4418" s="14">
        <f t="shared" si="210"/>
        <v>0</v>
      </c>
      <c r="O4418" s="23">
        <f t="shared" si="211"/>
        <v>0</v>
      </c>
      <c r="P4418" s="24">
        <f t="shared" si="212"/>
        <v>0</v>
      </c>
      <c r="Q4418" s="25"/>
      <c r="R4418" s="26" t="s">
        <v>14073</v>
      </c>
      <c r="S4418" s="26" t="s">
        <v>93</v>
      </c>
      <c r="T4418" s="6" t="str">
        <f>HYPERLINK("https://kanzpp.ru/api/getInfo/image/ae39350f-4b2b-11ef-a262-00155d82e908")</f>
        <v>https://kanzpp.ru/api/getInfo/image/ae39350f-4b2b-11ef-a262-00155d82e908</v>
      </c>
      <c r="U4418" s="6"/>
      <c r="V4418" s="33" t="s">
        <v>35</v>
      </c>
    </row>
    <row r="4419" spans="2:22" ht="21" customHeight="1" outlineLevel="5" x14ac:dyDescent="0.2">
      <c r="B4419" s="69">
        <v>3351</v>
      </c>
      <c r="C4419" s="6" t="s">
        <v>14074</v>
      </c>
      <c r="D4419" s="6" t="s">
        <v>14075</v>
      </c>
      <c r="E4419" s="7" t="s">
        <v>14076</v>
      </c>
      <c r="F4419" s="13"/>
      <c r="G4419" s="14"/>
      <c r="H4419" s="15">
        <v>80</v>
      </c>
      <c r="I4419" s="15">
        <v>10</v>
      </c>
      <c r="J4419" s="17">
        <v>1750</v>
      </c>
      <c r="K4419" s="5">
        <v>80</v>
      </c>
      <c r="L4419" s="16">
        <v>15.866666666666667</v>
      </c>
      <c r="M4419" s="12"/>
      <c r="N4419" s="14">
        <f t="shared" si="210"/>
        <v>0</v>
      </c>
      <c r="O4419" s="23">
        <f t="shared" si="211"/>
        <v>0</v>
      </c>
      <c r="P4419" s="24">
        <f t="shared" si="212"/>
        <v>0</v>
      </c>
      <c r="Q4419" s="25"/>
      <c r="R4419" s="26" t="s">
        <v>14077</v>
      </c>
      <c r="S4419" s="26" t="s">
        <v>93</v>
      </c>
      <c r="T4419" s="6" t="str">
        <f>HYPERLINK("https://kanzpp.ru/api/getInfo/image/3458230e-4b2c-11ef-a262-00155d82e908")</f>
        <v>https://kanzpp.ru/api/getInfo/image/3458230e-4b2c-11ef-a262-00155d82e908</v>
      </c>
      <c r="U4419" s="6"/>
      <c r="V4419" s="33" t="s">
        <v>35</v>
      </c>
    </row>
    <row r="4420" spans="2:22" ht="21" customHeight="1" outlineLevel="5" x14ac:dyDescent="0.2">
      <c r="B4420" s="69">
        <v>3352</v>
      </c>
      <c r="C4420" s="6" t="s">
        <v>14078</v>
      </c>
      <c r="D4420" s="6" t="s">
        <v>14079</v>
      </c>
      <c r="E4420" s="7" t="s">
        <v>14080</v>
      </c>
      <c r="F4420" s="13"/>
      <c r="G4420" s="14"/>
      <c r="H4420" s="15">
        <v>80</v>
      </c>
      <c r="I4420" s="15">
        <v>10</v>
      </c>
      <c r="J4420" s="17">
        <v>1170</v>
      </c>
      <c r="K4420" s="5">
        <v>80</v>
      </c>
      <c r="L4420" s="16">
        <v>15.866666666666667</v>
      </c>
      <c r="M4420" s="12"/>
      <c r="N4420" s="14">
        <f t="shared" si="210"/>
        <v>0</v>
      </c>
      <c r="O4420" s="23">
        <f>0.108*M4420</f>
        <v>0</v>
      </c>
      <c r="P4420" s="24">
        <f>0.00021*M4420</f>
        <v>0</v>
      </c>
      <c r="Q4420" s="25"/>
      <c r="R4420" s="26" t="s">
        <v>14081</v>
      </c>
      <c r="S4420" s="26" t="s">
        <v>93</v>
      </c>
      <c r="T4420" s="6" t="str">
        <f>HYPERLINK("https://kanzpp.ru/api/getInfo/image/89244a53-4b2c-11ef-a262-00155d82e908")</f>
        <v>https://kanzpp.ru/api/getInfo/image/89244a53-4b2c-11ef-a262-00155d82e908</v>
      </c>
      <c r="U4420" s="6"/>
      <c r="V4420" s="33" t="s">
        <v>35</v>
      </c>
    </row>
    <row r="4421" spans="2:22" ht="22.95" customHeight="1" outlineLevel="4" x14ac:dyDescent="0.2">
      <c r="B4421" s="82" t="s">
        <v>14082</v>
      </c>
      <c r="C4421" s="82"/>
      <c r="D4421" s="82"/>
      <c r="L4421">
        <v>0</v>
      </c>
    </row>
    <row r="4422" spans="2:22" ht="21" customHeight="1" outlineLevel="5" x14ac:dyDescent="0.2">
      <c r="B4422" s="69">
        <v>3353</v>
      </c>
      <c r="C4422" s="6" t="s">
        <v>14083</v>
      </c>
      <c r="D4422" s="6" t="s">
        <v>14084</v>
      </c>
      <c r="E4422" s="7" t="s">
        <v>14085</v>
      </c>
      <c r="F4422" s="13"/>
      <c r="G4422" s="14"/>
      <c r="H4422" s="15">
        <v>80</v>
      </c>
      <c r="I4422" s="15">
        <v>10</v>
      </c>
      <c r="J4422" s="14" t="s">
        <v>144</v>
      </c>
      <c r="K4422" s="5">
        <v>80</v>
      </c>
      <c r="L4422" s="16">
        <v>15.866666666666667</v>
      </c>
      <c r="M4422" s="12"/>
      <c r="N4422" s="14">
        <f t="shared" ref="N4422:N4427" si="213">L4422*M4422</f>
        <v>0</v>
      </c>
      <c r="O4422" s="23">
        <f>0.107*M4422</f>
        <v>0</v>
      </c>
      <c r="P4422" s="24">
        <f t="shared" ref="P4422:P4427" si="214">0.00021*M4422</f>
        <v>0</v>
      </c>
      <c r="Q4422" s="25"/>
      <c r="R4422" s="26" t="s">
        <v>14086</v>
      </c>
      <c r="S4422" s="26" t="s">
        <v>93</v>
      </c>
      <c r="T4422" s="6" t="str">
        <f>HYPERLINK("https://kanzpp.ru/api/getInfo/image/c605d95d-4a87-11ef-a262-00155d82e908")</f>
        <v>https://kanzpp.ru/api/getInfo/image/c605d95d-4a87-11ef-a262-00155d82e908</v>
      </c>
      <c r="U4422" s="6"/>
      <c r="V4422" s="33" t="s">
        <v>35</v>
      </c>
    </row>
    <row r="4423" spans="2:22" ht="21" customHeight="1" outlineLevel="5" x14ac:dyDescent="0.2">
      <c r="B4423" s="69">
        <v>3354</v>
      </c>
      <c r="C4423" s="6" t="s">
        <v>14087</v>
      </c>
      <c r="D4423" s="6" t="s">
        <v>14088</v>
      </c>
      <c r="E4423" s="7" t="s">
        <v>14089</v>
      </c>
      <c r="F4423" s="13"/>
      <c r="G4423" s="14"/>
      <c r="H4423" s="15">
        <v>80</v>
      </c>
      <c r="I4423" s="15">
        <v>10</v>
      </c>
      <c r="J4423" s="15">
        <v>210</v>
      </c>
      <c r="K4423" s="5">
        <v>80</v>
      </c>
      <c r="L4423" s="16">
        <v>15.866666666666667</v>
      </c>
      <c r="M4423" s="12"/>
      <c r="N4423" s="14">
        <f t="shared" si="213"/>
        <v>0</v>
      </c>
      <c r="O4423" s="23">
        <f>0.107*M4423</f>
        <v>0</v>
      </c>
      <c r="P4423" s="24">
        <f t="shared" si="214"/>
        <v>0</v>
      </c>
      <c r="Q4423" s="25"/>
      <c r="R4423" s="26" t="s">
        <v>14090</v>
      </c>
      <c r="S4423" s="26" t="s">
        <v>93</v>
      </c>
      <c r="T4423" s="6" t="str">
        <f>HYPERLINK("https://kanzpp.ru/api/getInfo/image/ec1aae26-4b27-11ef-a262-00155d82e908")</f>
        <v>https://kanzpp.ru/api/getInfo/image/ec1aae26-4b27-11ef-a262-00155d82e908</v>
      </c>
      <c r="U4423" s="6"/>
      <c r="V4423" s="33" t="s">
        <v>35</v>
      </c>
    </row>
    <row r="4424" spans="2:22" ht="21" customHeight="1" outlineLevel="5" x14ac:dyDescent="0.2">
      <c r="B4424" s="69">
        <v>3355</v>
      </c>
      <c r="C4424" s="6" t="s">
        <v>14091</v>
      </c>
      <c r="D4424" s="6" t="s">
        <v>14092</v>
      </c>
      <c r="E4424" s="7" t="s">
        <v>14093</v>
      </c>
      <c r="F4424" s="13"/>
      <c r="G4424" s="14"/>
      <c r="H4424" s="15">
        <v>80</v>
      </c>
      <c r="I4424" s="15">
        <v>10</v>
      </c>
      <c r="J4424" s="14" t="s">
        <v>144</v>
      </c>
      <c r="K4424" s="5">
        <v>80</v>
      </c>
      <c r="L4424" s="16">
        <v>15.866666666666667</v>
      </c>
      <c r="M4424" s="12"/>
      <c r="N4424" s="14">
        <f t="shared" si="213"/>
        <v>0</v>
      </c>
      <c r="O4424" s="23">
        <f>0.107*M4424</f>
        <v>0</v>
      </c>
      <c r="P4424" s="24">
        <f t="shared" si="214"/>
        <v>0</v>
      </c>
      <c r="Q4424" s="25"/>
      <c r="R4424" s="26" t="s">
        <v>14094</v>
      </c>
      <c r="S4424" s="26" t="s">
        <v>93</v>
      </c>
      <c r="T4424" s="6" t="str">
        <f>HYPERLINK("https://kanzpp.ru/api/getInfo/image/121ca5b4-4b28-11ef-a262-00155d82e908")</f>
        <v>https://kanzpp.ru/api/getInfo/image/121ca5b4-4b28-11ef-a262-00155d82e908</v>
      </c>
      <c r="U4424" s="6"/>
      <c r="V4424" s="33" t="s">
        <v>35</v>
      </c>
    </row>
    <row r="4425" spans="2:22" ht="21" customHeight="1" outlineLevel="5" x14ac:dyDescent="0.2">
      <c r="B4425" s="69">
        <v>3356</v>
      </c>
      <c r="C4425" s="6" t="s">
        <v>14095</v>
      </c>
      <c r="D4425" s="6" t="s">
        <v>14096</v>
      </c>
      <c r="E4425" s="7" t="s">
        <v>14097</v>
      </c>
      <c r="F4425" s="13"/>
      <c r="G4425" s="14"/>
      <c r="H4425" s="15">
        <v>80</v>
      </c>
      <c r="I4425" s="15">
        <v>10</v>
      </c>
      <c r="J4425" s="14" t="s">
        <v>144</v>
      </c>
      <c r="K4425" s="5">
        <v>80</v>
      </c>
      <c r="L4425" s="16">
        <v>15.866666666666667</v>
      </c>
      <c r="M4425" s="12"/>
      <c r="N4425" s="14">
        <f t="shared" si="213"/>
        <v>0</v>
      </c>
      <c r="O4425" s="28">
        <f>0.11*M4425</f>
        <v>0</v>
      </c>
      <c r="P4425" s="24">
        <f t="shared" si="214"/>
        <v>0</v>
      </c>
      <c r="Q4425" s="25"/>
      <c r="R4425" s="26" t="s">
        <v>14098</v>
      </c>
      <c r="S4425" s="26" t="s">
        <v>93</v>
      </c>
      <c r="T4425" s="6" t="str">
        <f>HYPERLINK("https://kanzpp.ru/api/getInfo/image/88917f9b-4b28-11ef-a262-00155d82e908")</f>
        <v>https://kanzpp.ru/api/getInfo/image/88917f9b-4b28-11ef-a262-00155d82e908</v>
      </c>
      <c r="U4425" s="6"/>
      <c r="V4425" s="33" t="s">
        <v>35</v>
      </c>
    </row>
    <row r="4426" spans="2:22" ht="21" customHeight="1" outlineLevel="5" x14ac:dyDescent="0.2">
      <c r="B4426" s="69">
        <v>3357</v>
      </c>
      <c r="C4426" s="6" t="s">
        <v>14099</v>
      </c>
      <c r="D4426" s="6" t="s">
        <v>14100</v>
      </c>
      <c r="E4426" s="7" t="s">
        <v>14101</v>
      </c>
      <c r="F4426" s="13"/>
      <c r="G4426" s="14"/>
      <c r="H4426" s="15">
        <v>80</v>
      </c>
      <c r="I4426" s="15">
        <v>10</v>
      </c>
      <c r="J4426" s="17">
        <v>3420</v>
      </c>
      <c r="K4426" s="5">
        <v>80</v>
      </c>
      <c r="L4426" s="16">
        <v>15.866666666666667</v>
      </c>
      <c r="M4426" s="12"/>
      <c r="N4426" s="14">
        <f t="shared" si="213"/>
        <v>0</v>
      </c>
      <c r="O4426" s="23">
        <f>0.107*M4426</f>
        <v>0</v>
      </c>
      <c r="P4426" s="24">
        <f t="shared" si="214"/>
        <v>0</v>
      </c>
      <c r="Q4426" s="25"/>
      <c r="R4426" s="26" t="s">
        <v>14102</v>
      </c>
      <c r="S4426" s="26" t="s">
        <v>93</v>
      </c>
      <c r="T4426" s="6" t="str">
        <f>HYPERLINK("https://kanzpp.ru/api/getInfo/image/b387e398-4b28-11ef-a262-00155d82e908")</f>
        <v>https://kanzpp.ru/api/getInfo/image/b387e398-4b28-11ef-a262-00155d82e908</v>
      </c>
      <c r="U4426" s="6"/>
      <c r="V4426" s="33" t="s">
        <v>35</v>
      </c>
    </row>
    <row r="4427" spans="2:22" ht="21" customHeight="1" outlineLevel="5" x14ac:dyDescent="0.2">
      <c r="B4427" s="69">
        <v>3358</v>
      </c>
      <c r="C4427" s="6" t="s">
        <v>14103</v>
      </c>
      <c r="D4427" s="6" t="s">
        <v>14104</v>
      </c>
      <c r="E4427" s="7" t="s">
        <v>14105</v>
      </c>
      <c r="F4427" s="13"/>
      <c r="G4427" s="14"/>
      <c r="H4427" s="15">
        <v>80</v>
      </c>
      <c r="I4427" s="15">
        <v>10</v>
      </c>
      <c r="J4427" s="15">
        <v>790</v>
      </c>
      <c r="K4427" s="5">
        <v>80</v>
      </c>
      <c r="L4427" s="16">
        <v>15.866666666666667</v>
      </c>
      <c r="M4427" s="12"/>
      <c r="N4427" s="14">
        <f t="shared" si="213"/>
        <v>0</v>
      </c>
      <c r="O4427" s="23">
        <f>0.109*M4427</f>
        <v>0</v>
      </c>
      <c r="P4427" s="24">
        <f t="shared" si="214"/>
        <v>0</v>
      </c>
      <c r="Q4427" s="25"/>
      <c r="R4427" s="26" t="s">
        <v>14106</v>
      </c>
      <c r="S4427" s="26" t="s">
        <v>93</v>
      </c>
      <c r="T4427" s="6" t="str">
        <f>HYPERLINK("https://kanzpp.ru/api/getInfo/image/e23cbc89-4b28-11ef-a262-00155d82e908")</f>
        <v>https://kanzpp.ru/api/getInfo/image/e23cbc89-4b28-11ef-a262-00155d82e908</v>
      </c>
      <c r="U4427" s="6"/>
      <c r="V4427" s="33" t="s">
        <v>35</v>
      </c>
    </row>
    <row r="4428" spans="2:22" ht="22.95" customHeight="1" outlineLevel="4" x14ac:dyDescent="0.2">
      <c r="B4428" s="82" t="s">
        <v>14107</v>
      </c>
      <c r="C4428" s="82"/>
      <c r="D4428" s="82"/>
      <c r="L4428">
        <v>0</v>
      </c>
    </row>
    <row r="4429" spans="2:22" ht="21" customHeight="1" outlineLevel="5" x14ac:dyDescent="0.2">
      <c r="B4429" s="69">
        <v>3359</v>
      </c>
      <c r="C4429" s="6" t="s">
        <v>14108</v>
      </c>
      <c r="D4429" s="6" t="s">
        <v>14109</v>
      </c>
      <c r="E4429" s="7" t="s">
        <v>14110</v>
      </c>
      <c r="F4429" s="13"/>
      <c r="G4429" s="14"/>
      <c r="H4429" s="15">
        <v>80</v>
      </c>
      <c r="I4429" s="15">
        <v>10</v>
      </c>
      <c r="J4429" s="17">
        <v>2900</v>
      </c>
      <c r="K4429" s="5">
        <v>80</v>
      </c>
      <c r="L4429" s="16">
        <v>26.533333333333331</v>
      </c>
      <c r="M4429" s="12"/>
      <c r="N4429" s="14">
        <f t="shared" ref="N4429:N4435" si="215">L4429*M4429</f>
        <v>0</v>
      </c>
      <c r="O4429" s="23">
        <f>0.114*M4429</f>
        <v>0</v>
      </c>
      <c r="P4429" s="24">
        <f>0.00021*M4429</f>
        <v>0</v>
      </c>
      <c r="Q4429" s="25"/>
      <c r="R4429" s="26" t="s">
        <v>14111</v>
      </c>
      <c r="S4429" s="26" t="s">
        <v>93</v>
      </c>
      <c r="T4429" s="6" t="str">
        <f>HYPERLINK("https://kanzpp.ru/api/getInfo/image/6f245bda-4a8a-11ef-a262-00155d82e908")</f>
        <v>https://kanzpp.ru/api/getInfo/image/6f245bda-4a8a-11ef-a262-00155d82e908</v>
      </c>
      <c r="U4429" s="6"/>
      <c r="V4429" s="33" t="s">
        <v>35</v>
      </c>
    </row>
    <row r="4430" spans="2:22" ht="21" customHeight="1" outlineLevel="5" x14ac:dyDescent="0.2">
      <c r="B4430" s="69">
        <v>3360</v>
      </c>
      <c r="C4430" s="6" t="s">
        <v>14112</v>
      </c>
      <c r="D4430" s="6" t="s">
        <v>14113</v>
      </c>
      <c r="E4430" s="7" t="s">
        <v>14114</v>
      </c>
      <c r="F4430" s="13"/>
      <c r="G4430" s="14"/>
      <c r="H4430" s="15">
        <v>80</v>
      </c>
      <c r="I4430" s="15">
        <v>10</v>
      </c>
      <c r="J4430" s="14" t="s">
        <v>144</v>
      </c>
      <c r="K4430" s="5">
        <v>80</v>
      </c>
      <c r="L4430" s="16">
        <v>26.533333333333331</v>
      </c>
      <c r="M4430" s="12"/>
      <c r="N4430" s="14">
        <f t="shared" si="215"/>
        <v>0</v>
      </c>
      <c r="O4430" s="23">
        <f>0.109*M4430</f>
        <v>0</v>
      </c>
      <c r="P4430" s="24">
        <f>0.00035*M4430</f>
        <v>0</v>
      </c>
      <c r="Q4430" s="25"/>
      <c r="R4430" s="26" t="s">
        <v>14115</v>
      </c>
      <c r="S4430" s="26" t="s">
        <v>93</v>
      </c>
      <c r="T4430" s="6" t="str">
        <f>HYPERLINK("https://kanzpp.ru/api/getInfo/image/4ff33a7a-4b3f-11ef-a262-00155d82e908")</f>
        <v>https://kanzpp.ru/api/getInfo/image/4ff33a7a-4b3f-11ef-a262-00155d82e908</v>
      </c>
      <c r="U4430" s="6"/>
      <c r="V4430" s="33" t="s">
        <v>35</v>
      </c>
    </row>
    <row r="4431" spans="2:22" ht="21" customHeight="1" outlineLevel="5" x14ac:dyDescent="0.2">
      <c r="B4431" s="69">
        <v>3361</v>
      </c>
      <c r="C4431" s="6" t="s">
        <v>14116</v>
      </c>
      <c r="D4431" s="6" t="s">
        <v>14117</v>
      </c>
      <c r="E4431" s="7" t="s">
        <v>14118</v>
      </c>
      <c r="F4431" s="13"/>
      <c r="G4431" s="14"/>
      <c r="H4431" s="15">
        <v>80</v>
      </c>
      <c r="I4431" s="15">
        <v>10</v>
      </c>
      <c r="J4431" s="14" t="s">
        <v>144</v>
      </c>
      <c r="K4431" s="5">
        <v>80</v>
      </c>
      <c r="L4431" s="16">
        <v>26.533333333333331</v>
      </c>
      <c r="M4431" s="12"/>
      <c r="N4431" s="14">
        <f t="shared" si="215"/>
        <v>0</v>
      </c>
      <c r="O4431" s="23">
        <f>0.109*M4431</f>
        <v>0</v>
      </c>
      <c r="P4431" s="24">
        <f>0.00024*M4431</f>
        <v>0</v>
      </c>
      <c r="Q4431" s="25"/>
      <c r="R4431" s="26" t="s">
        <v>14119</v>
      </c>
      <c r="S4431" s="26" t="s">
        <v>93</v>
      </c>
      <c r="T4431" s="6" t="str">
        <f>HYPERLINK("https://kanzpp.ru/api/getInfo/image/f0fcb712-4b3f-11ef-a262-00155d82e908")</f>
        <v>https://kanzpp.ru/api/getInfo/image/f0fcb712-4b3f-11ef-a262-00155d82e908</v>
      </c>
      <c r="U4431" s="6"/>
      <c r="V4431" s="33" t="s">
        <v>35</v>
      </c>
    </row>
    <row r="4432" spans="2:22" ht="21" customHeight="1" outlineLevel="5" x14ac:dyDescent="0.2">
      <c r="B4432" s="69">
        <v>3362</v>
      </c>
      <c r="C4432" s="6" t="s">
        <v>14120</v>
      </c>
      <c r="D4432" s="6" t="s">
        <v>14121</v>
      </c>
      <c r="E4432" s="7" t="s">
        <v>14122</v>
      </c>
      <c r="F4432" s="13"/>
      <c r="G4432" s="14"/>
      <c r="H4432" s="15">
        <v>80</v>
      </c>
      <c r="I4432" s="15">
        <v>10</v>
      </c>
      <c r="J4432" s="17">
        <v>3530</v>
      </c>
      <c r="K4432" s="5">
        <v>80</v>
      </c>
      <c r="L4432" s="16">
        <v>26.533333333333331</v>
      </c>
      <c r="M4432" s="12"/>
      <c r="N4432" s="14">
        <f t="shared" si="215"/>
        <v>0</v>
      </c>
      <c r="O4432" s="23">
        <f>0.109*M4432</f>
        <v>0</v>
      </c>
      <c r="P4432" s="24">
        <f>0.00001*M4432</f>
        <v>0</v>
      </c>
      <c r="Q4432" s="25"/>
      <c r="R4432" s="26" t="s">
        <v>14123</v>
      </c>
      <c r="S4432" s="26" t="s">
        <v>93</v>
      </c>
      <c r="T4432" s="6" t="str">
        <f>HYPERLINK("https://kanzpp.ru/api/getInfo/image/1efebdb1-4b40-11ef-a262-00155d82e908")</f>
        <v>https://kanzpp.ru/api/getInfo/image/1efebdb1-4b40-11ef-a262-00155d82e908</v>
      </c>
      <c r="U4432" s="6"/>
      <c r="V4432" s="33" t="s">
        <v>35</v>
      </c>
    </row>
    <row r="4433" spans="2:22" ht="21" customHeight="1" outlineLevel="5" x14ac:dyDescent="0.2">
      <c r="B4433" s="69">
        <v>3363</v>
      </c>
      <c r="C4433" s="6" t="s">
        <v>14124</v>
      </c>
      <c r="D4433" s="6" t="s">
        <v>14125</v>
      </c>
      <c r="E4433" s="7" t="s">
        <v>14126</v>
      </c>
      <c r="F4433" s="13"/>
      <c r="G4433" s="14"/>
      <c r="H4433" s="15">
        <v>80</v>
      </c>
      <c r="I4433" s="15">
        <v>10</v>
      </c>
      <c r="J4433" s="17">
        <v>1380</v>
      </c>
      <c r="K4433" s="5">
        <v>80</v>
      </c>
      <c r="L4433" s="16">
        <v>26.533333333333331</v>
      </c>
      <c r="M4433" s="12"/>
      <c r="N4433" s="14">
        <f t="shared" si="215"/>
        <v>0</v>
      </c>
      <c r="O4433" s="23">
        <f>0.114*M4433</f>
        <v>0</v>
      </c>
      <c r="P4433" s="24">
        <f>0.00021*M4433</f>
        <v>0</v>
      </c>
      <c r="Q4433" s="25"/>
      <c r="R4433" s="26" t="s">
        <v>14127</v>
      </c>
      <c r="S4433" s="26" t="s">
        <v>93</v>
      </c>
      <c r="T4433" s="6" t="str">
        <f>HYPERLINK("https://kanzpp.ru/api/getInfo/image/59312eb0-4b40-11ef-a262-00155d82e908")</f>
        <v>https://kanzpp.ru/api/getInfo/image/59312eb0-4b40-11ef-a262-00155d82e908</v>
      </c>
      <c r="U4433" s="6"/>
      <c r="V4433" s="33" t="s">
        <v>35</v>
      </c>
    </row>
    <row r="4434" spans="2:22" ht="21" customHeight="1" outlineLevel="5" x14ac:dyDescent="0.2">
      <c r="B4434" s="69">
        <v>3364</v>
      </c>
      <c r="C4434" s="6" t="s">
        <v>14128</v>
      </c>
      <c r="D4434" s="6" t="s">
        <v>14129</v>
      </c>
      <c r="E4434" s="7" t="s">
        <v>14130</v>
      </c>
      <c r="F4434" s="13"/>
      <c r="G4434" s="14"/>
      <c r="H4434" s="15">
        <v>80</v>
      </c>
      <c r="I4434" s="15">
        <v>10</v>
      </c>
      <c r="J4434" s="17">
        <v>1530</v>
      </c>
      <c r="K4434" s="5">
        <v>80</v>
      </c>
      <c r="L4434" s="16">
        <v>26.533333333333331</v>
      </c>
      <c r="M4434" s="12"/>
      <c r="N4434" s="14">
        <f t="shared" si="215"/>
        <v>0</v>
      </c>
      <c r="O4434" s="23">
        <f>0.114*M4434</f>
        <v>0</v>
      </c>
      <c r="P4434" s="24">
        <f>0.00021*M4434</f>
        <v>0</v>
      </c>
      <c r="Q4434" s="25"/>
      <c r="R4434" s="26" t="s">
        <v>14131</v>
      </c>
      <c r="S4434" s="26" t="s">
        <v>93</v>
      </c>
      <c r="T4434" s="6" t="str">
        <f>HYPERLINK("https://kanzpp.ru/api/getInfo/image/82ddf98d-4b40-11ef-a262-00155d82e908")</f>
        <v>https://kanzpp.ru/api/getInfo/image/82ddf98d-4b40-11ef-a262-00155d82e908</v>
      </c>
      <c r="U4434" s="6"/>
      <c r="V4434" s="33" t="s">
        <v>35</v>
      </c>
    </row>
    <row r="4435" spans="2:22" ht="21" customHeight="1" outlineLevel="5" x14ac:dyDescent="0.2">
      <c r="B4435" s="69">
        <v>3365</v>
      </c>
      <c r="C4435" s="6" t="s">
        <v>14132</v>
      </c>
      <c r="D4435" s="6" t="s">
        <v>14133</v>
      </c>
      <c r="E4435" s="7" t="s">
        <v>14134</v>
      </c>
      <c r="F4435" s="13"/>
      <c r="G4435" s="14"/>
      <c r="H4435" s="15">
        <v>80</v>
      </c>
      <c r="I4435" s="15">
        <v>10</v>
      </c>
      <c r="J4435" s="17">
        <v>1450</v>
      </c>
      <c r="K4435" s="5">
        <v>80</v>
      </c>
      <c r="L4435" s="16">
        <v>26.533333333333331</v>
      </c>
      <c r="M4435" s="12"/>
      <c r="N4435" s="14">
        <f t="shared" si="215"/>
        <v>0</v>
      </c>
      <c r="O4435" s="23">
        <f>0.109*M4435</f>
        <v>0</v>
      </c>
      <c r="P4435" s="24">
        <f>0.00035*M4435</f>
        <v>0</v>
      </c>
      <c r="Q4435" s="25"/>
      <c r="R4435" s="26" t="s">
        <v>14135</v>
      </c>
      <c r="S4435" s="26" t="s">
        <v>93</v>
      </c>
      <c r="T4435" s="6" t="str">
        <f>HYPERLINK("https://kanzpp.ru/api/getInfo/image/c557da24-4b40-11ef-a262-00155d82e908")</f>
        <v>https://kanzpp.ru/api/getInfo/image/c557da24-4b40-11ef-a262-00155d82e908</v>
      </c>
      <c r="U4435" s="6"/>
      <c r="V4435" s="33" t="s">
        <v>35</v>
      </c>
    </row>
    <row r="4436" spans="2:22" ht="22.95" customHeight="1" outlineLevel="4" x14ac:dyDescent="0.2">
      <c r="B4436" s="82" t="s">
        <v>14136</v>
      </c>
      <c r="C4436" s="82"/>
      <c r="D4436" s="82"/>
      <c r="L4436">
        <v>0</v>
      </c>
    </row>
    <row r="4437" spans="2:22" ht="21" customHeight="1" outlineLevel="5" x14ac:dyDescent="0.2">
      <c r="B4437" s="71">
        <v>3366</v>
      </c>
      <c r="C4437" s="37" t="s">
        <v>14137</v>
      </c>
      <c r="D4437" s="37" t="s">
        <v>14138</v>
      </c>
      <c r="E4437" s="38" t="s">
        <v>14139</v>
      </c>
      <c r="F4437" s="39"/>
      <c r="G4437" s="40"/>
      <c r="H4437" s="41">
        <v>80</v>
      </c>
      <c r="I4437" s="41">
        <v>10</v>
      </c>
      <c r="J4437" s="50">
        <v>2850</v>
      </c>
      <c r="K4437" s="36">
        <v>80</v>
      </c>
      <c r="L4437" s="42">
        <f>(37.2*(1-O3/100))/0.75</f>
        <v>49.6</v>
      </c>
      <c r="M4437" s="12"/>
      <c r="N4437" s="40">
        <f t="shared" ref="N4437:N4449" si="216">L4437*M4437</f>
        <v>0</v>
      </c>
      <c r="O4437" s="43">
        <f>0.111*M4437</f>
        <v>0</v>
      </c>
      <c r="P4437" s="47">
        <f>0.00025*M4437</f>
        <v>0</v>
      </c>
      <c r="Q4437" s="44"/>
      <c r="R4437" s="45" t="s">
        <v>14140</v>
      </c>
      <c r="S4437" s="45" t="s">
        <v>93</v>
      </c>
      <c r="T4437" s="37" t="str">
        <f>HYPERLINK("https://kanzpp.ru/api/getInfo/image/6ca0b26d-a40f-11f0-a286-00155d82e908")</f>
        <v>https://kanzpp.ru/api/getInfo/image/6ca0b26d-a40f-11f0-a286-00155d82e908</v>
      </c>
      <c r="U4437" s="37"/>
    </row>
    <row r="4438" spans="2:22" ht="21" customHeight="1" outlineLevel="5" x14ac:dyDescent="0.2">
      <c r="B4438" s="71">
        <v>3367</v>
      </c>
      <c r="C4438" s="37" t="s">
        <v>14141</v>
      </c>
      <c r="D4438" s="37" t="s">
        <v>14142</v>
      </c>
      <c r="E4438" s="38" t="s">
        <v>14143</v>
      </c>
      <c r="F4438" s="39"/>
      <c r="G4438" s="40"/>
      <c r="H4438" s="41">
        <v>80</v>
      </c>
      <c r="I4438" s="41">
        <v>10</v>
      </c>
      <c r="J4438" s="41">
        <v>90</v>
      </c>
      <c r="K4438" s="36">
        <v>80</v>
      </c>
      <c r="L4438" s="42">
        <f>(37.2*(1-O3/100))/0.75</f>
        <v>49.6</v>
      </c>
      <c r="M4438" s="12"/>
      <c r="N4438" s="40">
        <f t="shared" si="216"/>
        <v>0</v>
      </c>
      <c r="O4438" s="43">
        <f>0.111*M4438</f>
        <v>0</v>
      </c>
      <c r="P4438" s="47">
        <f>0.00025*M4438</f>
        <v>0</v>
      </c>
      <c r="Q4438" s="44"/>
      <c r="R4438" s="45" t="s">
        <v>14144</v>
      </c>
      <c r="S4438" s="45" t="s">
        <v>93</v>
      </c>
      <c r="T4438" s="37" t="str">
        <f>HYPERLINK("https://kanzpp.ru/api/getInfo/image/97e2118c-a40f-11f0-a286-00155d82e908")</f>
        <v>https://kanzpp.ru/api/getInfo/image/97e2118c-a40f-11f0-a286-00155d82e908</v>
      </c>
      <c r="U4438" s="37"/>
    </row>
    <row r="4439" spans="2:22" ht="21" customHeight="1" outlineLevel="5" x14ac:dyDescent="0.2">
      <c r="B4439" s="71">
        <v>3368</v>
      </c>
      <c r="C4439" s="37" t="s">
        <v>14145</v>
      </c>
      <c r="D4439" s="37" t="s">
        <v>14146</v>
      </c>
      <c r="E4439" s="38" t="s">
        <v>14147</v>
      </c>
      <c r="F4439" s="39"/>
      <c r="G4439" s="40"/>
      <c r="H4439" s="41">
        <v>80</v>
      </c>
      <c r="I4439" s="41">
        <v>10</v>
      </c>
      <c r="J4439" s="41">
        <v>90</v>
      </c>
      <c r="K4439" s="36">
        <v>80</v>
      </c>
      <c r="L4439" s="42">
        <f>(37.2*(1-O3/100))/0.75</f>
        <v>49.6</v>
      </c>
      <c r="M4439" s="12"/>
      <c r="N4439" s="40">
        <f t="shared" si="216"/>
        <v>0</v>
      </c>
      <c r="O4439" s="43">
        <f>0.111*M4439</f>
        <v>0</v>
      </c>
      <c r="P4439" s="47">
        <f>0.00025*M4439</f>
        <v>0</v>
      </c>
      <c r="Q4439" s="44"/>
      <c r="R4439" s="45" t="s">
        <v>14148</v>
      </c>
      <c r="S4439" s="45" t="s">
        <v>93</v>
      </c>
      <c r="T4439" s="37" t="str">
        <f>HYPERLINK("https://kanzpp.ru/api/getInfo/image/bfd41d62-a40f-11f0-a286-00155d82e908")</f>
        <v>https://kanzpp.ru/api/getInfo/image/bfd41d62-a40f-11f0-a286-00155d82e908</v>
      </c>
      <c r="U4439" s="37"/>
    </row>
    <row r="4440" spans="2:22" ht="21" customHeight="1" outlineLevel="5" x14ac:dyDescent="0.2">
      <c r="B4440" s="71">
        <v>3369</v>
      </c>
      <c r="C4440" s="37" t="s">
        <v>14149</v>
      </c>
      <c r="D4440" s="37" t="s">
        <v>14150</v>
      </c>
      <c r="E4440" s="38" t="s">
        <v>14151</v>
      </c>
      <c r="F4440" s="39"/>
      <c r="G4440" s="40"/>
      <c r="H4440" s="41">
        <v>80</v>
      </c>
      <c r="I4440" s="41">
        <v>10</v>
      </c>
      <c r="J4440" s="41">
        <v>220</v>
      </c>
      <c r="K4440" s="36">
        <v>80</v>
      </c>
      <c r="L4440" s="42">
        <f>(37.2*(1-O3/100))/0.75</f>
        <v>49.6</v>
      </c>
      <c r="M4440" s="12"/>
      <c r="N4440" s="40">
        <f t="shared" si="216"/>
        <v>0</v>
      </c>
      <c r="O4440" s="43">
        <f>0.111*M4440</f>
        <v>0</v>
      </c>
      <c r="P4440" s="47">
        <f>0.00025*M4440</f>
        <v>0</v>
      </c>
      <c r="Q4440" s="44"/>
      <c r="R4440" s="45" t="s">
        <v>14152</v>
      </c>
      <c r="S4440" s="45" t="s">
        <v>93</v>
      </c>
      <c r="T4440" s="37" t="str">
        <f>HYPERLINK("https://kanzpp.ru/api/getInfo/image/d2d6c84c-a40f-11f0-a286-00155d82e908")</f>
        <v>https://kanzpp.ru/api/getInfo/image/d2d6c84c-a40f-11f0-a286-00155d82e908</v>
      </c>
      <c r="U4440" s="37"/>
    </row>
    <row r="4441" spans="2:22" ht="21" customHeight="1" outlineLevel="5" x14ac:dyDescent="0.2">
      <c r="B4441" s="71">
        <v>3370</v>
      </c>
      <c r="C4441" s="37" t="s">
        <v>14153</v>
      </c>
      <c r="D4441" s="37" t="s">
        <v>14154</v>
      </c>
      <c r="E4441" s="38" t="s">
        <v>14155</v>
      </c>
      <c r="F4441" s="39"/>
      <c r="G4441" s="40"/>
      <c r="H4441" s="41">
        <v>80</v>
      </c>
      <c r="I4441" s="41">
        <v>10</v>
      </c>
      <c r="J4441" s="50">
        <v>1340</v>
      </c>
      <c r="K4441" s="36">
        <v>80</v>
      </c>
      <c r="L4441" s="42">
        <f>(37.2*(1-O3/100))/0.75</f>
        <v>49.6</v>
      </c>
      <c r="M4441" s="12"/>
      <c r="N4441" s="40">
        <f t="shared" si="216"/>
        <v>0</v>
      </c>
      <c r="O4441" s="43">
        <f>0.111*M4441</f>
        <v>0</v>
      </c>
      <c r="P4441" s="47">
        <f>0.00025*M4441</f>
        <v>0</v>
      </c>
      <c r="Q4441" s="44"/>
      <c r="R4441" s="45" t="s">
        <v>14156</v>
      </c>
      <c r="S4441" s="45" t="s">
        <v>93</v>
      </c>
      <c r="T4441" s="37" t="str">
        <f>HYPERLINK("https://kanzpp.ru/api/getInfo/image/e48f1860-a40f-11f0-a286-00155d82e908")</f>
        <v>https://kanzpp.ru/api/getInfo/image/e48f1860-a40f-11f0-a286-00155d82e908</v>
      </c>
      <c r="U4441" s="37"/>
    </row>
    <row r="4442" spans="2:22" ht="21" customHeight="1" outlineLevel="5" x14ac:dyDescent="0.2">
      <c r="B4442" s="71">
        <v>3371</v>
      </c>
      <c r="C4442" s="37" t="s">
        <v>14157</v>
      </c>
      <c r="D4442" s="37" t="s">
        <v>14158</v>
      </c>
      <c r="E4442" s="38" t="s">
        <v>14159</v>
      </c>
      <c r="F4442" s="39"/>
      <c r="G4442" s="40"/>
      <c r="H4442" s="41">
        <v>80</v>
      </c>
      <c r="I4442" s="41">
        <v>10</v>
      </c>
      <c r="J4442" s="41">
        <v>870</v>
      </c>
      <c r="K4442" s="36">
        <v>80</v>
      </c>
      <c r="L4442" s="42">
        <f>(37.2*(1-O3/100))/0.75</f>
        <v>49.6</v>
      </c>
      <c r="M4442" s="12"/>
      <c r="N4442" s="40">
        <f t="shared" si="216"/>
        <v>0</v>
      </c>
      <c r="O4442" s="43">
        <f>0.108*M4442</f>
        <v>0</v>
      </c>
      <c r="P4442" s="47">
        <f>0.00017*M4442</f>
        <v>0</v>
      </c>
      <c r="Q4442" s="44"/>
      <c r="R4442" s="45" t="s">
        <v>14160</v>
      </c>
      <c r="S4442" s="45" t="s">
        <v>93</v>
      </c>
      <c r="T4442" s="37" t="str">
        <f>HYPERLINK("https://kanzpp.ru/api/getInfo/image/1d027a0c-a410-11f0-a286-00155d82e908")</f>
        <v>https://kanzpp.ru/api/getInfo/image/1d027a0c-a410-11f0-a286-00155d82e908</v>
      </c>
      <c r="U4442" s="37"/>
    </row>
    <row r="4443" spans="2:22" ht="21" customHeight="1" outlineLevel="5" x14ac:dyDescent="0.2">
      <c r="B4443" s="71">
        <v>3372</v>
      </c>
      <c r="C4443" s="37" t="s">
        <v>14161</v>
      </c>
      <c r="D4443" s="37" t="s">
        <v>14162</v>
      </c>
      <c r="E4443" s="38" t="s">
        <v>14163</v>
      </c>
      <c r="F4443" s="39"/>
      <c r="G4443" s="40"/>
      <c r="H4443" s="41">
        <v>80</v>
      </c>
      <c r="I4443" s="41">
        <v>10</v>
      </c>
      <c r="J4443" s="50">
        <v>3570</v>
      </c>
      <c r="K4443" s="36">
        <v>80</v>
      </c>
      <c r="L4443" s="42">
        <f>(37.2*(1-O3/100))/0.75</f>
        <v>49.6</v>
      </c>
      <c r="M4443" s="12"/>
      <c r="N4443" s="40">
        <f t="shared" si="216"/>
        <v>0</v>
      </c>
      <c r="O4443" s="43">
        <f>0.108*M4443</f>
        <v>0</v>
      </c>
      <c r="P4443" s="47">
        <f>0.00017*M4443</f>
        <v>0</v>
      </c>
      <c r="Q4443" s="44"/>
      <c r="R4443" s="45" t="s">
        <v>14164</v>
      </c>
      <c r="S4443" s="45" t="s">
        <v>93</v>
      </c>
      <c r="T4443" s="37" t="str">
        <f>HYPERLINK("https://kanzpp.ru/api/getInfo/image/338106e8-a410-11f0-a286-00155d82e908")</f>
        <v>https://kanzpp.ru/api/getInfo/image/338106e8-a410-11f0-a286-00155d82e908</v>
      </c>
      <c r="U4443" s="37"/>
    </row>
    <row r="4444" spans="2:22" ht="21" customHeight="1" outlineLevel="5" x14ac:dyDescent="0.2">
      <c r="B4444" s="71">
        <v>3373</v>
      </c>
      <c r="C4444" s="37" t="s">
        <v>14165</v>
      </c>
      <c r="D4444" s="37" t="s">
        <v>14166</v>
      </c>
      <c r="E4444" s="38" t="s">
        <v>14167</v>
      </c>
      <c r="F4444" s="39"/>
      <c r="G4444" s="40"/>
      <c r="H4444" s="41">
        <v>80</v>
      </c>
      <c r="I4444" s="41">
        <v>10</v>
      </c>
      <c r="J4444" s="50">
        <v>2380</v>
      </c>
      <c r="K4444" s="36">
        <v>80</v>
      </c>
      <c r="L4444" s="42">
        <f>(37.2*(1-O3/100))/0.75</f>
        <v>49.6</v>
      </c>
      <c r="M4444" s="12"/>
      <c r="N4444" s="40">
        <f t="shared" si="216"/>
        <v>0</v>
      </c>
      <c r="O4444" s="43">
        <f>0.111*M4444</f>
        <v>0</v>
      </c>
      <c r="P4444" s="47">
        <f>0.00025*M4444</f>
        <v>0</v>
      </c>
      <c r="Q4444" s="44"/>
      <c r="R4444" s="45" t="s">
        <v>14168</v>
      </c>
      <c r="S4444" s="45" t="s">
        <v>93</v>
      </c>
      <c r="T4444" s="37" t="str">
        <f>HYPERLINK("https://kanzpp.ru/api/getInfo/image/4643c314-a410-11f0-a286-00155d82e908")</f>
        <v>https://kanzpp.ru/api/getInfo/image/4643c314-a410-11f0-a286-00155d82e908</v>
      </c>
      <c r="U4444" s="37"/>
    </row>
    <row r="4445" spans="2:22" ht="21" customHeight="1" outlineLevel="5" x14ac:dyDescent="0.2">
      <c r="B4445" s="71">
        <v>3374</v>
      </c>
      <c r="C4445" s="37" t="s">
        <v>14169</v>
      </c>
      <c r="D4445" s="37" t="s">
        <v>14170</v>
      </c>
      <c r="E4445" s="38" t="s">
        <v>14171</v>
      </c>
      <c r="F4445" s="39"/>
      <c r="G4445" s="40"/>
      <c r="H4445" s="41">
        <v>80</v>
      </c>
      <c r="I4445" s="41">
        <v>10</v>
      </c>
      <c r="J4445" s="50">
        <v>4330</v>
      </c>
      <c r="K4445" s="36">
        <v>80</v>
      </c>
      <c r="L4445" s="42">
        <f>(37.2*(1-O3/100))/0.75</f>
        <v>49.6</v>
      </c>
      <c r="M4445" s="12"/>
      <c r="N4445" s="40">
        <f t="shared" si="216"/>
        <v>0</v>
      </c>
      <c r="O4445" s="43">
        <f>0.111*M4445</f>
        <v>0</v>
      </c>
      <c r="P4445" s="47">
        <f>0.00025*M4445</f>
        <v>0</v>
      </c>
      <c r="Q4445" s="44"/>
      <c r="R4445" s="45" t="s">
        <v>14172</v>
      </c>
      <c r="S4445" s="45" t="s">
        <v>93</v>
      </c>
      <c r="T4445" s="37" t="str">
        <f>HYPERLINK("https://kanzpp.ru/api/getInfo/image/5b12f170-a410-11f0-a286-00155d82e908")</f>
        <v>https://kanzpp.ru/api/getInfo/image/5b12f170-a410-11f0-a286-00155d82e908</v>
      </c>
      <c r="U4445" s="37"/>
    </row>
    <row r="4446" spans="2:22" ht="21" customHeight="1" outlineLevel="5" x14ac:dyDescent="0.2">
      <c r="B4446" s="71">
        <v>3375</v>
      </c>
      <c r="C4446" s="37" t="s">
        <v>14173</v>
      </c>
      <c r="D4446" s="37" t="s">
        <v>14174</v>
      </c>
      <c r="E4446" s="38" t="s">
        <v>14175</v>
      </c>
      <c r="F4446" s="39"/>
      <c r="G4446" s="40"/>
      <c r="H4446" s="41">
        <v>80</v>
      </c>
      <c r="I4446" s="41">
        <v>10</v>
      </c>
      <c r="J4446" s="41">
        <v>470</v>
      </c>
      <c r="K4446" s="36">
        <v>80</v>
      </c>
      <c r="L4446" s="42">
        <f>(37.2*(1-O3/100))/0.75</f>
        <v>49.6</v>
      </c>
      <c r="M4446" s="12"/>
      <c r="N4446" s="40">
        <f t="shared" si="216"/>
        <v>0</v>
      </c>
      <c r="O4446" s="48">
        <f>0.11*M4446</f>
        <v>0</v>
      </c>
      <c r="P4446" s="47">
        <f>0.00025*M4446</f>
        <v>0</v>
      </c>
      <c r="Q4446" s="44"/>
      <c r="R4446" s="45" t="s">
        <v>14176</v>
      </c>
      <c r="S4446" s="45" t="s">
        <v>93</v>
      </c>
      <c r="T4446" s="37" t="str">
        <f>HYPERLINK("https://kanzpp.ru/api/getInfo/image/6f7ea323-a410-11f0-a286-00155d82e908")</f>
        <v>https://kanzpp.ru/api/getInfo/image/6f7ea323-a410-11f0-a286-00155d82e908</v>
      </c>
      <c r="U4446" s="37"/>
    </row>
    <row r="4447" spans="2:22" ht="21" customHeight="1" outlineLevel="5" x14ac:dyDescent="0.2">
      <c r="B4447" s="71">
        <v>3376</v>
      </c>
      <c r="C4447" s="37" t="s">
        <v>14177</v>
      </c>
      <c r="D4447" s="37" t="s">
        <v>14178</v>
      </c>
      <c r="E4447" s="38" t="s">
        <v>14179</v>
      </c>
      <c r="F4447" s="39"/>
      <c r="G4447" s="40"/>
      <c r="H4447" s="41">
        <v>80</v>
      </c>
      <c r="I4447" s="41">
        <v>10</v>
      </c>
      <c r="J4447" s="41">
        <v>790</v>
      </c>
      <c r="K4447" s="36">
        <v>80</v>
      </c>
      <c r="L4447" s="42">
        <f>(37.2*(1-O3/100))/0.75</f>
        <v>49.6</v>
      </c>
      <c r="M4447" s="12"/>
      <c r="N4447" s="40">
        <f t="shared" si="216"/>
        <v>0</v>
      </c>
      <c r="O4447" s="43">
        <f>0.108*M4447</f>
        <v>0</v>
      </c>
      <c r="P4447" s="47">
        <f>0.00021*M4447</f>
        <v>0</v>
      </c>
      <c r="Q4447" s="44"/>
      <c r="R4447" s="45" t="s">
        <v>14180</v>
      </c>
      <c r="S4447" s="45" t="s">
        <v>93</v>
      </c>
      <c r="T4447" s="37" t="str">
        <f>HYPERLINK("https://kanzpp.ru/api/getInfo/image/836d5cb0-a410-11f0-a286-00155d82e908")</f>
        <v>https://kanzpp.ru/api/getInfo/image/836d5cb0-a410-11f0-a286-00155d82e908</v>
      </c>
      <c r="U4447" s="37"/>
    </row>
    <row r="4448" spans="2:22" ht="21" customHeight="1" outlineLevel="5" x14ac:dyDescent="0.2">
      <c r="B4448" s="71">
        <v>3377</v>
      </c>
      <c r="C4448" s="37" t="s">
        <v>14181</v>
      </c>
      <c r="D4448" s="37" t="s">
        <v>14182</v>
      </c>
      <c r="E4448" s="38" t="s">
        <v>14183</v>
      </c>
      <c r="F4448" s="39"/>
      <c r="G4448" s="40"/>
      <c r="H4448" s="41">
        <v>80</v>
      </c>
      <c r="I4448" s="41">
        <v>10</v>
      </c>
      <c r="J4448" s="50">
        <v>2140</v>
      </c>
      <c r="K4448" s="36">
        <v>80</v>
      </c>
      <c r="L4448" s="42">
        <f>(37.2*(1-O3/100))/0.75</f>
        <v>49.6</v>
      </c>
      <c r="M4448" s="12"/>
      <c r="N4448" s="40">
        <f t="shared" si="216"/>
        <v>0</v>
      </c>
      <c r="O4448" s="43">
        <f>0.104*M4448</f>
        <v>0</v>
      </c>
      <c r="P4448" s="47">
        <f>0.00024*M4448</f>
        <v>0</v>
      </c>
      <c r="Q4448" s="44"/>
      <c r="R4448" s="45" t="s">
        <v>14184</v>
      </c>
      <c r="S4448" s="45" t="s">
        <v>93</v>
      </c>
      <c r="T4448" s="37" t="str">
        <f>HYPERLINK("https://kanzpp.ru/api/getInfo/image/9b899495-a410-11f0-a286-00155d82e908")</f>
        <v>https://kanzpp.ru/api/getInfo/image/9b899495-a410-11f0-a286-00155d82e908</v>
      </c>
      <c r="U4448" s="37"/>
    </row>
    <row r="4449" spans="2:21" ht="21" customHeight="1" outlineLevel="5" x14ac:dyDescent="0.2">
      <c r="B4449" s="71">
        <v>3378</v>
      </c>
      <c r="C4449" s="37" t="s">
        <v>14185</v>
      </c>
      <c r="D4449" s="37" t="s">
        <v>14186</v>
      </c>
      <c r="E4449" s="38" t="s">
        <v>14187</v>
      </c>
      <c r="F4449" s="39"/>
      <c r="G4449" s="40"/>
      <c r="H4449" s="41">
        <v>80</v>
      </c>
      <c r="I4449" s="41">
        <v>10</v>
      </c>
      <c r="J4449" s="41">
        <v>850</v>
      </c>
      <c r="K4449" s="36">
        <v>80</v>
      </c>
      <c r="L4449" s="42">
        <f>(37.2*(1-O3/100))/0.75</f>
        <v>49.6</v>
      </c>
      <c r="M4449" s="12"/>
      <c r="N4449" s="40">
        <f t="shared" si="216"/>
        <v>0</v>
      </c>
      <c r="O4449" s="43">
        <f>0.105*M4449</f>
        <v>0</v>
      </c>
      <c r="P4449" s="47">
        <f>0.00021*M4449</f>
        <v>0</v>
      </c>
      <c r="Q4449" s="44"/>
      <c r="R4449" s="45" t="s">
        <v>14188</v>
      </c>
      <c r="S4449" s="45" t="s">
        <v>93</v>
      </c>
      <c r="T4449" s="37" t="str">
        <f>HYPERLINK("https://kanzpp.ru/api/getInfo/image/b1a5dd20-a410-11f0-a286-00155d82e908")</f>
        <v>https://kanzpp.ru/api/getInfo/image/b1a5dd20-a410-11f0-a286-00155d82e908</v>
      </c>
      <c r="U4449" s="37"/>
    </row>
    <row r="4450" spans="2:21" ht="22.95" customHeight="1" outlineLevel="4" x14ac:dyDescent="0.2">
      <c r="B4450" s="82" t="s">
        <v>14189</v>
      </c>
      <c r="C4450" s="82"/>
      <c r="D4450" s="82"/>
      <c r="L4450">
        <v>0</v>
      </c>
    </row>
    <row r="4451" spans="2:21" ht="21" customHeight="1" outlineLevel="5" x14ac:dyDescent="0.2">
      <c r="B4451" s="71">
        <v>3379</v>
      </c>
      <c r="C4451" s="37" t="s">
        <v>14190</v>
      </c>
      <c r="D4451" s="37" t="s">
        <v>14191</v>
      </c>
      <c r="E4451" s="38" t="s">
        <v>14192</v>
      </c>
      <c r="F4451" s="39"/>
      <c r="G4451" s="40"/>
      <c r="H4451" s="41">
        <v>80</v>
      </c>
      <c r="I4451" s="41">
        <v>10</v>
      </c>
      <c r="J4451" s="50">
        <v>4629</v>
      </c>
      <c r="K4451" s="36">
        <v>80</v>
      </c>
      <c r="L4451" s="42">
        <f>(37.2*(1-O3/100))/0.75</f>
        <v>49.6</v>
      </c>
      <c r="M4451" s="12"/>
      <c r="N4451" s="40">
        <f t="shared" ref="N4451:N4461" si="217">L4451*M4451</f>
        <v>0</v>
      </c>
      <c r="O4451" s="43">
        <f>0.105*M4451</f>
        <v>0</v>
      </c>
      <c r="P4451" s="47">
        <f>0.00031*M4451</f>
        <v>0</v>
      </c>
      <c r="Q4451" s="44"/>
      <c r="R4451" s="45" t="s">
        <v>14193</v>
      </c>
      <c r="S4451" s="45" t="s">
        <v>93</v>
      </c>
      <c r="T4451" s="37" t="str">
        <f>HYPERLINK("https://kanzpp.ru/api/getInfo/image/87a46f26-a416-11f0-a286-00155d82e908")</f>
        <v>https://kanzpp.ru/api/getInfo/image/87a46f26-a416-11f0-a286-00155d82e908</v>
      </c>
      <c r="U4451" s="37"/>
    </row>
    <row r="4452" spans="2:21" ht="21" customHeight="1" outlineLevel="5" x14ac:dyDescent="0.2">
      <c r="B4452" s="71">
        <v>3380</v>
      </c>
      <c r="C4452" s="37" t="s">
        <v>14194</v>
      </c>
      <c r="D4452" s="37" t="s">
        <v>14195</v>
      </c>
      <c r="E4452" s="38" t="s">
        <v>14196</v>
      </c>
      <c r="F4452" s="39"/>
      <c r="G4452" s="40"/>
      <c r="H4452" s="41">
        <v>80</v>
      </c>
      <c r="I4452" s="41">
        <v>10</v>
      </c>
      <c r="J4452" s="50">
        <v>1599</v>
      </c>
      <c r="K4452" s="36">
        <v>80</v>
      </c>
      <c r="L4452" s="42">
        <f>(37.2*(1-O3/100))/0.75</f>
        <v>49.6</v>
      </c>
      <c r="M4452" s="12"/>
      <c r="N4452" s="40">
        <f t="shared" si="217"/>
        <v>0</v>
      </c>
      <c r="O4452" s="43">
        <f>0.105*M4452</f>
        <v>0</v>
      </c>
      <c r="P4452" s="47">
        <f>0.00031*M4452</f>
        <v>0</v>
      </c>
      <c r="Q4452" s="44"/>
      <c r="R4452" s="45" t="s">
        <v>14197</v>
      </c>
      <c r="S4452" s="45" t="s">
        <v>93</v>
      </c>
      <c r="T4452" s="37" t="str">
        <f>HYPERLINK("https://kanzpp.ru/api/getInfo/image/f1c0eb79-a416-11f0-a286-00155d82e908")</f>
        <v>https://kanzpp.ru/api/getInfo/image/f1c0eb79-a416-11f0-a286-00155d82e908</v>
      </c>
      <c r="U4452" s="37"/>
    </row>
    <row r="4453" spans="2:21" ht="21" customHeight="1" outlineLevel="5" x14ac:dyDescent="0.2">
      <c r="B4453" s="71">
        <v>3381</v>
      </c>
      <c r="C4453" s="37" t="s">
        <v>14198</v>
      </c>
      <c r="D4453" s="37" t="s">
        <v>14199</v>
      </c>
      <c r="E4453" s="38" t="s">
        <v>14200</v>
      </c>
      <c r="F4453" s="39"/>
      <c r="G4453" s="40"/>
      <c r="H4453" s="41">
        <v>80</v>
      </c>
      <c r="I4453" s="41">
        <v>10</v>
      </c>
      <c r="J4453" s="41">
        <v>799</v>
      </c>
      <c r="K4453" s="36">
        <v>80</v>
      </c>
      <c r="L4453" s="42">
        <f>(37.2*(1-O3/100))/0.75</f>
        <v>49.6</v>
      </c>
      <c r="M4453" s="12"/>
      <c r="N4453" s="40">
        <f t="shared" si="217"/>
        <v>0</v>
      </c>
      <c r="O4453" s="43">
        <f>0.109*M4453</f>
        <v>0</v>
      </c>
      <c r="P4453" s="47">
        <f>0.00011*M4453</f>
        <v>0</v>
      </c>
      <c r="Q4453" s="44"/>
      <c r="R4453" s="45" t="s">
        <v>14201</v>
      </c>
      <c r="S4453" s="45" t="s">
        <v>93</v>
      </c>
      <c r="T4453" s="37" t="str">
        <f>HYPERLINK("https://kanzpp.ru/api/getInfo/image/04512539-a417-11f0-a286-00155d82e908")</f>
        <v>https://kanzpp.ru/api/getInfo/image/04512539-a417-11f0-a286-00155d82e908</v>
      </c>
      <c r="U4453" s="37"/>
    </row>
    <row r="4454" spans="2:21" ht="21" customHeight="1" outlineLevel="5" x14ac:dyDescent="0.2">
      <c r="B4454" s="71">
        <v>3382</v>
      </c>
      <c r="C4454" s="37" t="s">
        <v>14202</v>
      </c>
      <c r="D4454" s="37" t="s">
        <v>14203</v>
      </c>
      <c r="E4454" s="38" t="s">
        <v>14204</v>
      </c>
      <c r="F4454" s="39"/>
      <c r="G4454" s="40"/>
      <c r="H4454" s="41">
        <v>80</v>
      </c>
      <c r="I4454" s="41">
        <v>10</v>
      </c>
      <c r="J4454" s="50">
        <v>3579</v>
      </c>
      <c r="K4454" s="36">
        <v>80</v>
      </c>
      <c r="L4454" s="42">
        <f>(37.2*(1-O3/100))/0.75</f>
        <v>49.6</v>
      </c>
      <c r="M4454" s="12"/>
      <c r="N4454" s="40">
        <f t="shared" si="217"/>
        <v>0</v>
      </c>
      <c r="O4454" s="43">
        <f>0.109*M4454</f>
        <v>0</v>
      </c>
      <c r="P4454" s="47">
        <f>0.00011*M4454</f>
        <v>0</v>
      </c>
      <c r="Q4454" s="44"/>
      <c r="R4454" s="45" t="s">
        <v>14205</v>
      </c>
      <c r="S4454" s="45" t="s">
        <v>93</v>
      </c>
      <c r="T4454" s="37" t="str">
        <f>HYPERLINK("https://kanzpp.ru/api/getInfo/image/1ac9221f-a417-11f0-a286-00155d82e908")</f>
        <v>https://kanzpp.ru/api/getInfo/image/1ac9221f-a417-11f0-a286-00155d82e908</v>
      </c>
      <c r="U4454" s="37"/>
    </row>
    <row r="4455" spans="2:21" ht="21" customHeight="1" outlineLevel="5" x14ac:dyDescent="0.2">
      <c r="B4455" s="71">
        <v>3383</v>
      </c>
      <c r="C4455" s="37" t="s">
        <v>14206</v>
      </c>
      <c r="D4455" s="37" t="s">
        <v>14207</v>
      </c>
      <c r="E4455" s="38" t="s">
        <v>14208</v>
      </c>
      <c r="F4455" s="39"/>
      <c r="G4455" s="40"/>
      <c r="H4455" s="41">
        <v>80</v>
      </c>
      <c r="I4455" s="41">
        <v>10</v>
      </c>
      <c r="J4455" s="50">
        <v>3740</v>
      </c>
      <c r="K4455" s="36">
        <v>80</v>
      </c>
      <c r="L4455" s="42">
        <f>(37.2*(1-O3/100))/0.75</f>
        <v>49.6</v>
      </c>
      <c r="M4455" s="12"/>
      <c r="N4455" s="40">
        <f t="shared" si="217"/>
        <v>0</v>
      </c>
      <c r="O4455" s="43">
        <f>0.109*M4455</f>
        <v>0</v>
      </c>
      <c r="P4455" s="47">
        <f>0.00011*M4455</f>
        <v>0</v>
      </c>
      <c r="Q4455" s="44"/>
      <c r="R4455" s="45" t="s">
        <v>14209</v>
      </c>
      <c r="S4455" s="45" t="s">
        <v>93</v>
      </c>
      <c r="T4455" s="37" t="str">
        <f>HYPERLINK("https://kanzpp.ru/api/getInfo/image/56098806-a417-11f0-a286-00155d82e908")</f>
        <v>https://kanzpp.ru/api/getInfo/image/56098806-a417-11f0-a286-00155d82e908</v>
      </c>
      <c r="U4455" s="37"/>
    </row>
    <row r="4456" spans="2:21" ht="21" customHeight="1" outlineLevel="5" x14ac:dyDescent="0.2">
      <c r="B4456" s="71">
        <v>3384</v>
      </c>
      <c r="C4456" s="37" t="s">
        <v>14210</v>
      </c>
      <c r="D4456" s="37" t="s">
        <v>14211</v>
      </c>
      <c r="E4456" s="38" t="s">
        <v>14212</v>
      </c>
      <c r="F4456" s="39"/>
      <c r="G4456" s="40"/>
      <c r="H4456" s="41">
        <v>80</v>
      </c>
      <c r="I4456" s="41">
        <v>10</v>
      </c>
      <c r="J4456" s="50">
        <v>1500</v>
      </c>
      <c r="K4456" s="36">
        <v>80</v>
      </c>
      <c r="L4456" s="42">
        <f>(37.2*(1-O3/100))/0.75</f>
        <v>49.6</v>
      </c>
      <c r="M4456" s="12"/>
      <c r="N4456" s="40">
        <f t="shared" si="217"/>
        <v>0</v>
      </c>
      <c r="O4456" s="43">
        <f>0.109*M4456</f>
        <v>0</v>
      </c>
      <c r="P4456" s="47">
        <f>0.00011*M4456</f>
        <v>0</v>
      </c>
      <c r="Q4456" s="44"/>
      <c r="R4456" s="45" t="s">
        <v>14213</v>
      </c>
      <c r="S4456" s="45" t="s">
        <v>93</v>
      </c>
      <c r="T4456" s="37" t="str">
        <f>HYPERLINK("https://kanzpp.ru/api/getInfo/image/69c34ec2-a417-11f0-a286-00155d82e908")</f>
        <v>https://kanzpp.ru/api/getInfo/image/69c34ec2-a417-11f0-a286-00155d82e908</v>
      </c>
      <c r="U4456" s="37"/>
    </row>
    <row r="4457" spans="2:21" ht="21" customHeight="1" outlineLevel="5" x14ac:dyDescent="0.2">
      <c r="B4457" s="71">
        <v>3385</v>
      </c>
      <c r="C4457" s="37" t="s">
        <v>14214</v>
      </c>
      <c r="D4457" s="37" t="s">
        <v>14215</v>
      </c>
      <c r="E4457" s="38" t="s">
        <v>14216</v>
      </c>
      <c r="F4457" s="39"/>
      <c r="G4457" s="40"/>
      <c r="H4457" s="41">
        <v>80</v>
      </c>
      <c r="I4457" s="41">
        <v>10</v>
      </c>
      <c r="J4457" s="50">
        <v>4059</v>
      </c>
      <c r="K4457" s="36">
        <v>80</v>
      </c>
      <c r="L4457" s="42">
        <f>(37.2*(1-O3/100))/0.75</f>
        <v>49.6</v>
      </c>
      <c r="M4457" s="12"/>
      <c r="N4457" s="40">
        <f t="shared" si="217"/>
        <v>0</v>
      </c>
      <c r="O4457" s="43">
        <f>0.105*M4457</f>
        <v>0</v>
      </c>
      <c r="P4457" s="47">
        <f>0.00031*M4457</f>
        <v>0</v>
      </c>
      <c r="Q4457" s="44"/>
      <c r="R4457" s="45" t="s">
        <v>14217</v>
      </c>
      <c r="S4457" s="45" t="s">
        <v>93</v>
      </c>
      <c r="T4457" s="37" t="str">
        <f>HYPERLINK("https://kanzpp.ru/api/getInfo/image/7d2f69fa-a417-11f0-a286-00155d82e908")</f>
        <v>https://kanzpp.ru/api/getInfo/image/7d2f69fa-a417-11f0-a286-00155d82e908</v>
      </c>
      <c r="U4457" s="37"/>
    </row>
    <row r="4458" spans="2:21" ht="21" customHeight="1" outlineLevel="5" x14ac:dyDescent="0.2">
      <c r="B4458" s="71">
        <v>3386</v>
      </c>
      <c r="C4458" s="37" t="s">
        <v>14218</v>
      </c>
      <c r="D4458" s="37" t="s">
        <v>14219</v>
      </c>
      <c r="E4458" s="38" t="s">
        <v>14220</v>
      </c>
      <c r="F4458" s="39"/>
      <c r="G4458" s="40"/>
      <c r="H4458" s="41">
        <v>80</v>
      </c>
      <c r="I4458" s="41">
        <v>10</v>
      </c>
      <c r="J4458" s="50">
        <v>2459</v>
      </c>
      <c r="K4458" s="36">
        <v>80</v>
      </c>
      <c r="L4458" s="42">
        <f>(37.2*(1-O3/100))/0.75</f>
        <v>49.6</v>
      </c>
      <c r="M4458" s="12"/>
      <c r="N4458" s="40">
        <f t="shared" si="217"/>
        <v>0</v>
      </c>
      <c r="O4458" s="43">
        <f>0.105*M4458</f>
        <v>0</v>
      </c>
      <c r="P4458" s="47">
        <f>0.00031*M4458</f>
        <v>0</v>
      </c>
      <c r="Q4458" s="44"/>
      <c r="R4458" s="45" t="s">
        <v>14221</v>
      </c>
      <c r="S4458" s="45" t="s">
        <v>93</v>
      </c>
      <c r="T4458" s="37" t="str">
        <f>HYPERLINK("https://kanzpp.ru/api/getInfo/image/8f91681d-a417-11f0-a286-00155d82e908")</f>
        <v>https://kanzpp.ru/api/getInfo/image/8f91681d-a417-11f0-a286-00155d82e908</v>
      </c>
      <c r="U4458" s="37"/>
    </row>
    <row r="4459" spans="2:21" ht="21" customHeight="1" outlineLevel="5" x14ac:dyDescent="0.2">
      <c r="B4459" s="71">
        <v>3387</v>
      </c>
      <c r="C4459" s="37" t="s">
        <v>14222</v>
      </c>
      <c r="D4459" s="37" t="s">
        <v>14223</v>
      </c>
      <c r="E4459" s="38" t="s">
        <v>14224</v>
      </c>
      <c r="F4459" s="39"/>
      <c r="G4459" s="40"/>
      <c r="H4459" s="41">
        <v>80</v>
      </c>
      <c r="I4459" s="41">
        <v>10</v>
      </c>
      <c r="J4459" s="50">
        <v>4139</v>
      </c>
      <c r="K4459" s="36">
        <v>80</v>
      </c>
      <c r="L4459" s="42">
        <f>(37.2*(1-O3/100))/0.75</f>
        <v>49.6</v>
      </c>
      <c r="M4459" s="12"/>
      <c r="N4459" s="40">
        <f t="shared" si="217"/>
        <v>0</v>
      </c>
      <c r="O4459" s="43">
        <f>0.105*M4459</f>
        <v>0</v>
      </c>
      <c r="P4459" s="47">
        <f>0.00031*M4459</f>
        <v>0</v>
      </c>
      <c r="Q4459" s="44"/>
      <c r="R4459" s="45" t="s">
        <v>14225</v>
      </c>
      <c r="S4459" s="45" t="s">
        <v>93</v>
      </c>
      <c r="T4459" s="37" t="str">
        <f>HYPERLINK("https://kanzpp.ru/api/getInfo/image/a4c377a3-a417-11f0-a286-00155d82e908")</f>
        <v>https://kanzpp.ru/api/getInfo/image/a4c377a3-a417-11f0-a286-00155d82e908</v>
      </c>
      <c r="U4459" s="37"/>
    </row>
    <row r="4460" spans="2:21" ht="21" customHeight="1" outlineLevel="5" x14ac:dyDescent="0.2">
      <c r="B4460" s="71">
        <v>3388</v>
      </c>
      <c r="C4460" s="37" t="s">
        <v>14226</v>
      </c>
      <c r="D4460" s="37" t="s">
        <v>14227</v>
      </c>
      <c r="E4460" s="38" t="s">
        <v>14228</v>
      </c>
      <c r="F4460" s="39"/>
      <c r="G4460" s="40"/>
      <c r="H4460" s="41">
        <v>80</v>
      </c>
      <c r="I4460" s="41">
        <v>10</v>
      </c>
      <c r="J4460" s="50">
        <v>1419</v>
      </c>
      <c r="K4460" s="36">
        <v>80</v>
      </c>
      <c r="L4460" s="42">
        <f>(37.2*(1-O3/100))/0.75</f>
        <v>49.6</v>
      </c>
      <c r="M4460" s="12"/>
      <c r="N4460" s="40">
        <f t="shared" si="217"/>
        <v>0</v>
      </c>
      <c r="O4460" s="43">
        <f>0.111*M4460</f>
        <v>0</v>
      </c>
      <c r="P4460" s="47">
        <f>0.00025*M4460</f>
        <v>0</v>
      </c>
      <c r="Q4460" s="44"/>
      <c r="R4460" s="45" t="s">
        <v>14229</v>
      </c>
      <c r="S4460" s="45" t="s">
        <v>93</v>
      </c>
      <c r="T4460" s="37" t="str">
        <f>HYPERLINK("https://kanzpp.ru/api/getInfo/image/c089313f-a417-11f0-a286-00155d82e908")</f>
        <v>https://kanzpp.ru/api/getInfo/image/c089313f-a417-11f0-a286-00155d82e908</v>
      </c>
      <c r="U4460" s="37"/>
    </row>
    <row r="4461" spans="2:21" ht="21" customHeight="1" outlineLevel="5" x14ac:dyDescent="0.2">
      <c r="B4461" s="71">
        <v>3389</v>
      </c>
      <c r="C4461" s="37" t="s">
        <v>14230</v>
      </c>
      <c r="D4461" s="37" t="s">
        <v>14231</v>
      </c>
      <c r="E4461" s="38" t="s">
        <v>14232</v>
      </c>
      <c r="F4461" s="39"/>
      <c r="G4461" s="40"/>
      <c r="H4461" s="41">
        <v>80</v>
      </c>
      <c r="I4461" s="41">
        <v>10</v>
      </c>
      <c r="J4461" s="41">
        <v>639</v>
      </c>
      <c r="K4461" s="36">
        <v>80</v>
      </c>
      <c r="L4461" s="42">
        <f>(37.2*(1-O3/100))/0.75</f>
        <v>49.6</v>
      </c>
      <c r="M4461" s="12"/>
      <c r="N4461" s="40">
        <f t="shared" si="217"/>
        <v>0</v>
      </c>
      <c r="O4461" s="43">
        <f>0.108*M4461</f>
        <v>0</v>
      </c>
      <c r="P4461" s="47">
        <f>0.00029*M4461</f>
        <v>0</v>
      </c>
      <c r="Q4461" s="44"/>
      <c r="R4461" s="45" t="s">
        <v>14233</v>
      </c>
      <c r="S4461" s="45" t="s">
        <v>93</v>
      </c>
      <c r="T4461" s="37" t="str">
        <f>HYPERLINK("https://kanzpp.ru/api/getInfo/image/d619b441-a417-11f0-a286-00155d82e908")</f>
        <v>https://kanzpp.ru/api/getInfo/image/d619b441-a417-11f0-a286-00155d82e908</v>
      </c>
      <c r="U4461" s="37"/>
    </row>
    <row r="4462" spans="2:21" ht="22.95" customHeight="1" outlineLevel="4" x14ac:dyDescent="0.2">
      <c r="B4462" s="82" t="s">
        <v>14234</v>
      </c>
      <c r="C4462" s="82"/>
      <c r="D4462" s="82"/>
      <c r="L4462">
        <v>0</v>
      </c>
    </row>
    <row r="4463" spans="2:21" ht="21" customHeight="1" outlineLevel="5" x14ac:dyDescent="0.2">
      <c r="B4463" s="71">
        <v>3390</v>
      </c>
      <c r="C4463" s="37" t="s">
        <v>14235</v>
      </c>
      <c r="D4463" s="37" t="s">
        <v>14236</v>
      </c>
      <c r="E4463" s="38" t="s">
        <v>14237</v>
      </c>
      <c r="F4463" s="39"/>
      <c r="G4463" s="40"/>
      <c r="H4463" s="41">
        <v>80</v>
      </c>
      <c r="I4463" s="41">
        <v>10</v>
      </c>
      <c r="J4463" s="50">
        <v>4200</v>
      </c>
      <c r="K4463" s="36">
        <v>80</v>
      </c>
      <c r="L4463" s="42">
        <f>(37.2*(1-O3/100))/0.75</f>
        <v>49.6</v>
      </c>
      <c r="M4463" s="12"/>
      <c r="N4463" s="40">
        <f t="shared" ref="N4463:N4474" si="218">L4463*M4463</f>
        <v>0</v>
      </c>
      <c r="O4463" s="43">
        <f>0.112*M4463</f>
        <v>0</v>
      </c>
      <c r="P4463" s="47">
        <f t="shared" ref="P4463:P4472" si="219">0.00021*M4463</f>
        <v>0</v>
      </c>
      <c r="Q4463" s="44"/>
      <c r="R4463" s="45" t="s">
        <v>14238</v>
      </c>
      <c r="S4463" s="45" t="s">
        <v>93</v>
      </c>
      <c r="T4463" s="37" t="str">
        <f>HYPERLINK("https://kanzpp.ru/api/getInfo/image/6579552b-a414-11f0-a286-00155d82e908")</f>
        <v>https://kanzpp.ru/api/getInfo/image/6579552b-a414-11f0-a286-00155d82e908</v>
      </c>
      <c r="U4463" s="37"/>
    </row>
    <row r="4464" spans="2:21" ht="21" customHeight="1" outlineLevel="5" x14ac:dyDescent="0.2">
      <c r="B4464" s="71">
        <v>3391</v>
      </c>
      <c r="C4464" s="37" t="s">
        <v>14239</v>
      </c>
      <c r="D4464" s="37" t="s">
        <v>14240</v>
      </c>
      <c r="E4464" s="38" t="s">
        <v>14241</v>
      </c>
      <c r="F4464" s="39"/>
      <c r="G4464" s="40"/>
      <c r="H4464" s="41">
        <v>80</v>
      </c>
      <c r="I4464" s="41">
        <v>10</v>
      </c>
      <c r="J4464" s="41">
        <v>320</v>
      </c>
      <c r="K4464" s="36">
        <v>80</v>
      </c>
      <c r="L4464" s="42">
        <f>(37.2*(1-O3/100))/0.75</f>
        <v>49.6</v>
      </c>
      <c r="M4464" s="12"/>
      <c r="N4464" s="40">
        <f t="shared" si="218"/>
        <v>0</v>
      </c>
      <c r="O4464" s="43">
        <f>0.112*M4464</f>
        <v>0</v>
      </c>
      <c r="P4464" s="47">
        <f t="shared" si="219"/>
        <v>0</v>
      </c>
      <c r="Q4464" s="44"/>
      <c r="R4464" s="45" t="s">
        <v>14242</v>
      </c>
      <c r="S4464" s="45" t="s">
        <v>93</v>
      </c>
      <c r="T4464" s="37" t="str">
        <f>HYPERLINK("https://kanzpp.ru/api/getInfo/image/101ffcef-a415-11f0-a286-00155d82e908")</f>
        <v>https://kanzpp.ru/api/getInfo/image/101ffcef-a415-11f0-a286-00155d82e908</v>
      </c>
      <c r="U4464" s="37"/>
    </row>
    <row r="4465" spans="2:22" ht="21" customHeight="1" outlineLevel="5" x14ac:dyDescent="0.2">
      <c r="B4465" s="71">
        <v>3392</v>
      </c>
      <c r="C4465" s="37" t="s">
        <v>14243</v>
      </c>
      <c r="D4465" s="37" t="s">
        <v>14244</v>
      </c>
      <c r="E4465" s="38" t="s">
        <v>14245</v>
      </c>
      <c r="F4465" s="39"/>
      <c r="G4465" s="40"/>
      <c r="H4465" s="41">
        <v>80</v>
      </c>
      <c r="I4465" s="41">
        <v>10</v>
      </c>
      <c r="J4465" s="50">
        <v>1450</v>
      </c>
      <c r="K4465" s="36">
        <v>80</v>
      </c>
      <c r="L4465" s="42">
        <f>(37.2*(1-O3/100))/0.75</f>
        <v>49.6</v>
      </c>
      <c r="M4465" s="12"/>
      <c r="N4465" s="40">
        <f t="shared" si="218"/>
        <v>0</v>
      </c>
      <c r="O4465" s="43">
        <f>0.112*M4465</f>
        <v>0</v>
      </c>
      <c r="P4465" s="47">
        <f t="shared" si="219"/>
        <v>0</v>
      </c>
      <c r="Q4465" s="44"/>
      <c r="R4465" s="45" t="s">
        <v>14246</v>
      </c>
      <c r="S4465" s="45" t="s">
        <v>93</v>
      </c>
      <c r="T4465" s="37" t="str">
        <f>HYPERLINK("https://kanzpp.ru/api/getInfo/image/2291d9b5-a415-11f0-a286-00155d82e908")</f>
        <v>https://kanzpp.ru/api/getInfo/image/2291d9b5-a415-11f0-a286-00155d82e908</v>
      </c>
      <c r="U4465" s="37"/>
    </row>
    <row r="4466" spans="2:22" ht="21" customHeight="1" outlineLevel="5" x14ac:dyDescent="0.2">
      <c r="B4466" s="71">
        <v>3393</v>
      </c>
      <c r="C4466" s="37" t="s">
        <v>14247</v>
      </c>
      <c r="D4466" s="37" t="s">
        <v>14248</v>
      </c>
      <c r="E4466" s="38" t="s">
        <v>14249</v>
      </c>
      <c r="F4466" s="39"/>
      <c r="G4466" s="40"/>
      <c r="H4466" s="41">
        <v>80</v>
      </c>
      <c r="I4466" s="41">
        <v>10</v>
      </c>
      <c r="J4466" s="50">
        <v>1959</v>
      </c>
      <c r="K4466" s="36">
        <v>80</v>
      </c>
      <c r="L4466" s="42">
        <f>(37.2*(1-O3/100))/0.75</f>
        <v>49.6</v>
      </c>
      <c r="M4466" s="12"/>
      <c r="N4466" s="40">
        <f t="shared" si="218"/>
        <v>0</v>
      </c>
      <c r="O4466" s="43">
        <f>0.112*M4466</f>
        <v>0</v>
      </c>
      <c r="P4466" s="47">
        <f t="shared" si="219"/>
        <v>0</v>
      </c>
      <c r="Q4466" s="44"/>
      <c r="R4466" s="45" t="s">
        <v>14250</v>
      </c>
      <c r="S4466" s="45" t="s">
        <v>93</v>
      </c>
      <c r="T4466" s="37" t="str">
        <f>HYPERLINK("https://kanzpp.ru/api/getInfo/image/3dedd50d-a415-11f0-a286-00155d82e908")</f>
        <v>https://kanzpp.ru/api/getInfo/image/3dedd50d-a415-11f0-a286-00155d82e908</v>
      </c>
      <c r="U4466" s="37"/>
    </row>
    <row r="4467" spans="2:22" ht="21" customHeight="1" outlineLevel="5" x14ac:dyDescent="0.2">
      <c r="B4467" s="71">
        <v>3394</v>
      </c>
      <c r="C4467" s="37" t="s">
        <v>14251</v>
      </c>
      <c r="D4467" s="37" t="s">
        <v>14252</v>
      </c>
      <c r="E4467" s="38" t="s">
        <v>14253</v>
      </c>
      <c r="F4467" s="39"/>
      <c r="G4467" s="40"/>
      <c r="H4467" s="41">
        <v>80</v>
      </c>
      <c r="I4467" s="41">
        <v>10</v>
      </c>
      <c r="J4467" s="41">
        <v>380</v>
      </c>
      <c r="K4467" s="36">
        <v>80</v>
      </c>
      <c r="L4467" s="42">
        <f>(37.2*(1-O3/100))/0.75</f>
        <v>49.6</v>
      </c>
      <c r="M4467" s="12"/>
      <c r="N4467" s="40">
        <f t="shared" si="218"/>
        <v>0</v>
      </c>
      <c r="O4467" s="43">
        <f>0.105*M4467</f>
        <v>0</v>
      </c>
      <c r="P4467" s="47">
        <f t="shared" si="219"/>
        <v>0</v>
      </c>
      <c r="Q4467" s="44"/>
      <c r="R4467" s="45" t="s">
        <v>14254</v>
      </c>
      <c r="S4467" s="45" t="s">
        <v>93</v>
      </c>
      <c r="T4467" s="37" t="str">
        <f>HYPERLINK("https://kanzpp.ru/api/getInfo/image/7a123386-a415-11f0-a286-00155d82e908")</f>
        <v>https://kanzpp.ru/api/getInfo/image/7a123386-a415-11f0-a286-00155d82e908</v>
      </c>
      <c r="U4467" s="37"/>
    </row>
    <row r="4468" spans="2:22" ht="21" customHeight="1" outlineLevel="5" x14ac:dyDescent="0.2">
      <c r="B4468" s="71">
        <v>3395</v>
      </c>
      <c r="C4468" s="37" t="s">
        <v>14255</v>
      </c>
      <c r="D4468" s="37" t="s">
        <v>14256</v>
      </c>
      <c r="E4468" s="38" t="s">
        <v>14257</v>
      </c>
      <c r="F4468" s="39"/>
      <c r="G4468" s="40"/>
      <c r="H4468" s="41">
        <v>80</v>
      </c>
      <c r="I4468" s="41">
        <v>10</v>
      </c>
      <c r="J4468" s="50">
        <v>3040</v>
      </c>
      <c r="K4468" s="36">
        <v>80</v>
      </c>
      <c r="L4468" s="42">
        <f>(37.2*(1-O3/100))/0.75</f>
        <v>49.6</v>
      </c>
      <c r="M4468" s="12"/>
      <c r="N4468" s="40">
        <f t="shared" si="218"/>
        <v>0</v>
      </c>
      <c r="O4468" s="43">
        <f>0.112*M4468</f>
        <v>0</v>
      </c>
      <c r="P4468" s="47">
        <f t="shared" si="219"/>
        <v>0</v>
      </c>
      <c r="Q4468" s="44"/>
      <c r="R4468" s="45" t="s">
        <v>14258</v>
      </c>
      <c r="S4468" s="45" t="s">
        <v>93</v>
      </c>
      <c r="T4468" s="37" t="str">
        <f>HYPERLINK("https://kanzpp.ru/api/getInfo/image/8c28829b-a415-11f0-a286-00155d82e908")</f>
        <v>https://kanzpp.ru/api/getInfo/image/8c28829b-a415-11f0-a286-00155d82e908</v>
      </c>
      <c r="U4468" s="37"/>
    </row>
    <row r="4469" spans="2:22" ht="21" customHeight="1" outlineLevel="5" x14ac:dyDescent="0.2">
      <c r="B4469" s="71">
        <v>3396</v>
      </c>
      <c r="C4469" s="37" t="s">
        <v>14259</v>
      </c>
      <c r="D4469" s="37" t="s">
        <v>14260</v>
      </c>
      <c r="E4469" s="38" t="s">
        <v>14261</v>
      </c>
      <c r="F4469" s="39"/>
      <c r="G4469" s="40"/>
      <c r="H4469" s="41">
        <v>80</v>
      </c>
      <c r="I4469" s="41">
        <v>10</v>
      </c>
      <c r="J4469" s="41">
        <v>990</v>
      </c>
      <c r="K4469" s="36">
        <v>80</v>
      </c>
      <c r="L4469" s="42">
        <f>(37.2*(1-O3/100))/0.75</f>
        <v>49.6</v>
      </c>
      <c r="M4469" s="12"/>
      <c r="N4469" s="40">
        <f t="shared" si="218"/>
        <v>0</v>
      </c>
      <c r="O4469" s="43">
        <f>0.112*M4469</f>
        <v>0</v>
      </c>
      <c r="P4469" s="47">
        <f t="shared" si="219"/>
        <v>0</v>
      </c>
      <c r="Q4469" s="44"/>
      <c r="R4469" s="45" t="s">
        <v>14262</v>
      </c>
      <c r="S4469" s="45" t="s">
        <v>93</v>
      </c>
      <c r="T4469" s="37" t="str">
        <f>HYPERLINK("https://kanzpp.ru/api/getInfo/image/a0aa2dc7-a415-11f0-a286-00155d82e908")</f>
        <v>https://kanzpp.ru/api/getInfo/image/a0aa2dc7-a415-11f0-a286-00155d82e908</v>
      </c>
      <c r="U4469" s="37"/>
    </row>
    <row r="4470" spans="2:22" ht="21" customHeight="1" outlineLevel="5" x14ac:dyDescent="0.2">
      <c r="B4470" s="71">
        <v>3397</v>
      </c>
      <c r="C4470" s="37" t="s">
        <v>14263</v>
      </c>
      <c r="D4470" s="37" t="s">
        <v>14264</v>
      </c>
      <c r="E4470" s="38" t="s">
        <v>14265</v>
      </c>
      <c r="F4470" s="39"/>
      <c r="G4470" s="40"/>
      <c r="H4470" s="41">
        <v>80</v>
      </c>
      <c r="I4470" s="41">
        <v>10</v>
      </c>
      <c r="J4470" s="41">
        <v>550</v>
      </c>
      <c r="K4470" s="36">
        <v>80</v>
      </c>
      <c r="L4470" s="42">
        <f>(37.2*(1-O3/100))/0.75</f>
        <v>49.6</v>
      </c>
      <c r="M4470" s="12"/>
      <c r="N4470" s="40">
        <f t="shared" si="218"/>
        <v>0</v>
      </c>
      <c r="O4470" s="43">
        <f>0.105*M4470</f>
        <v>0</v>
      </c>
      <c r="P4470" s="47">
        <f t="shared" si="219"/>
        <v>0</v>
      </c>
      <c r="Q4470" s="44"/>
      <c r="R4470" s="45" t="s">
        <v>14266</v>
      </c>
      <c r="S4470" s="45" t="s">
        <v>93</v>
      </c>
      <c r="T4470" s="37" t="str">
        <f>HYPERLINK("https://kanzpp.ru/api/getInfo/image/b5421fac-a415-11f0-a286-00155d82e908")</f>
        <v>https://kanzpp.ru/api/getInfo/image/b5421fac-a415-11f0-a286-00155d82e908</v>
      </c>
      <c r="U4470" s="37"/>
    </row>
    <row r="4471" spans="2:22" ht="21" customHeight="1" outlineLevel="5" x14ac:dyDescent="0.2">
      <c r="B4471" s="71">
        <v>3398</v>
      </c>
      <c r="C4471" s="37" t="s">
        <v>14267</v>
      </c>
      <c r="D4471" s="37" t="s">
        <v>14268</v>
      </c>
      <c r="E4471" s="38" t="s">
        <v>14269</v>
      </c>
      <c r="F4471" s="39"/>
      <c r="G4471" s="40"/>
      <c r="H4471" s="41">
        <v>80</v>
      </c>
      <c r="I4471" s="41">
        <v>10</v>
      </c>
      <c r="J4471" s="41">
        <v>670</v>
      </c>
      <c r="K4471" s="36">
        <v>80</v>
      </c>
      <c r="L4471" s="42">
        <f>(37.2*(1-O3/100))/0.75</f>
        <v>49.6</v>
      </c>
      <c r="M4471" s="12"/>
      <c r="N4471" s="40">
        <f t="shared" si="218"/>
        <v>0</v>
      </c>
      <c r="O4471" s="43">
        <f>0.112*M4471</f>
        <v>0</v>
      </c>
      <c r="P4471" s="47">
        <f t="shared" si="219"/>
        <v>0</v>
      </c>
      <c r="Q4471" s="44"/>
      <c r="R4471" s="45" t="s">
        <v>14270</v>
      </c>
      <c r="S4471" s="45" t="s">
        <v>93</v>
      </c>
      <c r="T4471" s="37" t="str">
        <f>HYPERLINK("https://kanzpp.ru/api/getInfo/image/ca5e0f1b-a415-11f0-a286-00155d82e908")</f>
        <v>https://kanzpp.ru/api/getInfo/image/ca5e0f1b-a415-11f0-a286-00155d82e908</v>
      </c>
      <c r="U4471" s="37"/>
    </row>
    <row r="4472" spans="2:22" ht="21" customHeight="1" outlineLevel="5" x14ac:dyDescent="0.2">
      <c r="B4472" s="71">
        <v>3399</v>
      </c>
      <c r="C4472" s="37" t="s">
        <v>14271</v>
      </c>
      <c r="D4472" s="37" t="s">
        <v>14272</v>
      </c>
      <c r="E4472" s="38" t="s">
        <v>14273</v>
      </c>
      <c r="F4472" s="39"/>
      <c r="G4472" s="40"/>
      <c r="H4472" s="41">
        <v>80</v>
      </c>
      <c r="I4472" s="41">
        <v>10</v>
      </c>
      <c r="J4472" s="50">
        <v>1370</v>
      </c>
      <c r="K4472" s="36">
        <v>80</v>
      </c>
      <c r="L4472" s="42">
        <f>(37.2*(1-O3/100))/0.75</f>
        <v>49.6</v>
      </c>
      <c r="M4472" s="12"/>
      <c r="N4472" s="40">
        <f t="shared" si="218"/>
        <v>0</v>
      </c>
      <c r="O4472" s="43">
        <f>0.112*M4472</f>
        <v>0</v>
      </c>
      <c r="P4472" s="47">
        <f t="shared" si="219"/>
        <v>0</v>
      </c>
      <c r="Q4472" s="44"/>
      <c r="R4472" s="45" t="s">
        <v>14274</v>
      </c>
      <c r="S4472" s="45" t="s">
        <v>93</v>
      </c>
      <c r="T4472" s="37" t="str">
        <f>HYPERLINK("https://kanzpp.ru/api/getInfo/image/de3335e6-a415-11f0-a286-00155d82e908")</f>
        <v>https://kanzpp.ru/api/getInfo/image/de3335e6-a415-11f0-a286-00155d82e908</v>
      </c>
      <c r="U4472" s="37"/>
    </row>
    <row r="4473" spans="2:22" ht="21" customHeight="1" outlineLevel="5" x14ac:dyDescent="0.2">
      <c r="B4473" s="71">
        <v>3400</v>
      </c>
      <c r="C4473" s="37" t="s">
        <v>14275</v>
      </c>
      <c r="D4473" s="37" t="s">
        <v>14276</v>
      </c>
      <c r="E4473" s="38" t="s">
        <v>14277</v>
      </c>
      <c r="F4473" s="39"/>
      <c r="G4473" s="40"/>
      <c r="H4473" s="41">
        <v>80</v>
      </c>
      <c r="I4473" s="41">
        <v>10</v>
      </c>
      <c r="J4473" s="41">
        <v>890</v>
      </c>
      <c r="K4473" s="36">
        <v>80</v>
      </c>
      <c r="L4473" s="42">
        <f>(37.2*(1-O3/100))/0.75</f>
        <v>49.6</v>
      </c>
      <c r="M4473" s="12"/>
      <c r="N4473" s="40">
        <f t="shared" si="218"/>
        <v>0</v>
      </c>
      <c r="O4473" s="43">
        <f>0.111*M4473</f>
        <v>0</v>
      </c>
      <c r="P4473" s="47">
        <f>0.00025*M4473</f>
        <v>0</v>
      </c>
      <c r="Q4473" s="44"/>
      <c r="R4473" s="45" t="s">
        <v>14278</v>
      </c>
      <c r="S4473" s="45" t="s">
        <v>93</v>
      </c>
      <c r="T4473" s="37" t="str">
        <f>HYPERLINK("https://kanzpp.ru/api/getInfo/image/f96ca4cb-a415-11f0-a286-00155d82e908")</f>
        <v>https://kanzpp.ru/api/getInfo/image/f96ca4cb-a415-11f0-a286-00155d82e908</v>
      </c>
      <c r="U4473" s="37"/>
    </row>
    <row r="4474" spans="2:22" ht="21" customHeight="1" outlineLevel="5" x14ac:dyDescent="0.2">
      <c r="B4474" s="71">
        <v>3401</v>
      </c>
      <c r="C4474" s="37" t="s">
        <v>14279</v>
      </c>
      <c r="D4474" s="37" t="s">
        <v>14280</v>
      </c>
      <c r="E4474" s="38" t="s">
        <v>14281</v>
      </c>
      <c r="F4474" s="39"/>
      <c r="G4474" s="40"/>
      <c r="H4474" s="41">
        <v>80</v>
      </c>
      <c r="I4474" s="41">
        <v>10</v>
      </c>
      <c r="J4474" s="41">
        <v>500</v>
      </c>
      <c r="K4474" s="36">
        <v>80</v>
      </c>
      <c r="L4474" s="42">
        <f>(37.2*(1-O3/100))/0.75</f>
        <v>49.6</v>
      </c>
      <c r="M4474" s="12"/>
      <c r="N4474" s="40">
        <f t="shared" si="218"/>
        <v>0</v>
      </c>
      <c r="O4474" s="43">
        <f>0.111*M4474</f>
        <v>0</v>
      </c>
      <c r="P4474" s="47">
        <f>0.00025*M4474</f>
        <v>0</v>
      </c>
      <c r="Q4474" s="44"/>
      <c r="R4474" s="45" t="s">
        <v>14282</v>
      </c>
      <c r="S4474" s="45" t="s">
        <v>93</v>
      </c>
      <c r="T4474" s="37" t="str">
        <f>HYPERLINK("https://kanzpp.ru/api/getInfo/image/0f6bac52-a416-11f0-a286-00155d82e908")</f>
        <v>https://kanzpp.ru/api/getInfo/image/0f6bac52-a416-11f0-a286-00155d82e908</v>
      </c>
      <c r="U4474" s="37"/>
    </row>
    <row r="4475" spans="2:22" ht="22.95" customHeight="1" outlineLevel="4" x14ac:dyDescent="0.2">
      <c r="B4475" s="82" t="s">
        <v>14283</v>
      </c>
      <c r="C4475" s="82"/>
      <c r="D4475" s="82"/>
      <c r="L4475">
        <v>0</v>
      </c>
    </row>
    <row r="4476" spans="2:22" ht="21" customHeight="1" outlineLevel="5" x14ac:dyDescent="0.2">
      <c r="B4476" s="69">
        <v>3402</v>
      </c>
      <c r="C4476" s="6" t="s">
        <v>14284</v>
      </c>
      <c r="D4476" s="6" t="s">
        <v>14285</v>
      </c>
      <c r="E4476" s="7" t="s">
        <v>14286</v>
      </c>
      <c r="F4476" s="13"/>
      <c r="G4476" s="14"/>
      <c r="H4476" s="15">
        <v>80</v>
      </c>
      <c r="I4476" s="15">
        <v>10</v>
      </c>
      <c r="J4476" s="17">
        <v>7050</v>
      </c>
      <c r="K4476" s="5">
        <v>80</v>
      </c>
      <c r="L4476" s="16">
        <v>26.533333333333331</v>
      </c>
      <c r="M4476" s="12"/>
      <c r="N4476" s="14">
        <f t="shared" ref="N4476:N4484" si="220">L4476*M4476</f>
        <v>0</v>
      </c>
      <c r="O4476" s="23">
        <f>0.109*M4476</f>
        <v>0</v>
      </c>
      <c r="P4476" s="24">
        <f t="shared" ref="P4476:P4483" si="221">0.00035*M4476</f>
        <v>0</v>
      </c>
      <c r="Q4476" s="25"/>
      <c r="R4476" s="26" t="s">
        <v>14287</v>
      </c>
      <c r="S4476" s="26" t="s">
        <v>93</v>
      </c>
      <c r="T4476" s="6" t="str">
        <f>HYPERLINK("https://kanzpp.ru/api/getInfo/image/95d3c029-4a85-11ef-a262-00155d82e908")</f>
        <v>https://kanzpp.ru/api/getInfo/image/95d3c029-4a85-11ef-a262-00155d82e908</v>
      </c>
      <c r="U4476" s="6"/>
      <c r="V4476" s="33" t="s">
        <v>35</v>
      </c>
    </row>
    <row r="4477" spans="2:22" ht="21" customHeight="1" outlineLevel="5" x14ac:dyDescent="0.2">
      <c r="B4477" s="69">
        <v>3403</v>
      </c>
      <c r="C4477" s="6" t="s">
        <v>14288</v>
      </c>
      <c r="D4477" s="6" t="s">
        <v>14289</v>
      </c>
      <c r="E4477" s="7" t="s">
        <v>14290</v>
      </c>
      <c r="F4477" s="13"/>
      <c r="G4477" s="14"/>
      <c r="H4477" s="15">
        <v>80</v>
      </c>
      <c r="I4477" s="15">
        <v>10</v>
      </c>
      <c r="J4477" s="17">
        <v>5650</v>
      </c>
      <c r="K4477" s="5">
        <v>80</v>
      </c>
      <c r="L4477" s="16">
        <v>26.533333333333331</v>
      </c>
      <c r="M4477" s="12"/>
      <c r="N4477" s="14">
        <f t="shared" si="220"/>
        <v>0</v>
      </c>
      <c r="O4477" s="23">
        <f>0.109*M4477</f>
        <v>0</v>
      </c>
      <c r="P4477" s="24">
        <f t="shared" si="221"/>
        <v>0</v>
      </c>
      <c r="Q4477" s="25"/>
      <c r="R4477" s="26" t="s">
        <v>14291</v>
      </c>
      <c r="S4477" s="26" t="s">
        <v>93</v>
      </c>
      <c r="T4477" s="6" t="str">
        <f>HYPERLINK("https://kanzpp.ru/api/getInfo/image/ae0c0666-4b14-11ef-a262-00155d82e908")</f>
        <v>https://kanzpp.ru/api/getInfo/image/ae0c0666-4b14-11ef-a262-00155d82e908</v>
      </c>
      <c r="U4477" s="6"/>
      <c r="V4477" s="33" t="s">
        <v>35</v>
      </c>
    </row>
    <row r="4478" spans="2:22" ht="21" customHeight="1" outlineLevel="5" x14ac:dyDescent="0.2">
      <c r="B4478" s="69">
        <v>3404</v>
      </c>
      <c r="C4478" s="6" t="s">
        <v>14292</v>
      </c>
      <c r="D4478" s="6" t="s">
        <v>14293</v>
      </c>
      <c r="E4478" s="7" t="s">
        <v>14294</v>
      </c>
      <c r="F4478" s="13"/>
      <c r="G4478" s="14"/>
      <c r="H4478" s="15">
        <v>80</v>
      </c>
      <c r="I4478" s="15">
        <v>10</v>
      </c>
      <c r="J4478" s="15">
        <v>480</v>
      </c>
      <c r="K4478" s="5">
        <v>80</v>
      </c>
      <c r="L4478" s="16">
        <v>26.533333333333331</v>
      </c>
      <c r="M4478" s="12"/>
      <c r="N4478" s="14">
        <f t="shared" si="220"/>
        <v>0</v>
      </c>
      <c r="O4478" s="23">
        <f>0.173*M4478</f>
        <v>0</v>
      </c>
      <c r="P4478" s="24">
        <f t="shared" si="221"/>
        <v>0</v>
      </c>
      <c r="Q4478" s="25"/>
      <c r="R4478" s="26" t="s">
        <v>14295</v>
      </c>
      <c r="S4478" s="26" t="s">
        <v>93</v>
      </c>
      <c r="T4478" s="6" t="str">
        <f>HYPERLINK("https://kanzpp.ru/api/getInfo/image/24537a85-4b15-11ef-a262-00155d82e908")</f>
        <v>https://kanzpp.ru/api/getInfo/image/24537a85-4b15-11ef-a262-00155d82e908</v>
      </c>
      <c r="U4478" s="6"/>
      <c r="V4478" s="33" t="s">
        <v>35</v>
      </c>
    </row>
    <row r="4479" spans="2:22" ht="21" customHeight="1" outlineLevel="5" x14ac:dyDescent="0.2">
      <c r="B4479" s="69">
        <v>3405</v>
      </c>
      <c r="C4479" s="6" t="s">
        <v>14296</v>
      </c>
      <c r="D4479" s="6" t="s">
        <v>14297</v>
      </c>
      <c r="E4479" s="7" t="s">
        <v>14298</v>
      </c>
      <c r="F4479" s="13"/>
      <c r="G4479" s="14"/>
      <c r="H4479" s="15">
        <v>80</v>
      </c>
      <c r="I4479" s="15">
        <v>10</v>
      </c>
      <c r="J4479" s="17">
        <v>1440</v>
      </c>
      <c r="K4479" s="5">
        <v>80</v>
      </c>
      <c r="L4479" s="16">
        <v>26.533333333333331</v>
      </c>
      <c r="M4479" s="12"/>
      <c r="N4479" s="14">
        <f t="shared" si="220"/>
        <v>0</v>
      </c>
      <c r="O4479" s="23">
        <f>0.109*M4479</f>
        <v>0</v>
      </c>
      <c r="P4479" s="24">
        <f t="shared" si="221"/>
        <v>0</v>
      </c>
      <c r="Q4479" s="25"/>
      <c r="R4479" s="26" t="s">
        <v>14299</v>
      </c>
      <c r="S4479" s="26" t="s">
        <v>93</v>
      </c>
      <c r="T4479" s="6" t="str">
        <f>HYPERLINK("https://kanzpp.ru/api/getInfo/image/45d5e3cf-4b15-11ef-a262-00155d82e908")</f>
        <v>https://kanzpp.ru/api/getInfo/image/45d5e3cf-4b15-11ef-a262-00155d82e908</v>
      </c>
      <c r="U4479" s="6"/>
      <c r="V4479" s="33" t="s">
        <v>35</v>
      </c>
    </row>
    <row r="4480" spans="2:22" ht="21" customHeight="1" outlineLevel="5" x14ac:dyDescent="0.2">
      <c r="B4480" s="69">
        <v>3406</v>
      </c>
      <c r="C4480" s="6" t="s">
        <v>14300</v>
      </c>
      <c r="D4480" s="6" t="s">
        <v>14301</v>
      </c>
      <c r="E4480" s="7" t="s">
        <v>14302</v>
      </c>
      <c r="F4480" s="13"/>
      <c r="G4480" s="14"/>
      <c r="H4480" s="15">
        <v>80</v>
      </c>
      <c r="I4480" s="15">
        <v>10</v>
      </c>
      <c r="J4480" s="17">
        <v>3400</v>
      </c>
      <c r="K4480" s="5">
        <v>80</v>
      </c>
      <c r="L4480" s="16">
        <v>26.533333333333331</v>
      </c>
      <c r="M4480" s="12"/>
      <c r="N4480" s="14">
        <f t="shared" si="220"/>
        <v>0</v>
      </c>
      <c r="O4480" s="23">
        <f>0.109*M4480</f>
        <v>0</v>
      </c>
      <c r="P4480" s="24">
        <f t="shared" si="221"/>
        <v>0</v>
      </c>
      <c r="Q4480" s="25"/>
      <c r="R4480" s="26" t="s">
        <v>14303</v>
      </c>
      <c r="S4480" s="26" t="s">
        <v>93</v>
      </c>
      <c r="T4480" s="6" t="str">
        <f>HYPERLINK("https://kanzpp.ru/api/getInfo/image/6bc99288-4b15-11ef-a262-00155d82e908")</f>
        <v>https://kanzpp.ru/api/getInfo/image/6bc99288-4b15-11ef-a262-00155d82e908</v>
      </c>
      <c r="U4480" s="6"/>
      <c r="V4480" s="33" t="s">
        <v>35</v>
      </c>
    </row>
    <row r="4481" spans="2:22" ht="21" customHeight="1" outlineLevel="5" x14ac:dyDescent="0.2">
      <c r="B4481" s="69">
        <v>3407</v>
      </c>
      <c r="C4481" s="6" t="s">
        <v>14304</v>
      </c>
      <c r="D4481" s="6" t="s">
        <v>14305</v>
      </c>
      <c r="E4481" s="7" t="s">
        <v>14306</v>
      </c>
      <c r="F4481" s="13"/>
      <c r="G4481" s="14"/>
      <c r="H4481" s="15">
        <v>80</v>
      </c>
      <c r="I4481" s="15">
        <v>10</v>
      </c>
      <c r="J4481" s="15">
        <v>740</v>
      </c>
      <c r="K4481" s="5">
        <v>80</v>
      </c>
      <c r="L4481" s="16">
        <v>26.533333333333331</v>
      </c>
      <c r="M4481" s="12"/>
      <c r="N4481" s="14">
        <f t="shared" si="220"/>
        <v>0</v>
      </c>
      <c r="O4481" s="23">
        <f>0.109*M4481</f>
        <v>0</v>
      </c>
      <c r="P4481" s="24">
        <f t="shared" si="221"/>
        <v>0</v>
      </c>
      <c r="Q4481" s="25"/>
      <c r="R4481" s="26" t="s">
        <v>14307</v>
      </c>
      <c r="S4481" s="26" t="s">
        <v>93</v>
      </c>
      <c r="T4481" s="6" t="str">
        <f>HYPERLINK("https://kanzpp.ru/api/getInfo/image/92c122b4-4b15-11ef-a262-00155d82e908")</f>
        <v>https://kanzpp.ru/api/getInfo/image/92c122b4-4b15-11ef-a262-00155d82e908</v>
      </c>
      <c r="U4481" s="6"/>
      <c r="V4481" s="33" t="s">
        <v>35</v>
      </c>
    </row>
    <row r="4482" spans="2:22" ht="21" customHeight="1" outlineLevel="5" x14ac:dyDescent="0.2">
      <c r="B4482" s="69">
        <v>3408</v>
      </c>
      <c r="C4482" s="6" t="s">
        <v>14308</v>
      </c>
      <c r="D4482" s="6" t="s">
        <v>14309</v>
      </c>
      <c r="E4482" s="7" t="s">
        <v>14310</v>
      </c>
      <c r="F4482" s="13"/>
      <c r="G4482" s="14"/>
      <c r="H4482" s="15">
        <v>80</v>
      </c>
      <c r="I4482" s="15">
        <v>10</v>
      </c>
      <c r="J4482" s="15">
        <v>110</v>
      </c>
      <c r="K4482" s="5">
        <v>80</v>
      </c>
      <c r="L4482" s="16">
        <v>26.533333333333331</v>
      </c>
      <c r="M4482" s="12"/>
      <c r="N4482" s="14">
        <f t="shared" si="220"/>
        <v>0</v>
      </c>
      <c r="O4482" s="23">
        <f>0.173*M4482</f>
        <v>0</v>
      </c>
      <c r="P4482" s="24">
        <f t="shared" si="221"/>
        <v>0</v>
      </c>
      <c r="Q4482" s="25"/>
      <c r="R4482" s="26" t="s">
        <v>14311</v>
      </c>
      <c r="S4482" s="26" t="s">
        <v>93</v>
      </c>
      <c r="T4482" s="6" t="str">
        <f>HYPERLINK("https://kanzpp.ru/api/getInfo/image/5d5ebd77-4b17-11ef-a262-00155d82e908")</f>
        <v>https://kanzpp.ru/api/getInfo/image/5d5ebd77-4b17-11ef-a262-00155d82e908</v>
      </c>
      <c r="U4482" s="6"/>
      <c r="V4482" s="33" t="s">
        <v>35</v>
      </c>
    </row>
    <row r="4483" spans="2:22" ht="21" customHeight="1" outlineLevel="5" x14ac:dyDescent="0.2">
      <c r="B4483" s="69">
        <v>3409</v>
      </c>
      <c r="C4483" s="6" t="s">
        <v>14312</v>
      </c>
      <c r="D4483" s="6" t="s">
        <v>14313</v>
      </c>
      <c r="E4483" s="7" t="s">
        <v>14314</v>
      </c>
      <c r="F4483" s="13"/>
      <c r="G4483" s="14"/>
      <c r="H4483" s="15">
        <v>80</v>
      </c>
      <c r="I4483" s="15">
        <v>10</v>
      </c>
      <c r="J4483" s="17">
        <v>2470</v>
      </c>
      <c r="K4483" s="5">
        <v>80</v>
      </c>
      <c r="L4483" s="16">
        <v>26.533333333333331</v>
      </c>
      <c r="M4483" s="12"/>
      <c r="N4483" s="14">
        <f t="shared" si="220"/>
        <v>0</v>
      </c>
      <c r="O4483" s="23">
        <f>0.109*M4483</f>
        <v>0</v>
      </c>
      <c r="P4483" s="24">
        <f t="shared" si="221"/>
        <v>0</v>
      </c>
      <c r="Q4483" s="25"/>
      <c r="R4483" s="26" t="s">
        <v>14315</v>
      </c>
      <c r="S4483" s="26" t="s">
        <v>93</v>
      </c>
      <c r="T4483" s="6" t="str">
        <f>HYPERLINK("https://kanzpp.ru/api/getInfo/image/83eaf29e-4b17-11ef-a262-00155d82e908")</f>
        <v>https://kanzpp.ru/api/getInfo/image/83eaf29e-4b17-11ef-a262-00155d82e908</v>
      </c>
      <c r="U4483" s="6"/>
      <c r="V4483" s="33" t="s">
        <v>35</v>
      </c>
    </row>
    <row r="4484" spans="2:22" ht="21" customHeight="1" outlineLevel="5" x14ac:dyDescent="0.2">
      <c r="B4484" s="69">
        <v>3410</v>
      </c>
      <c r="C4484" s="6" t="s">
        <v>14316</v>
      </c>
      <c r="D4484" s="6" t="s">
        <v>14317</v>
      </c>
      <c r="E4484" s="7" t="s">
        <v>14318</v>
      </c>
      <c r="F4484" s="13"/>
      <c r="G4484" s="14"/>
      <c r="H4484" s="15">
        <v>80</v>
      </c>
      <c r="I4484" s="15">
        <v>10</v>
      </c>
      <c r="J4484" s="15">
        <v>640</v>
      </c>
      <c r="K4484" s="5">
        <v>80</v>
      </c>
      <c r="L4484" s="16">
        <v>26.533333333333331</v>
      </c>
      <c r="M4484" s="12"/>
      <c r="N4484" s="14">
        <f t="shared" si="220"/>
        <v>0</v>
      </c>
      <c r="O4484" s="28">
        <f>0.12*M4484</f>
        <v>0</v>
      </c>
      <c r="P4484" s="24">
        <f>0.00021*M4484</f>
        <v>0</v>
      </c>
      <c r="Q4484" s="25"/>
      <c r="R4484" s="26" t="s">
        <v>14319</v>
      </c>
      <c r="S4484" s="26" t="s">
        <v>93</v>
      </c>
      <c r="T4484" s="6" t="str">
        <f>HYPERLINK("https://kanzpp.ru/api/getInfo/image/a8a89ef5-4b17-11ef-a262-00155d82e908")</f>
        <v>https://kanzpp.ru/api/getInfo/image/a8a89ef5-4b17-11ef-a262-00155d82e908</v>
      </c>
      <c r="U4484" s="6"/>
      <c r="V4484" s="33" t="s">
        <v>35</v>
      </c>
    </row>
    <row r="4485" spans="2:22" ht="22.95" customHeight="1" outlineLevel="4" x14ac:dyDescent="0.2">
      <c r="B4485" s="82" t="s">
        <v>14320</v>
      </c>
      <c r="C4485" s="82"/>
      <c r="D4485" s="82"/>
      <c r="L4485">
        <v>0</v>
      </c>
    </row>
    <row r="4486" spans="2:22" ht="21" customHeight="1" outlineLevel="5" x14ac:dyDescent="0.2">
      <c r="B4486" s="71">
        <v>3411</v>
      </c>
      <c r="C4486" s="37" t="s">
        <v>14321</v>
      </c>
      <c r="D4486" s="37" t="s">
        <v>14322</v>
      </c>
      <c r="E4486" s="38" t="s">
        <v>14323</v>
      </c>
      <c r="F4486" s="39"/>
      <c r="G4486" s="40"/>
      <c r="H4486" s="41">
        <v>80</v>
      </c>
      <c r="I4486" s="41">
        <v>10</v>
      </c>
      <c r="J4486" s="50">
        <v>4070</v>
      </c>
      <c r="K4486" s="36">
        <v>80</v>
      </c>
      <c r="L4486" s="42">
        <f>(38.53*(1-O3/100))/0.75</f>
        <v>51.373333333333335</v>
      </c>
      <c r="M4486" s="12"/>
      <c r="N4486" s="40">
        <f t="shared" ref="N4486:N4497" si="222">L4486*M4486</f>
        <v>0</v>
      </c>
      <c r="O4486" s="43">
        <f>0.108*M4486</f>
        <v>0</v>
      </c>
      <c r="P4486" s="47">
        <f>0.00029*M4486</f>
        <v>0</v>
      </c>
      <c r="Q4486" s="44"/>
      <c r="R4486" s="45" t="s">
        <v>14324</v>
      </c>
      <c r="S4486" s="45" t="s">
        <v>93</v>
      </c>
      <c r="T4486" s="37" t="str">
        <f>HYPERLINK("https://kanzpp.ru/api/getInfo/image/2b298719-a411-11f0-a286-00155d82e908")</f>
        <v>https://kanzpp.ru/api/getInfo/image/2b298719-a411-11f0-a286-00155d82e908</v>
      </c>
      <c r="U4486" s="37"/>
    </row>
    <row r="4487" spans="2:22" ht="21" customHeight="1" outlineLevel="5" x14ac:dyDescent="0.2">
      <c r="B4487" s="71">
        <v>3412</v>
      </c>
      <c r="C4487" s="37" t="s">
        <v>14325</v>
      </c>
      <c r="D4487" s="37" t="s">
        <v>14326</v>
      </c>
      <c r="E4487" s="38" t="s">
        <v>14327</v>
      </c>
      <c r="F4487" s="39"/>
      <c r="G4487" s="40"/>
      <c r="H4487" s="41">
        <v>80</v>
      </c>
      <c r="I4487" s="41">
        <v>10</v>
      </c>
      <c r="J4487" s="41">
        <v>810</v>
      </c>
      <c r="K4487" s="36">
        <v>80</v>
      </c>
      <c r="L4487" s="42">
        <f>(38.53*(1-O3/100))/0.75</f>
        <v>51.373333333333335</v>
      </c>
      <c r="M4487" s="12"/>
      <c r="N4487" s="40">
        <f t="shared" si="222"/>
        <v>0</v>
      </c>
      <c r="O4487" s="43">
        <f>0.106*M4487</f>
        <v>0</v>
      </c>
      <c r="P4487" s="47">
        <f>0.00024*M4487</f>
        <v>0</v>
      </c>
      <c r="Q4487" s="44"/>
      <c r="R4487" s="45" t="s">
        <v>14328</v>
      </c>
      <c r="S4487" s="45" t="s">
        <v>93</v>
      </c>
      <c r="T4487" s="37" t="str">
        <f>HYPERLINK("https://kanzpp.ru/api/getInfo/image/d7bf7e40-a412-11f0-a286-00155d82e908")</f>
        <v>https://kanzpp.ru/api/getInfo/image/d7bf7e40-a412-11f0-a286-00155d82e908</v>
      </c>
      <c r="U4487" s="37"/>
    </row>
    <row r="4488" spans="2:22" ht="21" customHeight="1" outlineLevel="5" x14ac:dyDescent="0.2">
      <c r="B4488" s="71">
        <v>3413</v>
      </c>
      <c r="C4488" s="37" t="s">
        <v>14329</v>
      </c>
      <c r="D4488" s="37" t="s">
        <v>14330</v>
      </c>
      <c r="E4488" s="38" t="s">
        <v>14331</v>
      </c>
      <c r="F4488" s="39"/>
      <c r="G4488" s="40"/>
      <c r="H4488" s="41">
        <v>80</v>
      </c>
      <c r="I4488" s="41">
        <v>10</v>
      </c>
      <c r="J4488" s="50">
        <v>3510</v>
      </c>
      <c r="K4488" s="36">
        <v>80</v>
      </c>
      <c r="L4488" s="42">
        <f>(38.53*(1-O3/100))/0.75</f>
        <v>51.373333333333335</v>
      </c>
      <c r="M4488" s="12"/>
      <c r="N4488" s="40">
        <f t="shared" si="222"/>
        <v>0</v>
      </c>
      <c r="O4488" s="43">
        <f>0.108*M4488</f>
        <v>0</v>
      </c>
      <c r="P4488" s="47">
        <f>0.00021*M4488</f>
        <v>0</v>
      </c>
      <c r="Q4488" s="44"/>
      <c r="R4488" s="45" t="s">
        <v>14332</v>
      </c>
      <c r="S4488" s="45" t="s">
        <v>93</v>
      </c>
      <c r="T4488" s="37" t="str">
        <f>HYPERLINK("https://kanzpp.ru/api/getInfo/image/ec3409a5-a412-11f0-a286-00155d82e908")</f>
        <v>https://kanzpp.ru/api/getInfo/image/ec3409a5-a412-11f0-a286-00155d82e908</v>
      </c>
      <c r="U4488" s="37"/>
    </row>
    <row r="4489" spans="2:22" ht="21" customHeight="1" outlineLevel="5" x14ac:dyDescent="0.2">
      <c r="B4489" s="71">
        <v>3414</v>
      </c>
      <c r="C4489" s="37" t="s">
        <v>14333</v>
      </c>
      <c r="D4489" s="37" t="s">
        <v>14334</v>
      </c>
      <c r="E4489" s="38" t="s">
        <v>14335</v>
      </c>
      <c r="F4489" s="39"/>
      <c r="G4489" s="40"/>
      <c r="H4489" s="41">
        <v>80</v>
      </c>
      <c r="I4489" s="41">
        <v>10</v>
      </c>
      <c r="J4489" s="41">
        <v>990</v>
      </c>
      <c r="K4489" s="36">
        <v>80</v>
      </c>
      <c r="L4489" s="42">
        <f>(38.53*(1-O3/100))/0.75</f>
        <v>51.373333333333335</v>
      </c>
      <c r="M4489" s="12"/>
      <c r="N4489" s="40">
        <f t="shared" si="222"/>
        <v>0</v>
      </c>
      <c r="O4489" s="43">
        <f>0.106*M4489</f>
        <v>0</v>
      </c>
      <c r="P4489" s="47">
        <f>0.00024*M4489</f>
        <v>0</v>
      </c>
      <c r="Q4489" s="44"/>
      <c r="R4489" s="45" t="s">
        <v>14336</v>
      </c>
      <c r="S4489" s="45" t="s">
        <v>93</v>
      </c>
      <c r="T4489" s="37" t="str">
        <f>HYPERLINK("https://kanzpp.ru/api/getInfo/image/fd3c1cb1-a412-11f0-a286-00155d82e908")</f>
        <v>https://kanzpp.ru/api/getInfo/image/fd3c1cb1-a412-11f0-a286-00155d82e908</v>
      </c>
      <c r="U4489" s="37"/>
    </row>
    <row r="4490" spans="2:22" ht="21" customHeight="1" outlineLevel="5" x14ac:dyDescent="0.2">
      <c r="B4490" s="71">
        <v>3415</v>
      </c>
      <c r="C4490" s="37" t="s">
        <v>14337</v>
      </c>
      <c r="D4490" s="37" t="s">
        <v>14338</v>
      </c>
      <c r="E4490" s="38" t="s">
        <v>14339</v>
      </c>
      <c r="F4490" s="39"/>
      <c r="G4490" s="40"/>
      <c r="H4490" s="41">
        <v>80</v>
      </c>
      <c r="I4490" s="41">
        <v>10</v>
      </c>
      <c r="J4490" s="50">
        <v>3170</v>
      </c>
      <c r="K4490" s="36">
        <v>80</v>
      </c>
      <c r="L4490" s="42">
        <f>(38.53*(1-O3/100))/0.75</f>
        <v>51.373333333333335</v>
      </c>
      <c r="M4490" s="12"/>
      <c r="N4490" s="40">
        <f t="shared" si="222"/>
        <v>0</v>
      </c>
      <c r="O4490" s="43">
        <f>0.111*M4490</f>
        <v>0</v>
      </c>
      <c r="P4490" s="47">
        <f>0.00021*M4490</f>
        <v>0</v>
      </c>
      <c r="Q4490" s="44"/>
      <c r="R4490" s="45" t="s">
        <v>14340</v>
      </c>
      <c r="S4490" s="45" t="s">
        <v>93</v>
      </c>
      <c r="T4490" s="37" t="str">
        <f>HYPERLINK("https://kanzpp.ru/api/getInfo/image/20aff1f4-a413-11f0-a286-00155d82e908")</f>
        <v>https://kanzpp.ru/api/getInfo/image/20aff1f4-a413-11f0-a286-00155d82e908</v>
      </c>
      <c r="U4490" s="37"/>
    </row>
    <row r="4491" spans="2:22" ht="21" customHeight="1" outlineLevel="5" x14ac:dyDescent="0.2">
      <c r="B4491" s="71">
        <v>3416</v>
      </c>
      <c r="C4491" s="37" t="s">
        <v>14341</v>
      </c>
      <c r="D4491" s="37" t="s">
        <v>14342</v>
      </c>
      <c r="E4491" s="38" t="s">
        <v>14343</v>
      </c>
      <c r="F4491" s="39"/>
      <c r="G4491" s="40"/>
      <c r="H4491" s="41">
        <v>80</v>
      </c>
      <c r="I4491" s="41">
        <v>10</v>
      </c>
      <c r="J4491" s="50">
        <v>4320</v>
      </c>
      <c r="K4491" s="36">
        <v>80</v>
      </c>
      <c r="L4491" s="42">
        <f>(38.53*(1-O3/100))/0.75</f>
        <v>51.373333333333335</v>
      </c>
      <c r="M4491" s="12"/>
      <c r="N4491" s="40">
        <f t="shared" si="222"/>
        <v>0</v>
      </c>
      <c r="O4491" s="43">
        <f>0.108*M4491</f>
        <v>0</v>
      </c>
      <c r="P4491" s="47">
        <f>0.00021*M4491</f>
        <v>0</v>
      </c>
      <c r="Q4491" s="44"/>
      <c r="R4491" s="45" t="s">
        <v>14344</v>
      </c>
      <c r="S4491" s="45" t="s">
        <v>93</v>
      </c>
      <c r="T4491" s="37" t="str">
        <f>HYPERLINK("https://kanzpp.ru/api/getInfo/image/33139de8-a413-11f0-a286-00155d82e908")</f>
        <v>https://kanzpp.ru/api/getInfo/image/33139de8-a413-11f0-a286-00155d82e908</v>
      </c>
      <c r="U4491" s="37"/>
    </row>
    <row r="4492" spans="2:22" ht="21" customHeight="1" outlineLevel="5" x14ac:dyDescent="0.2">
      <c r="B4492" s="71">
        <v>3417</v>
      </c>
      <c r="C4492" s="37" t="s">
        <v>14345</v>
      </c>
      <c r="D4492" s="37" t="s">
        <v>14346</v>
      </c>
      <c r="E4492" s="38" t="s">
        <v>14347</v>
      </c>
      <c r="F4492" s="39"/>
      <c r="G4492" s="40"/>
      <c r="H4492" s="41">
        <v>80</v>
      </c>
      <c r="I4492" s="41">
        <v>10</v>
      </c>
      <c r="J4492" s="50">
        <v>3570</v>
      </c>
      <c r="K4492" s="36">
        <v>80</v>
      </c>
      <c r="L4492" s="42">
        <f>(38.53*(1-O3/100))/0.75</f>
        <v>51.373333333333335</v>
      </c>
      <c r="M4492" s="12"/>
      <c r="N4492" s="40">
        <f t="shared" si="222"/>
        <v>0</v>
      </c>
      <c r="O4492" s="43">
        <f>0.108*M4492</f>
        <v>0</v>
      </c>
      <c r="P4492" s="47">
        <f>0.00021*M4492</f>
        <v>0</v>
      </c>
      <c r="Q4492" s="44"/>
      <c r="R4492" s="45" t="s">
        <v>14348</v>
      </c>
      <c r="S4492" s="45" t="s">
        <v>93</v>
      </c>
      <c r="T4492" s="37" t="str">
        <f>HYPERLINK("https://kanzpp.ru/api/getInfo/image/46d1f879-a413-11f0-a286-00155d82e908")</f>
        <v>https://kanzpp.ru/api/getInfo/image/46d1f879-a413-11f0-a286-00155d82e908</v>
      </c>
      <c r="U4492" s="37"/>
    </row>
    <row r="4493" spans="2:22" ht="21" customHeight="1" outlineLevel="5" x14ac:dyDescent="0.2">
      <c r="B4493" s="71">
        <v>3418</v>
      </c>
      <c r="C4493" s="37" t="s">
        <v>14349</v>
      </c>
      <c r="D4493" s="37" t="s">
        <v>14350</v>
      </c>
      <c r="E4493" s="38" t="s">
        <v>14351</v>
      </c>
      <c r="F4493" s="39"/>
      <c r="G4493" s="40"/>
      <c r="H4493" s="41">
        <v>80</v>
      </c>
      <c r="I4493" s="41">
        <v>10</v>
      </c>
      <c r="J4493" s="50">
        <v>3080</v>
      </c>
      <c r="K4493" s="36">
        <v>80</v>
      </c>
      <c r="L4493" s="42">
        <f>(38.53*(1-O3/100))/0.75</f>
        <v>51.373333333333335</v>
      </c>
      <c r="M4493" s="12"/>
      <c r="N4493" s="40">
        <f t="shared" si="222"/>
        <v>0</v>
      </c>
      <c r="O4493" s="43">
        <f>0.106*M4493</f>
        <v>0</v>
      </c>
      <c r="P4493" s="47">
        <f>0.00024*M4493</f>
        <v>0</v>
      </c>
      <c r="Q4493" s="44"/>
      <c r="R4493" s="45" t="s">
        <v>14352</v>
      </c>
      <c r="S4493" s="45" t="s">
        <v>93</v>
      </c>
      <c r="T4493" s="37" t="str">
        <f>HYPERLINK("https://kanzpp.ru/api/getInfo/image/586c12f5-a413-11f0-a286-00155d82e908")</f>
        <v>https://kanzpp.ru/api/getInfo/image/586c12f5-a413-11f0-a286-00155d82e908</v>
      </c>
      <c r="U4493" s="37"/>
    </row>
    <row r="4494" spans="2:22" ht="21" customHeight="1" outlineLevel="5" x14ac:dyDescent="0.2">
      <c r="B4494" s="71">
        <v>3419</v>
      </c>
      <c r="C4494" s="37" t="s">
        <v>14353</v>
      </c>
      <c r="D4494" s="37" t="s">
        <v>14354</v>
      </c>
      <c r="E4494" s="38" t="s">
        <v>14355</v>
      </c>
      <c r="F4494" s="39"/>
      <c r="G4494" s="40"/>
      <c r="H4494" s="41">
        <v>80</v>
      </c>
      <c r="I4494" s="41">
        <v>10</v>
      </c>
      <c r="J4494" s="41">
        <v>250</v>
      </c>
      <c r="K4494" s="36">
        <v>80</v>
      </c>
      <c r="L4494" s="42">
        <f>(38.53*(1-O3/100))/0.75</f>
        <v>51.373333333333335</v>
      </c>
      <c r="M4494" s="12"/>
      <c r="N4494" s="40">
        <f t="shared" si="222"/>
        <v>0</v>
      </c>
      <c r="O4494" s="43">
        <f>0.106*M4494</f>
        <v>0</v>
      </c>
      <c r="P4494" s="47">
        <f>0.00024*M4494</f>
        <v>0</v>
      </c>
      <c r="Q4494" s="44"/>
      <c r="R4494" s="45" t="s">
        <v>14356</v>
      </c>
      <c r="S4494" s="45" t="s">
        <v>93</v>
      </c>
      <c r="T4494" s="37" t="str">
        <f>HYPERLINK("https://kanzpp.ru/api/getInfo/image/71f14d5c-a413-11f0-a286-00155d82e908")</f>
        <v>https://kanzpp.ru/api/getInfo/image/71f14d5c-a413-11f0-a286-00155d82e908</v>
      </c>
      <c r="U4494" s="37"/>
    </row>
    <row r="4495" spans="2:22" ht="21" customHeight="1" outlineLevel="5" x14ac:dyDescent="0.2">
      <c r="B4495" s="71">
        <v>3420</v>
      </c>
      <c r="C4495" s="37" t="s">
        <v>14357</v>
      </c>
      <c r="D4495" s="37" t="s">
        <v>14358</v>
      </c>
      <c r="E4495" s="38" t="s">
        <v>14359</v>
      </c>
      <c r="F4495" s="39"/>
      <c r="G4495" s="40"/>
      <c r="H4495" s="41">
        <v>80</v>
      </c>
      <c r="I4495" s="41">
        <v>10</v>
      </c>
      <c r="J4495" s="41">
        <v>750</v>
      </c>
      <c r="K4495" s="36">
        <v>80</v>
      </c>
      <c r="L4495" s="42">
        <f>(38.53*(1-O3/100))/0.75</f>
        <v>51.373333333333335</v>
      </c>
      <c r="M4495" s="12"/>
      <c r="N4495" s="40">
        <f t="shared" si="222"/>
        <v>0</v>
      </c>
      <c r="O4495" s="43">
        <f>0.106*M4495</f>
        <v>0</v>
      </c>
      <c r="P4495" s="47">
        <f>0.00024*M4495</f>
        <v>0</v>
      </c>
      <c r="Q4495" s="44"/>
      <c r="R4495" s="45" t="s">
        <v>14360</v>
      </c>
      <c r="S4495" s="45" t="s">
        <v>93</v>
      </c>
      <c r="T4495" s="37" t="str">
        <f>HYPERLINK("https://kanzpp.ru/api/getInfo/image/7fe4ed7f-a413-11f0-a286-00155d82e908")</f>
        <v>https://kanzpp.ru/api/getInfo/image/7fe4ed7f-a413-11f0-a286-00155d82e908</v>
      </c>
      <c r="U4495" s="37"/>
    </row>
    <row r="4496" spans="2:22" ht="21" customHeight="1" outlineLevel="5" x14ac:dyDescent="0.2">
      <c r="B4496" s="71">
        <v>3421</v>
      </c>
      <c r="C4496" s="37" t="s">
        <v>14361</v>
      </c>
      <c r="D4496" s="37" t="s">
        <v>14362</v>
      </c>
      <c r="E4496" s="38" t="s">
        <v>14363</v>
      </c>
      <c r="F4496" s="39"/>
      <c r="G4496" s="40"/>
      <c r="H4496" s="41">
        <v>80</v>
      </c>
      <c r="I4496" s="41">
        <v>10</v>
      </c>
      <c r="J4496" s="41">
        <v>190</v>
      </c>
      <c r="K4496" s="36">
        <v>80</v>
      </c>
      <c r="L4496" s="42">
        <f>(38.53*(1-O3/100))/0.75</f>
        <v>51.373333333333335</v>
      </c>
      <c r="M4496" s="12"/>
      <c r="N4496" s="40">
        <f t="shared" si="222"/>
        <v>0</v>
      </c>
      <c r="O4496" s="48">
        <f>0.11*M4496</f>
        <v>0</v>
      </c>
      <c r="P4496" s="47">
        <f>0.00025*M4496</f>
        <v>0</v>
      </c>
      <c r="Q4496" s="44"/>
      <c r="R4496" s="45" t="s">
        <v>14364</v>
      </c>
      <c r="S4496" s="45" t="s">
        <v>93</v>
      </c>
      <c r="T4496" s="37" t="str">
        <f>HYPERLINK("https://kanzpp.ru/api/getInfo/image/9e7cf546-a413-11f0-a286-00155d82e908")</f>
        <v>https://kanzpp.ru/api/getInfo/image/9e7cf546-a413-11f0-a286-00155d82e908</v>
      </c>
      <c r="U4496" s="37"/>
    </row>
    <row r="4497" spans="2:22" ht="21" customHeight="1" outlineLevel="5" x14ac:dyDescent="0.2">
      <c r="B4497" s="71">
        <v>3422</v>
      </c>
      <c r="C4497" s="37" t="s">
        <v>14365</v>
      </c>
      <c r="D4497" s="37" t="s">
        <v>14366</v>
      </c>
      <c r="E4497" s="38" t="s">
        <v>14367</v>
      </c>
      <c r="F4497" s="39"/>
      <c r="G4497" s="40"/>
      <c r="H4497" s="41">
        <v>80</v>
      </c>
      <c r="I4497" s="41">
        <v>10</v>
      </c>
      <c r="J4497" s="41">
        <v>80</v>
      </c>
      <c r="K4497" s="36">
        <v>80</v>
      </c>
      <c r="L4497" s="42">
        <f>(38.53*(1-O3/100))/0.75</f>
        <v>51.373333333333335</v>
      </c>
      <c r="M4497" s="12"/>
      <c r="N4497" s="40">
        <f t="shared" si="222"/>
        <v>0</v>
      </c>
      <c r="O4497" s="43">
        <f>0.111*M4497</f>
        <v>0</v>
      </c>
      <c r="P4497" s="47">
        <f>0.00001*M4497</f>
        <v>0</v>
      </c>
      <c r="Q4497" s="44"/>
      <c r="R4497" s="45" t="s">
        <v>14368</v>
      </c>
      <c r="S4497" s="45" t="s">
        <v>93</v>
      </c>
      <c r="T4497" s="37" t="str">
        <f>HYPERLINK("https://kanzpp.ru/api/getInfo/image/b24c857b-a413-11f0-a286-00155d82e908")</f>
        <v>https://kanzpp.ru/api/getInfo/image/b24c857b-a413-11f0-a286-00155d82e908</v>
      </c>
      <c r="U4497" s="37"/>
    </row>
    <row r="4498" spans="2:22" ht="22.95" customHeight="1" outlineLevel="4" x14ac:dyDescent="0.2">
      <c r="B4498" s="82" t="s">
        <v>14369</v>
      </c>
      <c r="C4498" s="82"/>
      <c r="D4498" s="82"/>
      <c r="L4498">
        <v>0</v>
      </c>
    </row>
    <row r="4499" spans="2:22" ht="21" customHeight="1" outlineLevel="5" x14ac:dyDescent="0.2">
      <c r="B4499" s="69">
        <v>3423</v>
      </c>
      <c r="C4499" s="6" t="s">
        <v>14370</v>
      </c>
      <c r="D4499" s="6" t="s">
        <v>14371</v>
      </c>
      <c r="E4499" s="7" t="s">
        <v>14372</v>
      </c>
      <c r="F4499" s="13"/>
      <c r="G4499" s="14"/>
      <c r="H4499" s="15">
        <v>80</v>
      </c>
      <c r="I4499" s="15">
        <v>10</v>
      </c>
      <c r="J4499" s="15">
        <v>910</v>
      </c>
      <c r="K4499" s="5">
        <v>80</v>
      </c>
      <c r="L4499" s="16">
        <v>13.200000000000001</v>
      </c>
      <c r="M4499" s="12"/>
      <c r="N4499" s="14">
        <f>L4499*M4499</f>
        <v>0</v>
      </c>
      <c r="O4499" s="23">
        <f>0.113*M4499</f>
        <v>0</v>
      </c>
      <c r="P4499" s="24">
        <f>0.00028*M4499</f>
        <v>0</v>
      </c>
      <c r="Q4499" s="25"/>
      <c r="R4499" s="26" t="s">
        <v>14373</v>
      </c>
      <c r="S4499" s="26" t="s">
        <v>93</v>
      </c>
      <c r="T4499" s="6" t="str">
        <f>HYPERLINK("https://kanzpp.ru/api/getInfo/image/20656a73-5ea1-11ed-a229-00155d82e902")</f>
        <v>https://kanzpp.ru/api/getInfo/image/20656a73-5ea1-11ed-a229-00155d82e902</v>
      </c>
      <c r="U4499" s="6"/>
      <c r="V4499" s="33" t="s">
        <v>35</v>
      </c>
    </row>
    <row r="4500" spans="2:22" ht="21" customHeight="1" outlineLevel="5" x14ac:dyDescent="0.2">
      <c r="B4500" s="69">
        <v>3424</v>
      </c>
      <c r="C4500" s="6" t="s">
        <v>14374</v>
      </c>
      <c r="D4500" s="6" t="s">
        <v>14375</v>
      </c>
      <c r="E4500" s="7" t="s">
        <v>14376</v>
      </c>
      <c r="F4500" s="13"/>
      <c r="G4500" s="14"/>
      <c r="H4500" s="15">
        <v>80</v>
      </c>
      <c r="I4500" s="15">
        <v>10</v>
      </c>
      <c r="J4500" s="15">
        <v>110</v>
      </c>
      <c r="K4500" s="5">
        <v>80</v>
      </c>
      <c r="L4500" s="16">
        <v>13.200000000000001</v>
      </c>
      <c r="M4500" s="12"/>
      <c r="N4500" s="14">
        <f>L4500*M4500</f>
        <v>0</v>
      </c>
      <c r="O4500" s="23">
        <f>0.115*M4500</f>
        <v>0</v>
      </c>
      <c r="P4500" s="24">
        <f>0.00021*M4500</f>
        <v>0</v>
      </c>
      <c r="Q4500" s="25"/>
      <c r="R4500" s="26" t="s">
        <v>14377</v>
      </c>
      <c r="S4500" s="26" t="s">
        <v>93</v>
      </c>
      <c r="T4500" s="6" t="str">
        <f>HYPERLINK("https://kanzpp.ru/api/getInfo/image/398a65f1-5ea3-11ed-a229-00155d82e902")</f>
        <v>https://kanzpp.ru/api/getInfo/image/398a65f1-5ea3-11ed-a229-00155d82e902</v>
      </c>
      <c r="U4500" s="6"/>
      <c r="V4500" s="33" t="s">
        <v>35</v>
      </c>
    </row>
    <row r="4501" spans="2:22" ht="22.95" customHeight="1" outlineLevel="4" x14ac:dyDescent="0.2">
      <c r="B4501" s="82" t="s">
        <v>14378</v>
      </c>
      <c r="C4501" s="82"/>
      <c r="D4501" s="82"/>
      <c r="L4501">
        <v>0</v>
      </c>
    </row>
    <row r="4502" spans="2:22" ht="21" customHeight="1" outlineLevel="5" x14ac:dyDescent="0.2">
      <c r="B4502" s="69">
        <v>3425</v>
      </c>
      <c r="C4502" s="6" t="s">
        <v>14379</v>
      </c>
      <c r="D4502" s="6" t="s">
        <v>14380</v>
      </c>
      <c r="E4502" s="7" t="s">
        <v>14381</v>
      </c>
      <c r="F4502" s="13"/>
      <c r="G4502" s="14"/>
      <c r="H4502" s="15">
        <v>80</v>
      </c>
      <c r="I4502" s="15">
        <v>10</v>
      </c>
      <c r="J4502" s="17">
        <v>1450</v>
      </c>
      <c r="K4502" s="5">
        <v>80</v>
      </c>
      <c r="L4502" s="16">
        <v>15.866666666666667</v>
      </c>
      <c r="M4502" s="12"/>
      <c r="N4502" s="14">
        <f t="shared" ref="N4502:N4509" si="223">L4502*M4502</f>
        <v>0</v>
      </c>
      <c r="O4502" s="23">
        <f>0.108*M4502</f>
        <v>0</v>
      </c>
      <c r="P4502" s="24">
        <f>0.00025*M4502</f>
        <v>0</v>
      </c>
      <c r="Q4502" s="25"/>
      <c r="R4502" s="26" t="s">
        <v>14382</v>
      </c>
      <c r="S4502" s="26" t="s">
        <v>93</v>
      </c>
      <c r="T4502" s="6" t="str">
        <f>HYPERLINK("https://kanzpp.ru/api/getInfo/image/7dde1986-3c0c-11ee-a241-00155d82e902")</f>
        <v>https://kanzpp.ru/api/getInfo/image/7dde1986-3c0c-11ee-a241-00155d82e902</v>
      </c>
      <c r="U4502" s="6"/>
      <c r="V4502" s="33" t="s">
        <v>35</v>
      </c>
    </row>
    <row r="4503" spans="2:22" ht="21" customHeight="1" outlineLevel="5" x14ac:dyDescent="0.2">
      <c r="B4503" s="69">
        <v>3426</v>
      </c>
      <c r="C4503" s="6" t="s">
        <v>14383</v>
      </c>
      <c r="D4503" s="6" t="s">
        <v>14384</v>
      </c>
      <c r="E4503" s="7" t="s">
        <v>14385</v>
      </c>
      <c r="F4503" s="13"/>
      <c r="G4503" s="14"/>
      <c r="H4503" s="15">
        <v>80</v>
      </c>
      <c r="I4503" s="15">
        <v>10</v>
      </c>
      <c r="J4503" s="17">
        <v>3440</v>
      </c>
      <c r="K4503" s="5">
        <v>80</v>
      </c>
      <c r="L4503" s="16">
        <v>15.866666666666667</v>
      </c>
      <c r="M4503" s="12"/>
      <c r="N4503" s="14">
        <f t="shared" si="223"/>
        <v>0</v>
      </c>
      <c r="O4503" s="23">
        <f>0.106*M4503</f>
        <v>0</v>
      </c>
      <c r="P4503" s="24">
        <f>0.00021*M4503</f>
        <v>0</v>
      </c>
      <c r="Q4503" s="25"/>
      <c r="R4503" s="26" t="s">
        <v>14386</v>
      </c>
      <c r="S4503" s="26" t="s">
        <v>93</v>
      </c>
      <c r="T4503" s="6" t="str">
        <f>HYPERLINK("https://kanzpp.ru/api/getInfo/image/f9453840-3c2b-11ee-a241-00155d82e902")</f>
        <v>https://kanzpp.ru/api/getInfo/image/f9453840-3c2b-11ee-a241-00155d82e902</v>
      </c>
      <c r="U4503" s="6"/>
      <c r="V4503" s="33" t="s">
        <v>35</v>
      </c>
    </row>
    <row r="4504" spans="2:22" ht="21" customHeight="1" outlineLevel="5" x14ac:dyDescent="0.2">
      <c r="B4504" s="69">
        <v>3427</v>
      </c>
      <c r="C4504" s="6" t="s">
        <v>14387</v>
      </c>
      <c r="D4504" s="6" t="s">
        <v>14388</v>
      </c>
      <c r="E4504" s="7" t="s">
        <v>14389</v>
      </c>
      <c r="F4504" s="13"/>
      <c r="G4504" s="14"/>
      <c r="H4504" s="15">
        <v>80</v>
      </c>
      <c r="I4504" s="15">
        <v>10</v>
      </c>
      <c r="J4504" s="15">
        <v>160</v>
      </c>
      <c r="K4504" s="5">
        <v>80</v>
      </c>
      <c r="L4504" s="16">
        <v>15.866666666666667</v>
      </c>
      <c r="M4504" s="12"/>
      <c r="N4504" s="14">
        <f t="shared" si="223"/>
        <v>0</v>
      </c>
      <c r="O4504" s="23">
        <f>0.108*M4504</f>
        <v>0</v>
      </c>
      <c r="P4504" s="24">
        <f>0.00025*M4504</f>
        <v>0</v>
      </c>
      <c r="Q4504" s="25"/>
      <c r="R4504" s="26" t="s">
        <v>14390</v>
      </c>
      <c r="S4504" s="26" t="s">
        <v>93</v>
      </c>
      <c r="T4504" s="6" t="str">
        <f>HYPERLINK("https://kanzpp.ru/api/getInfo/image/6ddd38ac-3c2c-11ee-a241-00155d82e902")</f>
        <v>https://kanzpp.ru/api/getInfo/image/6ddd38ac-3c2c-11ee-a241-00155d82e902</v>
      </c>
      <c r="U4504" s="6"/>
      <c r="V4504" s="33" t="s">
        <v>35</v>
      </c>
    </row>
    <row r="4505" spans="2:22" ht="21" customHeight="1" outlineLevel="5" x14ac:dyDescent="0.2">
      <c r="B4505" s="69">
        <v>3428</v>
      </c>
      <c r="C4505" s="6" t="s">
        <v>14391</v>
      </c>
      <c r="D4505" s="6" t="s">
        <v>14392</v>
      </c>
      <c r="E4505" s="7" t="s">
        <v>14393</v>
      </c>
      <c r="F4505" s="13"/>
      <c r="G4505" s="14"/>
      <c r="H4505" s="15">
        <v>80</v>
      </c>
      <c r="I4505" s="15">
        <v>10</v>
      </c>
      <c r="J4505" s="17">
        <v>1380</v>
      </c>
      <c r="K4505" s="5">
        <v>80</v>
      </c>
      <c r="L4505" s="16">
        <v>15.866666666666667</v>
      </c>
      <c r="M4505" s="12"/>
      <c r="N4505" s="14">
        <f t="shared" si="223"/>
        <v>0</v>
      </c>
      <c r="O4505" s="23">
        <f>0.108*M4505</f>
        <v>0</v>
      </c>
      <c r="P4505" s="24">
        <f>0.00025*M4505</f>
        <v>0</v>
      </c>
      <c r="Q4505" s="25"/>
      <c r="R4505" s="26" t="s">
        <v>14394</v>
      </c>
      <c r="S4505" s="26" t="s">
        <v>93</v>
      </c>
      <c r="T4505" s="6" t="str">
        <f>HYPERLINK("https://kanzpp.ru/api/getInfo/image/06ab0fa8-3c2d-11ee-a241-00155d82e902")</f>
        <v>https://kanzpp.ru/api/getInfo/image/06ab0fa8-3c2d-11ee-a241-00155d82e902</v>
      </c>
      <c r="U4505" s="6"/>
      <c r="V4505" s="33" t="s">
        <v>35</v>
      </c>
    </row>
    <row r="4506" spans="2:22" ht="21" customHeight="1" outlineLevel="5" x14ac:dyDescent="0.2">
      <c r="B4506" s="69">
        <v>3429</v>
      </c>
      <c r="C4506" s="6" t="s">
        <v>14395</v>
      </c>
      <c r="D4506" s="6" t="s">
        <v>14396</v>
      </c>
      <c r="E4506" s="7" t="s">
        <v>14397</v>
      </c>
      <c r="F4506" s="13"/>
      <c r="G4506" s="14"/>
      <c r="H4506" s="15">
        <v>80</v>
      </c>
      <c r="I4506" s="15">
        <v>10</v>
      </c>
      <c r="J4506" s="15">
        <v>190</v>
      </c>
      <c r="K4506" s="5">
        <v>80</v>
      </c>
      <c r="L4506" s="16">
        <v>15.866666666666667</v>
      </c>
      <c r="M4506" s="12"/>
      <c r="N4506" s="14">
        <f t="shared" si="223"/>
        <v>0</v>
      </c>
      <c r="O4506" s="23">
        <f>0.108*M4506</f>
        <v>0</v>
      </c>
      <c r="P4506" s="24">
        <f>0.00025*M4506</f>
        <v>0</v>
      </c>
      <c r="Q4506" s="25"/>
      <c r="R4506" s="26" t="s">
        <v>14398</v>
      </c>
      <c r="S4506" s="26" t="s">
        <v>93</v>
      </c>
      <c r="T4506" s="6" t="str">
        <f>HYPERLINK("https://kanzpp.ru/api/getInfo/image/5644f539-3c2d-11ee-a241-00155d82e902")</f>
        <v>https://kanzpp.ru/api/getInfo/image/5644f539-3c2d-11ee-a241-00155d82e902</v>
      </c>
      <c r="U4506" s="6"/>
      <c r="V4506" s="33" t="s">
        <v>35</v>
      </c>
    </row>
    <row r="4507" spans="2:22" ht="21" customHeight="1" outlineLevel="5" x14ac:dyDescent="0.2">
      <c r="B4507" s="69">
        <v>3430</v>
      </c>
      <c r="C4507" s="6" t="s">
        <v>14399</v>
      </c>
      <c r="D4507" s="6" t="s">
        <v>14400</v>
      </c>
      <c r="E4507" s="7" t="s">
        <v>14401</v>
      </c>
      <c r="F4507" s="13"/>
      <c r="G4507" s="14"/>
      <c r="H4507" s="15">
        <v>80</v>
      </c>
      <c r="I4507" s="15">
        <v>10</v>
      </c>
      <c r="J4507" s="17">
        <v>1440</v>
      </c>
      <c r="K4507" s="5">
        <v>80</v>
      </c>
      <c r="L4507" s="16">
        <v>15.866666666666667</v>
      </c>
      <c r="M4507" s="12"/>
      <c r="N4507" s="14">
        <f t="shared" si="223"/>
        <v>0</v>
      </c>
      <c r="O4507" s="23">
        <f>0.106*M4507</f>
        <v>0</v>
      </c>
      <c r="P4507" s="24">
        <f>0.00021*M4507</f>
        <v>0</v>
      </c>
      <c r="Q4507" s="25"/>
      <c r="R4507" s="26" t="s">
        <v>14402</v>
      </c>
      <c r="S4507" s="26" t="s">
        <v>93</v>
      </c>
      <c r="T4507" s="6" t="str">
        <f>HYPERLINK("https://kanzpp.ru/api/getInfo/image/f1f12579-3c2d-11ee-a241-00155d82e902")</f>
        <v>https://kanzpp.ru/api/getInfo/image/f1f12579-3c2d-11ee-a241-00155d82e902</v>
      </c>
      <c r="U4507" s="6"/>
      <c r="V4507" s="33" t="s">
        <v>35</v>
      </c>
    </row>
    <row r="4508" spans="2:22" ht="21" customHeight="1" outlineLevel="5" x14ac:dyDescent="0.2">
      <c r="B4508" s="69">
        <v>3431</v>
      </c>
      <c r="C4508" s="6" t="s">
        <v>14403</v>
      </c>
      <c r="D4508" s="6" t="s">
        <v>14404</v>
      </c>
      <c r="E4508" s="7" t="s">
        <v>14405</v>
      </c>
      <c r="F4508" s="13"/>
      <c r="G4508" s="14"/>
      <c r="H4508" s="15">
        <v>80</v>
      </c>
      <c r="I4508" s="15">
        <v>10</v>
      </c>
      <c r="J4508" s="14" t="s">
        <v>144</v>
      </c>
      <c r="K4508" s="5">
        <v>80</v>
      </c>
      <c r="L4508" s="16">
        <v>15.866666666666667</v>
      </c>
      <c r="M4508" s="12"/>
      <c r="N4508" s="14">
        <f t="shared" si="223"/>
        <v>0</v>
      </c>
      <c r="O4508" s="23">
        <f>1.064*M4508</f>
        <v>0</v>
      </c>
      <c r="P4508" s="24">
        <f>0.00204*M4508</f>
        <v>0</v>
      </c>
      <c r="Q4508" s="25"/>
      <c r="R4508" s="26" t="s">
        <v>14406</v>
      </c>
      <c r="S4508" s="26" t="s">
        <v>93</v>
      </c>
      <c r="T4508" s="6" t="str">
        <f>HYPERLINK("https://kanzpp.ru/api/getInfo/image/f8663eb6-3c2e-11ee-a241-00155d82e902")</f>
        <v>https://kanzpp.ru/api/getInfo/image/f8663eb6-3c2e-11ee-a241-00155d82e902</v>
      </c>
      <c r="U4508" s="6"/>
      <c r="V4508" s="33" t="s">
        <v>35</v>
      </c>
    </row>
    <row r="4509" spans="2:22" ht="21" customHeight="1" outlineLevel="5" x14ac:dyDescent="0.2">
      <c r="B4509" s="69">
        <v>3432</v>
      </c>
      <c r="C4509" s="6" t="s">
        <v>14407</v>
      </c>
      <c r="D4509" s="6" t="s">
        <v>14408</v>
      </c>
      <c r="E4509" s="7" t="s">
        <v>14409</v>
      </c>
      <c r="F4509" s="13"/>
      <c r="G4509" s="14"/>
      <c r="H4509" s="15">
        <v>80</v>
      </c>
      <c r="I4509" s="15">
        <v>10</v>
      </c>
      <c r="J4509" s="17">
        <v>2710</v>
      </c>
      <c r="K4509" s="5">
        <v>80</v>
      </c>
      <c r="L4509" s="16">
        <v>15.866666666666667</v>
      </c>
      <c r="M4509" s="12"/>
      <c r="N4509" s="14">
        <f t="shared" si="223"/>
        <v>0</v>
      </c>
      <c r="O4509" s="23">
        <f>0.108*M4509</f>
        <v>0</v>
      </c>
      <c r="P4509" s="24">
        <f>0.00025*M4509</f>
        <v>0</v>
      </c>
      <c r="Q4509" s="25"/>
      <c r="R4509" s="26" t="s">
        <v>14410</v>
      </c>
      <c r="S4509" s="26" t="s">
        <v>93</v>
      </c>
      <c r="T4509" s="6" t="str">
        <f>HYPERLINK("https://kanzpp.ru/api/getInfo/image/4e3b2e66-3c2f-11ee-a241-00155d82e902")</f>
        <v>https://kanzpp.ru/api/getInfo/image/4e3b2e66-3c2f-11ee-a241-00155d82e902</v>
      </c>
      <c r="U4509" s="6"/>
      <c r="V4509" s="33" t="s">
        <v>35</v>
      </c>
    </row>
    <row r="4510" spans="2:22" ht="22.95" customHeight="1" outlineLevel="4" x14ac:dyDescent="0.2">
      <c r="B4510" s="82" t="s">
        <v>14411</v>
      </c>
      <c r="C4510" s="82"/>
      <c r="D4510" s="82"/>
      <c r="L4510">
        <v>0</v>
      </c>
    </row>
    <row r="4511" spans="2:22" ht="21" customHeight="1" outlineLevel="5" x14ac:dyDescent="0.2">
      <c r="B4511" s="69">
        <v>3433</v>
      </c>
      <c r="C4511" s="6" t="s">
        <v>14412</v>
      </c>
      <c r="D4511" s="6" t="s">
        <v>14413</v>
      </c>
      <c r="E4511" s="7" t="s">
        <v>14414</v>
      </c>
      <c r="F4511" s="13"/>
      <c r="G4511" s="14"/>
      <c r="H4511" s="15">
        <v>80</v>
      </c>
      <c r="I4511" s="15">
        <v>10</v>
      </c>
      <c r="J4511" s="17">
        <v>3400</v>
      </c>
      <c r="K4511" s="5">
        <v>80</v>
      </c>
      <c r="L4511" s="16">
        <v>13.200000000000001</v>
      </c>
      <c r="M4511" s="12"/>
      <c r="N4511" s="14">
        <f>L4511*M4511</f>
        <v>0</v>
      </c>
      <c r="O4511" s="23">
        <f>0.111*M4511</f>
        <v>0</v>
      </c>
      <c r="P4511" s="24">
        <f>0.00018*M4511</f>
        <v>0</v>
      </c>
      <c r="Q4511" s="25"/>
      <c r="R4511" s="26" t="s">
        <v>14415</v>
      </c>
      <c r="S4511" s="26" t="s">
        <v>93</v>
      </c>
      <c r="T4511" s="6" t="str">
        <f>HYPERLINK("https://kanzpp.ru/api/getInfo/image/a8138277-3c11-11ee-a241-00155d82e902")</f>
        <v>https://kanzpp.ru/api/getInfo/image/a8138277-3c11-11ee-a241-00155d82e902</v>
      </c>
      <c r="U4511" s="6"/>
      <c r="V4511" s="33" t="s">
        <v>35</v>
      </c>
    </row>
    <row r="4512" spans="2:22" ht="21" customHeight="1" outlineLevel="5" x14ac:dyDescent="0.2">
      <c r="B4512" s="69">
        <v>3434</v>
      </c>
      <c r="C4512" s="6" t="s">
        <v>14416</v>
      </c>
      <c r="D4512" s="6" t="s">
        <v>14417</v>
      </c>
      <c r="E4512" s="7" t="s">
        <v>14418</v>
      </c>
      <c r="F4512" s="13"/>
      <c r="G4512" s="14"/>
      <c r="H4512" s="15">
        <v>80</v>
      </c>
      <c r="I4512" s="15">
        <v>10</v>
      </c>
      <c r="J4512" s="17">
        <v>2810</v>
      </c>
      <c r="K4512" s="5">
        <v>80</v>
      </c>
      <c r="L4512" s="16">
        <v>13.200000000000001</v>
      </c>
      <c r="M4512" s="12"/>
      <c r="N4512" s="14">
        <f>L4512*M4512</f>
        <v>0</v>
      </c>
      <c r="O4512" s="23">
        <f>0.111*M4512</f>
        <v>0</v>
      </c>
      <c r="P4512" s="24">
        <f>0.00028*M4512</f>
        <v>0</v>
      </c>
      <c r="Q4512" s="25"/>
      <c r="R4512" s="26" t="s">
        <v>14419</v>
      </c>
      <c r="S4512" s="26" t="s">
        <v>93</v>
      </c>
      <c r="T4512" s="6" t="str">
        <f>HYPERLINK("https://kanzpp.ru/api/getInfo/image/ffc3d9c9-3c12-11ee-a241-00155d82e902")</f>
        <v>https://kanzpp.ru/api/getInfo/image/ffc3d9c9-3c12-11ee-a241-00155d82e902</v>
      </c>
      <c r="U4512" s="6"/>
      <c r="V4512" s="33" t="s">
        <v>35</v>
      </c>
    </row>
    <row r="4513" spans="2:22" ht="22.95" customHeight="1" outlineLevel="4" x14ac:dyDescent="0.2">
      <c r="B4513" s="82" t="s">
        <v>14420</v>
      </c>
      <c r="C4513" s="82"/>
      <c r="D4513" s="82"/>
      <c r="L4513">
        <v>0</v>
      </c>
    </row>
    <row r="4514" spans="2:22" ht="21" customHeight="1" outlineLevel="5" x14ac:dyDescent="0.2">
      <c r="B4514" s="69">
        <v>3435</v>
      </c>
      <c r="C4514" s="6" t="s">
        <v>14421</v>
      </c>
      <c r="D4514" s="6" t="s">
        <v>14422</v>
      </c>
      <c r="E4514" s="7" t="s">
        <v>14423</v>
      </c>
      <c r="F4514" s="13"/>
      <c r="G4514" s="14"/>
      <c r="H4514" s="15">
        <v>80</v>
      </c>
      <c r="I4514" s="15">
        <v>10</v>
      </c>
      <c r="J4514" s="14" t="s">
        <v>144</v>
      </c>
      <c r="K4514" s="5">
        <v>80</v>
      </c>
      <c r="L4514" s="16">
        <v>15.866666666666667</v>
      </c>
      <c r="M4514" s="12"/>
      <c r="N4514" s="14">
        <f t="shared" ref="N4514:N4520" si="224">L4514*M4514</f>
        <v>0</v>
      </c>
      <c r="O4514" s="23">
        <f>0.111*M4514</f>
        <v>0</v>
      </c>
      <c r="P4514" s="24">
        <f t="shared" ref="P4514:P4519" si="225">0.00025*M4514</f>
        <v>0</v>
      </c>
      <c r="Q4514" s="25"/>
      <c r="R4514" s="26" t="s">
        <v>14424</v>
      </c>
      <c r="S4514" s="26" t="s">
        <v>93</v>
      </c>
      <c r="T4514" s="6" t="str">
        <f>HYPERLINK("https://kanzpp.ru/api/getInfo/image/ee7e46c0-3c0c-11ee-a241-00155d82e902")</f>
        <v>https://kanzpp.ru/api/getInfo/image/ee7e46c0-3c0c-11ee-a241-00155d82e902</v>
      </c>
      <c r="U4514" s="6"/>
      <c r="V4514" s="33" t="s">
        <v>35</v>
      </c>
    </row>
    <row r="4515" spans="2:22" ht="21" customHeight="1" outlineLevel="5" x14ac:dyDescent="0.2">
      <c r="B4515" s="69">
        <v>3436</v>
      </c>
      <c r="C4515" s="6" t="s">
        <v>14425</v>
      </c>
      <c r="D4515" s="6" t="s">
        <v>14426</v>
      </c>
      <c r="E4515" s="7" t="s">
        <v>14427</v>
      </c>
      <c r="F4515" s="13"/>
      <c r="G4515" s="14"/>
      <c r="H4515" s="15">
        <v>80</v>
      </c>
      <c r="I4515" s="15">
        <v>10</v>
      </c>
      <c r="J4515" s="14" t="s">
        <v>144</v>
      </c>
      <c r="K4515" s="5">
        <v>80</v>
      </c>
      <c r="L4515" s="16">
        <v>15.866666666666667</v>
      </c>
      <c r="M4515" s="12"/>
      <c r="N4515" s="14">
        <f t="shared" si="224"/>
        <v>0</v>
      </c>
      <c r="O4515" s="23">
        <f>0.114*M4515</f>
        <v>0</v>
      </c>
      <c r="P4515" s="24">
        <f t="shared" si="225"/>
        <v>0</v>
      </c>
      <c r="Q4515" s="25"/>
      <c r="R4515" s="26" t="s">
        <v>14428</v>
      </c>
      <c r="S4515" s="26" t="s">
        <v>93</v>
      </c>
      <c r="T4515" s="6" t="str">
        <f>HYPERLINK("https://kanzpp.ru/api/getInfo/image/46a86716-3c31-11ee-a241-00155d82e902")</f>
        <v>https://kanzpp.ru/api/getInfo/image/46a86716-3c31-11ee-a241-00155d82e902</v>
      </c>
      <c r="U4515" s="6"/>
      <c r="V4515" s="33" t="s">
        <v>35</v>
      </c>
    </row>
    <row r="4516" spans="2:22" ht="21" customHeight="1" outlineLevel="5" x14ac:dyDescent="0.2">
      <c r="B4516" s="69">
        <v>3437</v>
      </c>
      <c r="C4516" s="6" t="s">
        <v>14429</v>
      </c>
      <c r="D4516" s="6" t="s">
        <v>14430</v>
      </c>
      <c r="E4516" s="7" t="s">
        <v>14431</v>
      </c>
      <c r="F4516" s="13"/>
      <c r="G4516" s="14"/>
      <c r="H4516" s="15">
        <v>80</v>
      </c>
      <c r="I4516" s="15">
        <v>10</v>
      </c>
      <c r="J4516" s="15">
        <v>663</v>
      </c>
      <c r="K4516" s="5">
        <v>80</v>
      </c>
      <c r="L4516" s="16">
        <v>15.866666666666667</v>
      </c>
      <c r="M4516" s="12"/>
      <c r="N4516" s="14">
        <f t="shared" si="224"/>
        <v>0</v>
      </c>
      <c r="O4516" s="23">
        <f>0.114*M4516</f>
        <v>0</v>
      </c>
      <c r="P4516" s="24">
        <f t="shared" si="225"/>
        <v>0</v>
      </c>
      <c r="Q4516" s="25"/>
      <c r="R4516" s="26" t="s">
        <v>14432</v>
      </c>
      <c r="S4516" s="26" t="s">
        <v>93</v>
      </c>
      <c r="T4516" s="6" t="str">
        <f>HYPERLINK("https://kanzpp.ru/api/getInfo/image/99680922-3c31-11ee-a241-00155d82e902")</f>
        <v>https://kanzpp.ru/api/getInfo/image/99680922-3c31-11ee-a241-00155d82e902</v>
      </c>
      <c r="U4516" s="6"/>
      <c r="V4516" s="33" t="s">
        <v>35</v>
      </c>
    </row>
    <row r="4517" spans="2:22" ht="21" customHeight="1" outlineLevel="5" x14ac:dyDescent="0.2">
      <c r="B4517" s="69">
        <v>3438</v>
      </c>
      <c r="C4517" s="6" t="s">
        <v>14433</v>
      </c>
      <c r="D4517" s="6" t="s">
        <v>14434</v>
      </c>
      <c r="E4517" s="7" t="s">
        <v>14435</v>
      </c>
      <c r="F4517" s="13"/>
      <c r="G4517" s="14"/>
      <c r="H4517" s="15">
        <v>80</v>
      </c>
      <c r="I4517" s="15">
        <v>10</v>
      </c>
      <c r="J4517" s="17">
        <v>3620</v>
      </c>
      <c r="K4517" s="5">
        <v>80</v>
      </c>
      <c r="L4517" s="16">
        <v>15.866666666666667</v>
      </c>
      <c r="M4517" s="12"/>
      <c r="N4517" s="14">
        <f t="shared" si="224"/>
        <v>0</v>
      </c>
      <c r="O4517" s="23">
        <f>0.114*M4517</f>
        <v>0</v>
      </c>
      <c r="P4517" s="24">
        <f t="shared" si="225"/>
        <v>0</v>
      </c>
      <c r="Q4517" s="25"/>
      <c r="R4517" s="26" t="s">
        <v>14436</v>
      </c>
      <c r="S4517" s="26" t="s">
        <v>93</v>
      </c>
      <c r="T4517" s="6" t="str">
        <f>HYPERLINK("https://kanzpp.ru/api/getInfo/image/580f5411-3c32-11ee-a241-00155d82e902")</f>
        <v>https://kanzpp.ru/api/getInfo/image/580f5411-3c32-11ee-a241-00155d82e902</v>
      </c>
      <c r="U4517" s="6"/>
      <c r="V4517" s="33" t="s">
        <v>35</v>
      </c>
    </row>
    <row r="4518" spans="2:22" ht="21" customHeight="1" outlineLevel="5" x14ac:dyDescent="0.2">
      <c r="B4518" s="69">
        <v>3439</v>
      </c>
      <c r="C4518" s="6" t="s">
        <v>14437</v>
      </c>
      <c r="D4518" s="6" t="s">
        <v>14438</v>
      </c>
      <c r="E4518" s="7" t="s">
        <v>14439</v>
      </c>
      <c r="F4518" s="13"/>
      <c r="G4518" s="14"/>
      <c r="H4518" s="15">
        <v>80</v>
      </c>
      <c r="I4518" s="15">
        <v>10</v>
      </c>
      <c r="J4518" s="17">
        <v>2500</v>
      </c>
      <c r="K4518" s="5">
        <v>80</v>
      </c>
      <c r="L4518" s="16">
        <v>15.866666666666667</v>
      </c>
      <c r="M4518" s="12"/>
      <c r="N4518" s="14">
        <f t="shared" si="224"/>
        <v>0</v>
      </c>
      <c r="O4518" s="23">
        <f>0.114*M4518</f>
        <v>0</v>
      </c>
      <c r="P4518" s="24">
        <f t="shared" si="225"/>
        <v>0</v>
      </c>
      <c r="Q4518" s="25"/>
      <c r="R4518" s="26" t="s">
        <v>14440</v>
      </c>
      <c r="S4518" s="26" t="s">
        <v>93</v>
      </c>
      <c r="T4518" s="6" t="str">
        <f>HYPERLINK("https://kanzpp.ru/api/getInfo/image/cae20097-3c32-11ee-a241-00155d82e902")</f>
        <v>https://kanzpp.ru/api/getInfo/image/cae20097-3c32-11ee-a241-00155d82e902</v>
      </c>
      <c r="U4518" s="6"/>
      <c r="V4518" s="33" t="s">
        <v>35</v>
      </c>
    </row>
    <row r="4519" spans="2:22" ht="21" customHeight="1" outlineLevel="5" x14ac:dyDescent="0.2">
      <c r="B4519" s="69">
        <v>3440</v>
      </c>
      <c r="C4519" s="6" t="s">
        <v>14441</v>
      </c>
      <c r="D4519" s="6" t="s">
        <v>14442</v>
      </c>
      <c r="E4519" s="7" t="s">
        <v>14443</v>
      </c>
      <c r="F4519" s="13"/>
      <c r="G4519" s="14"/>
      <c r="H4519" s="15">
        <v>80</v>
      </c>
      <c r="I4519" s="15">
        <v>10</v>
      </c>
      <c r="J4519" s="17">
        <v>1220</v>
      </c>
      <c r="K4519" s="5">
        <v>80</v>
      </c>
      <c r="L4519" s="16">
        <v>15.866666666666667</v>
      </c>
      <c r="M4519" s="12"/>
      <c r="N4519" s="14">
        <f t="shared" si="224"/>
        <v>0</v>
      </c>
      <c r="O4519" s="23">
        <f>0.114*M4519</f>
        <v>0</v>
      </c>
      <c r="P4519" s="24">
        <f t="shared" si="225"/>
        <v>0</v>
      </c>
      <c r="Q4519" s="25"/>
      <c r="R4519" s="26" t="s">
        <v>14444</v>
      </c>
      <c r="S4519" s="26" t="s">
        <v>93</v>
      </c>
      <c r="T4519" s="6" t="str">
        <f>HYPERLINK("https://kanzpp.ru/api/getInfo/image/15980fc2-3c33-11ee-a241-00155d82e902")</f>
        <v>https://kanzpp.ru/api/getInfo/image/15980fc2-3c33-11ee-a241-00155d82e902</v>
      </c>
      <c r="U4519" s="6"/>
      <c r="V4519" s="33" t="s">
        <v>35</v>
      </c>
    </row>
    <row r="4520" spans="2:22" ht="21" customHeight="1" outlineLevel="5" x14ac:dyDescent="0.2">
      <c r="B4520" s="69">
        <v>3441</v>
      </c>
      <c r="C4520" s="6" t="s">
        <v>14445</v>
      </c>
      <c r="D4520" s="6" t="s">
        <v>14446</v>
      </c>
      <c r="E4520" s="7" t="s">
        <v>14447</v>
      </c>
      <c r="F4520" s="13"/>
      <c r="G4520" s="14"/>
      <c r="H4520" s="15">
        <v>80</v>
      </c>
      <c r="I4520" s="15">
        <v>10</v>
      </c>
      <c r="J4520" s="15">
        <v>240</v>
      </c>
      <c r="K4520" s="5">
        <v>80</v>
      </c>
      <c r="L4520" s="16">
        <v>15.866666666666667</v>
      </c>
      <c r="M4520" s="12"/>
      <c r="N4520" s="14">
        <f t="shared" si="224"/>
        <v>0</v>
      </c>
      <c r="O4520" s="23">
        <f>0.115*M4520</f>
        <v>0</v>
      </c>
      <c r="P4520" s="24">
        <f>0.00021*M4520</f>
        <v>0</v>
      </c>
      <c r="Q4520" s="25"/>
      <c r="R4520" s="26" t="s">
        <v>14448</v>
      </c>
      <c r="S4520" s="26" t="s">
        <v>93</v>
      </c>
      <c r="T4520" s="6" t="str">
        <f>HYPERLINK("https://kanzpp.ru/api/getInfo/image/5186662b-3c33-11ee-a241-00155d82e902")</f>
        <v>https://kanzpp.ru/api/getInfo/image/5186662b-3c33-11ee-a241-00155d82e902</v>
      </c>
      <c r="U4520" s="6"/>
      <c r="V4520" s="33" t="s">
        <v>35</v>
      </c>
    </row>
    <row r="4521" spans="2:22" ht="22.95" customHeight="1" outlineLevel="3" x14ac:dyDescent="0.2">
      <c r="B4521" s="81" t="s">
        <v>14449</v>
      </c>
      <c r="C4521" s="81"/>
      <c r="D4521" s="81"/>
      <c r="L4521">
        <v>0</v>
      </c>
    </row>
    <row r="4522" spans="2:22" ht="21" customHeight="1" outlineLevel="4" x14ac:dyDescent="0.2">
      <c r="B4522" s="69">
        <v>3442</v>
      </c>
      <c r="C4522" s="6" t="s">
        <v>14450</v>
      </c>
      <c r="D4522" s="6" t="s">
        <v>14451</v>
      </c>
      <c r="E4522" s="7" t="s">
        <v>14452</v>
      </c>
      <c r="F4522" s="13"/>
      <c r="G4522" s="14"/>
      <c r="H4522" s="15">
        <v>12</v>
      </c>
      <c r="I4522" s="14"/>
      <c r="J4522" s="15">
        <v>12</v>
      </c>
      <c r="K4522" s="5">
        <v>12</v>
      </c>
      <c r="L4522" s="16">
        <v>163.86666666666667</v>
      </c>
      <c r="M4522" s="12"/>
      <c r="N4522" s="14">
        <f>L4522*M4522</f>
        <v>0</v>
      </c>
      <c r="O4522" s="28">
        <f>0.44*M4522</f>
        <v>0</v>
      </c>
      <c r="P4522" s="24">
        <f>0.00068*M4522</f>
        <v>0</v>
      </c>
      <c r="Q4522" s="25"/>
      <c r="R4522" s="26" t="s">
        <v>14453</v>
      </c>
      <c r="S4522" s="26" t="s">
        <v>93</v>
      </c>
      <c r="T4522" s="6" t="str">
        <f>HYPERLINK("https://kanzpp.ru/api/getInfo/image/79c8198a-1371-11f0-a279-00155d82e908")</f>
        <v>https://kanzpp.ru/api/getInfo/image/79c8198a-1371-11f0-a279-00155d82e908</v>
      </c>
      <c r="U4522" s="6"/>
      <c r="V4522" s="33" t="s">
        <v>35</v>
      </c>
    </row>
    <row r="4523" spans="2:22" ht="21" customHeight="1" outlineLevel="4" x14ac:dyDescent="0.2">
      <c r="B4523" s="69">
        <v>3443</v>
      </c>
      <c r="C4523" s="6" t="s">
        <v>14454</v>
      </c>
      <c r="D4523" s="6" t="s">
        <v>14455</v>
      </c>
      <c r="E4523" s="7" t="s">
        <v>14456</v>
      </c>
      <c r="F4523" s="13"/>
      <c r="G4523" s="14"/>
      <c r="H4523" s="15">
        <v>12</v>
      </c>
      <c r="I4523" s="14"/>
      <c r="J4523" s="15">
        <v>115</v>
      </c>
      <c r="K4523" s="5">
        <v>12</v>
      </c>
      <c r="L4523" s="16">
        <v>133.20000000000002</v>
      </c>
      <c r="M4523" s="12"/>
      <c r="N4523" s="14">
        <f>L4523*M4523</f>
        <v>0</v>
      </c>
      <c r="O4523" s="28">
        <f>0.43*M4523</f>
        <v>0</v>
      </c>
      <c r="P4523" s="24">
        <f>0.00068*M4523</f>
        <v>0</v>
      </c>
      <c r="Q4523" s="25"/>
      <c r="R4523" s="26" t="s">
        <v>14457</v>
      </c>
      <c r="S4523" s="26" t="s">
        <v>93</v>
      </c>
      <c r="T4523" s="6" t="str">
        <f>HYPERLINK("https://kanzpp.ru/api/getInfo/image/1ea67c2b-1372-11f0-a279-00155d82e908")</f>
        <v>https://kanzpp.ru/api/getInfo/image/1ea67c2b-1372-11f0-a279-00155d82e908</v>
      </c>
      <c r="U4523" s="6"/>
      <c r="V4523" s="33" t="s">
        <v>35</v>
      </c>
    </row>
    <row r="4524" spans="2:22" ht="22.95" customHeight="1" outlineLevel="4" x14ac:dyDescent="0.2">
      <c r="B4524" s="82" t="s">
        <v>14458</v>
      </c>
      <c r="C4524" s="82"/>
      <c r="D4524" s="82"/>
      <c r="L4524">
        <v>0</v>
      </c>
    </row>
    <row r="4525" spans="2:22" ht="21" customHeight="1" outlineLevel="5" x14ac:dyDescent="0.2">
      <c r="B4525" s="69">
        <v>3444</v>
      </c>
      <c r="C4525" s="6" t="s">
        <v>14459</v>
      </c>
      <c r="D4525" s="6" t="s">
        <v>14460</v>
      </c>
      <c r="E4525" s="7" t="s">
        <v>14461</v>
      </c>
      <c r="F4525" s="13"/>
      <c r="G4525" s="14"/>
      <c r="H4525" s="15">
        <v>8</v>
      </c>
      <c r="I4525" s="14"/>
      <c r="J4525" s="15">
        <v>102</v>
      </c>
      <c r="K4525" s="5">
        <v>8</v>
      </c>
      <c r="L4525" s="16">
        <v>371.06666666666666</v>
      </c>
      <c r="M4525" s="12"/>
      <c r="N4525" s="14">
        <f>L4525*M4525</f>
        <v>0</v>
      </c>
      <c r="O4525" s="23">
        <f>1.304*M4525</f>
        <v>0</v>
      </c>
      <c r="P4525" s="24">
        <f>0.00216*M4525</f>
        <v>0</v>
      </c>
      <c r="Q4525" s="25"/>
      <c r="R4525" s="26" t="s">
        <v>14462</v>
      </c>
      <c r="S4525" s="26" t="s">
        <v>93</v>
      </c>
      <c r="T4525" s="6"/>
      <c r="U4525" s="6"/>
      <c r="V4525" s="33" t="s">
        <v>35</v>
      </c>
    </row>
    <row r="4526" spans="2:22" ht="22.95" customHeight="1" outlineLevel="2" x14ac:dyDescent="0.2">
      <c r="B4526" s="80" t="s">
        <v>14463</v>
      </c>
      <c r="C4526" s="80"/>
      <c r="D4526" s="80"/>
      <c r="L4526">
        <v>0</v>
      </c>
    </row>
    <row r="4527" spans="2:22" ht="22.95" customHeight="1" outlineLevel="3" x14ac:dyDescent="0.2">
      <c r="B4527" s="81" t="s">
        <v>14464</v>
      </c>
      <c r="C4527" s="81"/>
      <c r="D4527" s="81"/>
      <c r="L4527">
        <v>0</v>
      </c>
    </row>
    <row r="4528" spans="2:22" ht="22.95" customHeight="1" outlineLevel="4" x14ac:dyDescent="0.2">
      <c r="B4528" s="82" t="s">
        <v>14465</v>
      </c>
      <c r="C4528" s="82"/>
      <c r="D4528" s="82"/>
      <c r="L4528">
        <v>0</v>
      </c>
    </row>
    <row r="4529" spans="2:22" ht="21" customHeight="1" outlineLevel="5" x14ac:dyDescent="0.2">
      <c r="B4529" s="69">
        <v>3445</v>
      </c>
      <c r="C4529" s="6" t="s">
        <v>14466</v>
      </c>
      <c r="D4529" s="6" t="s">
        <v>14467</v>
      </c>
      <c r="E4529" s="7" t="s">
        <v>14468</v>
      </c>
      <c r="F4529" s="13"/>
      <c r="G4529" s="14"/>
      <c r="H4529" s="15">
        <v>80</v>
      </c>
      <c r="I4529" s="14"/>
      <c r="J4529" s="17">
        <v>4540</v>
      </c>
      <c r="K4529" s="5">
        <v>80</v>
      </c>
      <c r="L4529" s="16">
        <v>26.533333333333331</v>
      </c>
      <c r="M4529" s="12"/>
      <c r="N4529" s="14">
        <f>L4529*M4529</f>
        <v>0</v>
      </c>
      <c r="O4529" s="23">
        <f>0.112*M4529</f>
        <v>0</v>
      </c>
      <c r="P4529" s="24">
        <f>0.00016*M4529</f>
        <v>0</v>
      </c>
      <c r="Q4529" s="25"/>
      <c r="R4529" s="26" t="s">
        <v>14469</v>
      </c>
      <c r="S4529" s="26" t="s">
        <v>93</v>
      </c>
      <c r="T4529" s="6" t="str">
        <f>HYPERLINK("https://kanzpp.ru/api/getInfo/image/c25ca919-7fc7-11e6-97eb-5cf3fc4a2490")</f>
        <v>https://kanzpp.ru/api/getInfo/image/c25ca919-7fc7-11e6-97eb-5cf3fc4a2490</v>
      </c>
      <c r="U4529" s="6"/>
      <c r="V4529" s="33" t="s">
        <v>35</v>
      </c>
    </row>
    <row r="4530" spans="2:22" ht="21" customHeight="1" outlineLevel="5" x14ac:dyDescent="0.2">
      <c r="B4530" s="69">
        <v>3446</v>
      </c>
      <c r="C4530" s="6" t="s">
        <v>14470</v>
      </c>
      <c r="D4530" s="6" t="s">
        <v>14471</v>
      </c>
      <c r="E4530" s="7" t="s">
        <v>14472</v>
      </c>
      <c r="F4530" s="13"/>
      <c r="G4530" s="14"/>
      <c r="H4530" s="15">
        <v>80</v>
      </c>
      <c r="I4530" s="14"/>
      <c r="J4530" s="17">
        <v>7229</v>
      </c>
      <c r="K4530" s="5">
        <v>80</v>
      </c>
      <c r="L4530" s="16">
        <v>26.533333333333331</v>
      </c>
      <c r="M4530" s="12"/>
      <c r="N4530" s="14">
        <f>L4530*M4530</f>
        <v>0</v>
      </c>
      <c r="O4530" s="23">
        <f>0.112*M4530</f>
        <v>0</v>
      </c>
      <c r="P4530" s="24">
        <f>0.00016*M4530</f>
        <v>0</v>
      </c>
      <c r="Q4530" s="25"/>
      <c r="R4530" s="26" t="s">
        <v>14473</v>
      </c>
      <c r="S4530" s="26" t="s">
        <v>93</v>
      </c>
      <c r="T4530" s="6" t="str">
        <f>HYPERLINK("https://kanzpp.ru/api/getInfo/image/ff421ae8-7fc7-11e6-97eb-5cf3fc4a2490")</f>
        <v>https://kanzpp.ru/api/getInfo/image/ff421ae8-7fc7-11e6-97eb-5cf3fc4a2490</v>
      </c>
      <c r="U4530" s="6"/>
      <c r="V4530" s="33" t="s">
        <v>35</v>
      </c>
    </row>
    <row r="4531" spans="2:22" ht="22.95" customHeight="1" outlineLevel="4" x14ac:dyDescent="0.2">
      <c r="B4531" s="82" t="s">
        <v>14474</v>
      </c>
      <c r="C4531" s="82"/>
      <c r="D4531" s="82"/>
      <c r="L4531">
        <v>0</v>
      </c>
    </row>
    <row r="4532" spans="2:22" ht="21" customHeight="1" outlineLevel="5" x14ac:dyDescent="0.2">
      <c r="B4532" s="69">
        <v>3447</v>
      </c>
      <c r="C4532" s="6" t="s">
        <v>14475</v>
      </c>
      <c r="D4532" s="6" t="s">
        <v>14476</v>
      </c>
      <c r="E4532" s="7" t="s">
        <v>14477</v>
      </c>
      <c r="F4532" s="13"/>
      <c r="G4532" s="14"/>
      <c r="H4532" s="15">
        <v>80</v>
      </c>
      <c r="I4532" s="14"/>
      <c r="J4532" s="17">
        <v>17505</v>
      </c>
      <c r="K4532" s="5">
        <v>80</v>
      </c>
      <c r="L4532" s="16">
        <v>33.199999999999996</v>
      </c>
      <c r="M4532" s="12"/>
      <c r="N4532" s="14">
        <f>L4532*M4532</f>
        <v>0</v>
      </c>
      <c r="O4532" s="23">
        <f>0.105*M4532</f>
        <v>0</v>
      </c>
      <c r="P4532" s="24">
        <f>0.00016*M4532</f>
        <v>0</v>
      </c>
      <c r="Q4532" s="25"/>
      <c r="R4532" s="26" t="s">
        <v>14478</v>
      </c>
      <c r="S4532" s="26" t="s">
        <v>93</v>
      </c>
      <c r="T4532" s="6" t="str">
        <f>HYPERLINK("https://kanzpp.ru/api/getInfo/image/0637db39-3794-11e5-a57f-5cf3fc4a2490")</f>
        <v>https://kanzpp.ru/api/getInfo/image/0637db39-3794-11e5-a57f-5cf3fc4a2490</v>
      </c>
      <c r="U4532" s="6"/>
      <c r="V4532" s="33" t="s">
        <v>35</v>
      </c>
    </row>
    <row r="4533" spans="2:22" ht="21" customHeight="1" outlineLevel="5" x14ac:dyDescent="0.2">
      <c r="B4533" s="69">
        <v>3448</v>
      </c>
      <c r="C4533" s="6" t="s">
        <v>14479</v>
      </c>
      <c r="D4533" s="6" t="s">
        <v>14480</v>
      </c>
      <c r="E4533" s="7" t="s">
        <v>14481</v>
      </c>
      <c r="F4533" s="13"/>
      <c r="G4533" s="14"/>
      <c r="H4533" s="15">
        <v>80</v>
      </c>
      <c r="I4533" s="14"/>
      <c r="J4533" s="15">
        <v>80</v>
      </c>
      <c r="K4533" s="5">
        <v>80</v>
      </c>
      <c r="L4533" s="16">
        <v>33.199999999999996</v>
      </c>
      <c r="M4533" s="12"/>
      <c r="N4533" s="14">
        <f>L4533*M4533</f>
        <v>0</v>
      </c>
      <c r="O4533" s="23">
        <f>0.105*M4533</f>
        <v>0</v>
      </c>
      <c r="P4533" s="24">
        <f>0.00016*M4533</f>
        <v>0</v>
      </c>
      <c r="Q4533" s="25"/>
      <c r="R4533" s="26" t="s">
        <v>14482</v>
      </c>
      <c r="S4533" s="26" t="s">
        <v>93</v>
      </c>
      <c r="T4533" s="6" t="str">
        <f>HYPERLINK("https://kanzpp.ru/api/getInfo/image/c5fb65e5-c686-11e1-81d3-5ef3fc502493")</f>
        <v>https://kanzpp.ru/api/getInfo/image/c5fb65e5-c686-11e1-81d3-5ef3fc502493</v>
      </c>
      <c r="U4533" s="6"/>
      <c r="V4533" s="33" t="s">
        <v>35</v>
      </c>
    </row>
    <row r="4534" spans="2:22" ht="21" customHeight="1" outlineLevel="5" x14ac:dyDescent="0.2">
      <c r="B4534" s="69">
        <v>3449</v>
      </c>
      <c r="C4534" s="6" t="s">
        <v>14483</v>
      </c>
      <c r="D4534" s="6" t="s">
        <v>14484</v>
      </c>
      <c r="E4534" s="7" t="s">
        <v>14485</v>
      </c>
      <c r="F4534" s="13"/>
      <c r="G4534" s="14"/>
      <c r="H4534" s="15">
        <v>80</v>
      </c>
      <c r="I4534" s="14"/>
      <c r="J4534" s="15">
        <v>80</v>
      </c>
      <c r="K4534" s="5">
        <v>80</v>
      </c>
      <c r="L4534" s="16">
        <v>33.199999999999996</v>
      </c>
      <c r="M4534" s="12"/>
      <c r="N4534" s="14">
        <f>L4534*M4534</f>
        <v>0</v>
      </c>
      <c r="O4534" s="23">
        <f>0.105*M4534</f>
        <v>0</v>
      </c>
      <c r="P4534" s="24">
        <f>0.00016*M4534</f>
        <v>0</v>
      </c>
      <c r="Q4534" s="25"/>
      <c r="R4534" s="26" t="s">
        <v>14486</v>
      </c>
      <c r="S4534" s="26" t="s">
        <v>93</v>
      </c>
      <c r="T4534" s="6" t="str">
        <f>HYPERLINK("https://kanzpp.ru/api/getInfo/image/c5fb65e6-c686-11e1-81d3-5ef3fc502493")</f>
        <v>https://kanzpp.ru/api/getInfo/image/c5fb65e6-c686-11e1-81d3-5ef3fc502493</v>
      </c>
      <c r="U4534" s="6"/>
      <c r="V4534" s="33" t="s">
        <v>35</v>
      </c>
    </row>
    <row r="4535" spans="2:22" ht="22.95" customHeight="1" outlineLevel="4" x14ac:dyDescent="0.2">
      <c r="B4535" s="82" t="s">
        <v>14487</v>
      </c>
      <c r="C4535" s="82"/>
      <c r="D4535" s="82"/>
      <c r="L4535">
        <v>0</v>
      </c>
    </row>
    <row r="4536" spans="2:22" ht="21" customHeight="1" outlineLevel="5" x14ac:dyDescent="0.2">
      <c r="B4536" s="69">
        <v>3450</v>
      </c>
      <c r="C4536" s="6" t="s">
        <v>14488</v>
      </c>
      <c r="D4536" s="6" t="s">
        <v>14489</v>
      </c>
      <c r="E4536" s="7" t="s">
        <v>14490</v>
      </c>
      <c r="F4536" s="13"/>
      <c r="G4536" s="14"/>
      <c r="H4536" s="15">
        <v>48</v>
      </c>
      <c r="I4536" s="14"/>
      <c r="J4536" s="17">
        <v>2478</v>
      </c>
      <c r="K4536" s="5">
        <v>48</v>
      </c>
      <c r="L4536" s="16">
        <v>58.800000000000004</v>
      </c>
      <c r="M4536" s="12"/>
      <c r="N4536" s="14">
        <f>L4536*M4536</f>
        <v>0</v>
      </c>
      <c r="O4536" s="23">
        <f>0.196*M4536</f>
        <v>0</v>
      </c>
      <c r="P4536" s="24">
        <f>0.00033*M4536</f>
        <v>0</v>
      </c>
      <c r="Q4536" s="25"/>
      <c r="R4536" s="26" t="s">
        <v>14491</v>
      </c>
      <c r="S4536" s="26" t="s">
        <v>93</v>
      </c>
      <c r="T4536" s="6" t="str">
        <f>HYPERLINK("https://kanzpp.ru/api/getInfo/image/7879b219-3774-11e5-a57f-5cf3fc4a2490")</f>
        <v>https://kanzpp.ru/api/getInfo/image/7879b219-3774-11e5-a57f-5cf3fc4a2490</v>
      </c>
      <c r="U4536" s="6"/>
      <c r="V4536" s="33" t="s">
        <v>35</v>
      </c>
    </row>
    <row r="4537" spans="2:22" ht="22.95" customHeight="1" outlineLevel="1" x14ac:dyDescent="0.2">
      <c r="B4537" s="79" t="s">
        <v>14492</v>
      </c>
      <c r="C4537" s="79"/>
      <c r="D4537" s="79"/>
      <c r="L4537">
        <v>0</v>
      </c>
    </row>
    <row r="4538" spans="2:22" ht="22.95" customHeight="1" outlineLevel="2" x14ac:dyDescent="0.2">
      <c r="B4538" s="80" t="s">
        <v>14493</v>
      </c>
      <c r="C4538" s="80"/>
      <c r="D4538" s="80"/>
      <c r="L4538">
        <v>0</v>
      </c>
    </row>
    <row r="4539" spans="2:22" ht="21" customHeight="1" outlineLevel="3" x14ac:dyDescent="0.2">
      <c r="B4539" s="71">
        <v>3451</v>
      </c>
      <c r="C4539" s="37" t="s">
        <v>14494</v>
      </c>
      <c r="D4539" s="37" t="s">
        <v>14495</v>
      </c>
      <c r="E4539" s="38" t="s">
        <v>14496</v>
      </c>
      <c r="F4539" s="39"/>
      <c r="G4539" s="40"/>
      <c r="H4539" s="41">
        <v>100</v>
      </c>
      <c r="I4539" s="40"/>
      <c r="J4539" s="41">
        <v>100</v>
      </c>
      <c r="K4539" s="36">
        <v>100</v>
      </c>
      <c r="L4539" s="42" t="e">
        <f>(IF(#REF!,6.35*(1-#REF!/100),6.35*(1-O3/100)))/0.75</f>
        <v>#REF!</v>
      </c>
      <c r="M4539" s="12"/>
      <c r="N4539" s="40" t="e">
        <f>L4539*M4539</f>
        <v>#REF!</v>
      </c>
      <c r="O4539" s="43">
        <f>0.035*M4539</f>
        <v>0</v>
      </c>
      <c r="P4539" s="47">
        <f>0.00018*M4539</f>
        <v>0</v>
      </c>
      <c r="Q4539" s="44"/>
      <c r="R4539" s="45"/>
      <c r="S4539" s="45" t="s">
        <v>29</v>
      </c>
      <c r="T4539" s="37" t="str">
        <f>HYPERLINK("https://kanzpp.ru/api/getInfo/image/bfdec3a9-c686-11e1-81d3-5ef3fc502493")</f>
        <v>https://kanzpp.ru/api/getInfo/image/bfdec3a9-c686-11e1-81d3-5ef3fc502493</v>
      </c>
      <c r="U4539" s="37"/>
    </row>
    <row r="4540" spans="2:22" ht="21" customHeight="1" outlineLevel="3" x14ac:dyDescent="0.2">
      <c r="B4540" s="71">
        <v>3452</v>
      </c>
      <c r="C4540" s="37" t="s">
        <v>14497</v>
      </c>
      <c r="D4540" s="37" t="s">
        <v>14498</v>
      </c>
      <c r="E4540" s="38" t="s">
        <v>14499</v>
      </c>
      <c r="F4540" s="39"/>
      <c r="G4540" s="40"/>
      <c r="H4540" s="41">
        <v>200</v>
      </c>
      <c r="I4540" s="40"/>
      <c r="J4540" s="41">
        <v>400</v>
      </c>
      <c r="K4540" s="36">
        <v>200</v>
      </c>
      <c r="L4540" s="42" t="e">
        <f>(IF(#REF!,6.35*(1-#REF!/100),6.35*(1-O3/100)))/0.75</f>
        <v>#REF!</v>
      </c>
      <c r="M4540" s="12"/>
      <c r="N4540" s="40" t="e">
        <f>L4540*M4540</f>
        <v>#REF!</v>
      </c>
      <c r="O4540" s="43">
        <f>0.005*M4540</f>
        <v>0</v>
      </c>
      <c r="P4540" s="47">
        <f>0.00007*M4540</f>
        <v>0</v>
      </c>
      <c r="Q4540" s="44"/>
      <c r="R4540" s="45"/>
      <c r="S4540" s="45" t="s">
        <v>29</v>
      </c>
      <c r="T4540" s="37" t="str">
        <f>HYPERLINK("https://kanzpp.ru/api/getInfo/image/bfdec3a9-c686-11e1-81d3-5ef3fc502493")</f>
        <v>https://kanzpp.ru/api/getInfo/image/bfdec3a9-c686-11e1-81d3-5ef3fc502493</v>
      </c>
      <c r="U4540" s="37"/>
    </row>
    <row r="4541" spans="2:22" ht="22.95" customHeight="1" outlineLevel="2" x14ac:dyDescent="0.2">
      <c r="B4541" s="80" t="s">
        <v>14500</v>
      </c>
      <c r="C4541" s="80"/>
      <c r="D4541" s="80"/>
      <c r="L4541">
        <v>0</v>
      </c>
    </row>
    <row r="4542" spans="2:22" ht="22.95" customHeight="1" outlineLevel="3" x14ac:dyDescent="0.2">
      <c r="B4542" s="81" t="s">
        <v>14501</v>
      </c>
      <c r="C4542" s="81"/>
      <c r="D4542" s="81"/>
      <c r="L4542">
        <v>0</v>
      </c>
    </row>
    <row r="4543" spans="2:22" ht="21" customHeight="1" outlineLevel="4" x14ac:dyDescent="0.2">
      <c r="B4543" s="69">
        <v>3453</v>
      </c>
      <c r="C4543" s="6" t="s">
        <v>14502</v>
      </c>
      <c r="D4543" s="6" t="s">
        <v>14503</v>
      </c>
      <c r="E4543" s="7" t="s">
        <v>14504</v>
      </c>
      <c r="F4543" s="13"/>
      <c r="G4543" s="14"/>
      <c r="H4543" s="15">
        <v>400</v>
      </c>
      <c r="I4543" s="15">
        <v>50</v>
      </c>
      <c r="J4543" s="17">
        <v>432398</v>
      </c>
      <c r="K4543" s="5">
        <v>400</v>
      </c>
      <c r="L4543" s="16">
        <v>3.3333333333333335</v>
      </c>
      <c r="M4543" s="12"/>
      <c r="N4543" s="14">
        <f>L4543*M4543</f>
        <v>0</v>
      </c>
      <c r="O4543" s="23">
        <f>0.027*M4543</f>
        <v>0</v>
      </c>
      <c r="P4543" s="24">
        <f>0.00004*M4543</f>
        <v>0</v>
      </c>
      <c r="Q4543" s="25"/>
      <c r="R4543" s="26" t="s">
        <v>14505</v>
      </c>
      <c r="S4543" s="26" t="s">
        <v>29</v>
      </c>
      <c r="T4543" s="6" t="str">
        <f>HYPERLINK("https://kanzpp.ru/api/getInfo/image/3494d504-a882-11e4-bc0b-5cf3fc4a2490")</f>
        <v>https://kanzpp.ru/api/getInfo/image/3494d504-a882-11e4-bc0b-5cf3fc4a2490</v>
      </c>
      <c r="U4543" s="6" t="s">
        <v>14505</v>
      </c>
      <c r="V4543" s="33" t="s">
        <v>35</v>
      </c>
    </row>
    <row r="4544" spans="2:22" ht="21" customHeight="1" outlineLevel="4" x14ac:dyDescent="0.2">
      <c r="B4544" s="69">
        <v>3454</v>
      </c>
      <c r="C4544" s="6" t="s">
        <v>14506</v>
      </c>
      <c r="D4544" s="6" t="s">
        <v>14507</v>
      </c>
      <c r="E4544" s="7" t="s">
        <v>14508</v>
      </c>
      <c r="F4544" s="13"/>
      <c r="G4544" s="14"/>
      <c r="H4544" s="15">
        <v>400</v>
      </c>
      <c r="I4544" s="15">
        <v>50</v>
      </c>
      <c r="J4544" s="17">
        <v>36270</v>
      </c>
      <c r="K4544" s="5">
        <v>400</v>
      </c>
      <c r="L4544" s="16">
        <v>3.3333333333333335</v>
      </c>
      <c r="M4544" s="12"/>
      <c r="N4544" s="14">
        <f>L4544*M4544</f>
        <v>0</v>
      </c>
      <c r="O4544" s="28">
        <f>0.04*M4544</f>
        <v>0</v>
      </c>
      <c r="P4544" s="24">
        <f>0.01161*M4544</f>
        <v>0</v>
      </c>
      <c r="Q4544" s="25"/>
      <c r="R4544" s="26" t="s">
        <v>14509</v>
      </c>
      <c r="S4544" s="26" t="s">
        <v>29</v>
      </c>
      <c r="T4544" s="6" t="str">
        <f>HYPERLINK("https://kanzpp.ru/api/getInfo/image/e63e7a9e-bcb1-11e2-828b-003048670413")</f>
        <v>https://kanzpp.ru/api/getInfo/image/e63e7a9e-bcb1-11e2-828b-003048670413</v>
      </c>
      <c r="U4544" s="6"/>
      <c r="V4544" s="33" t="s">
        <v>35</v>
      </c>
    </row>
    <row r="4545" spans="2:22" ht="21" customHeight="1" outlineLevel="4" x14ac:dyDescent="0.2">
      <c r="B4545" s="69">
        <v>3455</v>
      </c>
      <c r="C4545" s="6" t="s">
        <v>14510</v>
      </c>
      <c r="D4545" s="6" t="s">
        <v>14511</v>
      </c>
      <c r="E4545" s="7" t="s">
        <v>14512</v>
      </c>
      <c r="F4545" s="13"/>
      <c r="G4545" s="14"/>
      <c r="H4545" s="15">
        <v>300</v>
      </c>
      <c r="I4545" s="15">
        <v>50</v>
      </c>
      <c r="J4545" s="17">
        <v>162736</v>
      </c>
      <c r="K4545" s="5">
        <v>300</v>
      </c>
      <c r="L4545" s="16">
        <v>4.666666666666667</v>
      </c>
      <c r="M4545" s="12"/>
      <c r="N4545" s="14">
        <f>L4545*M4545</f>
        <v>0</v>
      </c>
      <c r="O4545" s="23">
        <f>0.045*M4545</f>
        <v>0</v>
      </c>
      <c r="P4545" s="24">
        <f>0.00019*M4545</f>
        <v>0</v>
      </c>
      <c r="Q4545" s="25"/>
      <c r="R4545" s="26" t="s">
        <v>14513</v>
      </c>
      <c r="S4545" s="26" t="s">
        <v>29</v>
      </c>
      <c r="T4545" s="6" t="str">
        <f>HYPERLINK("https://kanzpp.ru/api/getInfo/image/c3741ff7-b1e2-11e4-bc0b-5cf3fc4a2490")</f>
        <v>https://kanzpp.ru/api/getInfo/image/c3741ff7-b1e2-11e4-bc0b-5cf3fc4a2490</v>
      </c>
      <c r="U4545" s="6"/>
      <c r="V4545" s="33" t="s">
        <v>35</v>
      </c>
    </row>
    <row r="4546" spans="2:22" ht="21" customHeight="1" outlineLevel="4" x14ac:dyDescent="0.2">
      <c r="B4546" s="69">
        <v>3456</v>
      </c>
      <c r="C4546" s="6" t="s">
        <v>14514</v>
      </c>
      <c r="D4546" s="6" t="s">
        <v>14515</v>
      </c>
      <c r="E4546" s="7" t="s">
        <v>14516</v>
      </c>
      <c r="F4546" s="13"/>
      <c r="G4546" s="14"/>
      <c r="H4546" s="15">
        <v>300</v>
      </c>
      <c r="I4546" s="15">
        <v>50</v>
      </c>
      <c r="J4546" s="17">
        <v>357767</v>
      </c>
      <c r="K4546" s="5">
        <v>300</v>
      </c>
      <c r="L4546" s="16">
        <v>4.666666666666667</v>
      </c>
      <c r="M4546" s="12"/>
      <c r="N4546" s="14">
        <f>L4546*M4546</f>
        <v>0</v>
      </c>
      <c r="O4546" s="23">
        <f>0.045*M4546</f>
        <v>0</v>
      </c>
      <c r="P4546" s="24">
        <f>0.00004*M4546</f>
        <v>0</v>
      </c>
      <c r="Q4546" s="25"/>
      <c r="R4546" s="26" t="s">
        <v>14517</v>
      </c>
      <c r="S4546" s="26" t="s">
        <v>29</v>
      </c>
      <c r="T4546" s="6" t="str">
        <f>HYPERLINK("https://kanzpp.ru/api/getInfo/image/08f846f9-a8a9-11e5-9e78-5cf3fc4a2490")</f>
        <v>https://kanzpp.ru/api/getInfo/image/08f846f9-a8a9-11e5-9e78-5cf3fc4a2490</v>
      </c>
      <c r="U4546" s="6"/>
      <c r="V4546" s="33" t="s">
        <v>35</v>
      </c>
    </row>
    <row r="4547" spans="2:22" ht="22.95" customHeight="1" outlineLevel="3" x14ac:dyDescent="0.2">
      <c r="B4547" s="81" t="s">
        <v>14518</v>
      </c>
      <c r="C4547" s="81"/>
      <c r="D4547" s="81"/>
      <c r="L4547">
        <v>0</v>
      </c>
    </row>
    <row r="4548" spans="2:22" ht="22.95" customHeight="1" outlineLevel="4" x14ac:dyDescent="0.2">
      <c r="B4548" s="82" t="s">
        <v>14519</v>
      </c>
      <c r="C4548" s="82"/>
      <c r="D4548" s="82"/>
      <c r="L4548">
        <v>0</v>
      </c>
    </row>
    <row r="4549" spans="2:22" ht="21" customHeight="1" outlineLevel="5" x14ac:dyDescent="0.2">
      <c r="B4549" s="71">
        <v>3457</v>
      </c>
      <c r="C4549" s="37" t="s">
        <v>14520</v>
      </c>
      <c r="D4549" s="37" t="s">
        <v>14521</v>
      </c>
      <c r="E4549" s="38" t="s">
        <v>14522</v>
      </c>
      <c r="F4549" s="39"/>
      <c r="G4549" s="40"/>
      <c r="H4549" s="41">
        <v>400</v>
      </c>
      <c r="I4549" s="41">
        <v>50</v>
      </c>
      <c r="J4549" s="50">
        <v>319028</v>
      </c>
      <c r="K4549" s="36">
        <v>400</v>
      </c>
      <c r="L4549" s="42" t="e">
        <f>(IF(#REF!,6.1*(1-#REF!/100),6.1*(1-O3/100)))/0.75</f>
        <v>#REF!</v>
      </c>
      <c r="M4549" s="12"/>
      <c r="N4549" s="40" t="e">
        <f t="shared" ref="N4549:N4558" si="226">L4549*M4549</f>
        <v>#REF!</v>
      </c>
      <c r="O4549" s="48">
        <f>0.01*M4549</f>
        <v>0</v>
      </c>
      <c r="P4549" s="47">
        <f>0.00004*M4549</f>
        <v>0</v>
      </c>
      <c r="Q4549" s="44"/>
      <c r="R4549" s="45" t="s">
        <v>14523</v>
      </c>
      <c r="S4549" s="45" t="s">
        <v>29</v>
      </c>
      <c r="T4549" s="37" t="str">
        <f>HYPERLINK("https://kanzpp.ru/api/getInfo/image/48943ae4-02e5-11e5-aad1-5cf3fc4a2490")</f>
        <v>https://kanzpp.ru/api/getInfo/image/48943ae4-02e5-11e5-aad1-5cf3fc4a2490</v>
      </c>
      <c r="U4549" s="37"/>
    </row>
    <row r="4550" spans="2:22" ht="21" customHeight="1" outlineLevel="5" x14ac:dyDescent="0.2">
      <c r="B4550" s="71">
        <v>3458</v>
      </c>
      <c r="C4550" s="37" t="s">
        <v>14524</v>
      </c>
      <c r="D4550" s="37" t="s">
        <v>14525</v>
      </c>
      <c r="E4550" s="38" t="s">
        <v>14526</v>
      </c>
      <c r="F4550" s="39"/>
      <c r="G4550" s="40"/>
      <c r="H4550" s="41">
        <v>400</v>
      </c>
      <c r="I4550" s="41">
        <v>50</v>
      </c>
      <c r="J4550" s="40" t="s">
        <v>144</v>
      </c>
      <c r="K4550" s="36">
        <v>400</v>
      </c>
      <c r="L4550" s="42" t="e">
        <f>(IF(#REF!,6.1*(1-#REF!/100),6.1*(1-O3/100)))/0.75</f>
        <v>#REF!</v>
      </c>
      <c r="M4550" s="12"/>
      <c r="N4550" s="40" t="e">
        <f t="shared" si="226"/>
        <v>#REF!</v>
      </c>
      <c r="O4550" s="43">
        <f>0.031*M4550</f>
        <v>0</v>
      </c>
      <c r="P4550" s="47">
        <f>0.00003*M4550</f>
        <v>0</v>
      </c>
      <c r="Q4550" s="44"/>
      <c r="R4550" s="45" t="s">
        <v>14527</v>
      </c>
      <c r="S4550" s="45" t="s">
        <v>29</v>
      </c>
      <c r="T4550" s="37" t="str">
        <f>HYPERLINK("https://kanzpp.ru/api/getInfo/image/bfdec3a9-c686-11e1-81d3-5ef3fc502493")</f>
        <v>https://kanzpp.ru/api/getInfo/image/bfdec3a9-c686-11e1-81d3-5ef3fc502493</v>
      </c>
      <c r="U4550" s="37"/>
    </row>
    <row r="4551" spans="2:22" ht="21" customHeight="1" outlineLevel="5" x14ac:dyDescent="0.2">
      <c r="B4551" s="69">
        <v>3459</v>
      </c>
      <c r="C4551" s="6" t="s">
        <v>14528</v>
      </c>
      <c r="D4551" s="6" t="s">
        <v>14529</v>
      </c>
      <c r="E4551" s="7" t="s">
        <v>14526</v>
      </c>
      <c r="F4551" s="13"/>
      <c r="G4551" s="14"/>
      <c r="H4551" s="15">
        <v>400</v>
      </c>
      <c r="I4551" s="15">
        <v>50</v>
      </c>
      <c r="J4551" s="17">
        <v>1200</v>
      </c>
      <c r="K4551" s="5">
        <v>400</v>
      </c>
      <c r="L4551" s="16">
        <v>4.666666666666667</v>
      </c>
      <c r="M4551" s="12"/>
      <c r="N4551" s="14">
        <f t="shared" si="226"/>
        <v>0</v>
      </c>
      <c r="O4551" s="23">
        <f>0.029*M4551</f>
        <v>0</v>
      </c>
      <c r="P4551" s="24">
        <f>0.00022*M4551</f>
        <v>0</v>
      </c>
      <c r="Q4551" s="25"/>
      <c r="R4551" s="26"/>
      <c r="S4551" s="26" t="s">
        <v>29</v>
      </c>
      <c r="T4551" s="6" t="str">
        <f>HYPERLINK("https://kanzpp.ru/api/getInfo/image/bfdec3a9-c686-11e1-81d3-5ef3fc502493")</f>
        <v>https://kanzpp.ru/api/getInfo/image/bfdec3a9-c686-11e1-81d3-5ef3fc502493</v>
      </c>
      <c r="U4551" s="6" t="s">
        <v>14527</v>
      </c>
      <c r="V4551" s="33" t="s">
        <v>35</v>
      </c>
    </row>
    <row r="4552" spans="2:22" ht="21" customHeight="1" outlineLevel="5" x14ac:dyDescent="0.2">
      <c r="B4552" s="71">
        <v>3460</v>
      </c>
      <c r="C4552" s="37" t="s">
        <v>14530</v>
      </c>
      <c r="D4552" s="37" t="s">
        <v>14531</v>
      </c>
      <c r="E4552" s="38" t="s">
        <v>14532</v>
      </c>
      <c r="F4552" s="39"/>
      <c r="G4552" s="40"/>
      <c r="H4552" s="41">
        <v>400</v>
      </c>
      <c r="I4552" s="41">
        <v>50</v>
      </c>
      <c r="J4552" s="50">
        <v>131570</v>
      </c>
      <c r="K4552" s="36">
        <v>400</v>
      </c>
      <c r="L4552" s="42" t="e">
        <f>(IF(#REF!,6.1*(1-#REF!/100),6.1*(1-O3/100)))/0.75</f>
        <v>#REF!</v>
      </c>
      <c r="M4552" s="12"/>
      <c r="N4552" s="40" t="e">
        <f t="shared" si="226"/>
        <v>#REF!</v>
      </c>
      <c r="O4552" s="43">
        <f>0.027*M4552</f>
        <v>0</v>
      </c>
      <c r="P4552" s="47">
        <f>0.00022*M4552</f>
        <v>0</v>
      </c>
      <c r="Q4552" s="44"/>
      <c r="R4552" s="45" t="s">
        <v>14533</v>
      </c>
      <c r="S4552" s="45" t="s">
        <v>29</v>
      </c>
      <c r="T4552" s="37" t="str">
        <f>HYPERLINK("https://kanzpp.ru/api/getInfo/image/aa7d5edb-e0cf-11e2-ad43-5cf3fc4a2490")</f>
        <v>https://kanzpp.ru/api/getInfo/image/aa7d5edb-e0cf-11e2-ad43-5cf3fc4a2490</v>
      </c>
      <c r="U4552" s="37"/>
    </row>
    <row r="4553" spans="2:22" ht="21" customHeight="1" outlineLevel="5" x14ac:dyDescent="0.2">
      <c r="B4553" s="71">
        <v>3461</v>
      </c>
      <c r="C4553" s="37" t="s">
        <v>14534</v>
      </c>
      <c r="D4553" s="37" t="s">
        <v>14535</v>
      </c>
      <c r="E4553" s="38" t="s">
        <v>14536</v>
      </c>
      <c r="F4553" s="39"/>
      <c r="G4553" s="40"/>
      <c r="H4553" s="41">
        <v>400</v>
      </c>
      <c r="I4553" s="41">
        <v>50</v>
      </c>
      <c r="J4553" s="50">
        <v>29339</v>
      </c>
      <c r="K4553" s="36">
        <v>400</v>
      </c>
      <c r="L4553" s="42" t="e">
        <f>(IF(#REF!,6.1*(1-#REF!/100),6.1*(1-O3/100)))/0.75</f>
        <v>#REF!</v>
      </c>
      <c r="M4553" s="12"/>
      <c r="N4553" s="40" t="e">
        <f t="shared" si="226"/>
        <v>#REF!</v>
      </c>
      <c r="O4553" s="43">
        <f>0.031*M4553</f>
        <v>0</v>
      </c>
      <c r="P4553" s="47">
        <f>0.00007*M4553</f>
        <v>0</v>
      </c>
      <c r="Q4553" s="44"/>
      <c r="R4553" s="45" t="s">
        <v>14537</v>
      </c>
      <c r="S4553" s="45" t="s">
        <v>29</v>
      </c>
      <c r="T4553" s="37" t="str">
        <f>HYPERLINK("https://kanzpp.ru/api/getInfo/image/b73a6fe7-e0cf-11e2-ad43-5cf3fc4a2490")</f>
        <v>https://kanzpp.ru/api/getInfo/image/b73a6fe7-e0cf-11e2-ad43-5cf3fc4a2490</v>
      </c>
      <c r="U4553" s="37"/>
    </row>
    <row r="4554" spans="2:22" ht="21" customHeight="1" outlineLevel="5" x14ac:dyDescent="0.2">
      <c r="B4554" s="71">
        <v>3462</v>
      </c>
      <c r="C4554" s="37" t="s">
        <v>14538</v>
      </c>
      <c r="D4554" s="37" t="s">
        <v>14539</v>
      </c>
      <c r="E4554" s="38" t="s">
        <v>14540</v>
      </c>
      <c r="F4554" s="39"/>
      <c r="G4554" s="40"/>
      <c r="H4554" s="41">
        <v>400</v>
      </c>
      <c r="I4554" s="41">
        <v>50</v>
      </c>
      <c r="J4554" s="50">
        <v>185648</v>
      </c>
      <c r="K4554" s="36">
        <v>400</v>
      </c>
      <c r="L4554" s="42" t="e">
        <f>(IF(#REF!,6.1*(1-#REF!/100),6.1*(1-O3/100)))/0.75</f>
        <v>#REF!</v>
      </c>
      <c r="M4554" s="12"/>
      <c r="N4554" s="40" t="e">
        <f t="shared" si="226"/>
        <v>#REF!</v>
      </c>
      <c r="O4554" s="43">
        <f>0.029*M4554</f>
        <v>0</v>
      </c>
      <c r="P4554" s="47">
        <f>0.00015*M4554</f>
        <v>0</v>
      </c>
      <c r="Q4554" s="44"/>
      <c r="R4554" s="45" t="s">
        <v>14541</v>
      </c>
      <c r="S4554" s="45" t="s">
        <v>29</v>
      </c>
      <c r="T4554" s="37" t="str">
        <f>HYPERLINK("https://kanzpp.ru/api/getInfo/image/b14293db-2952-11e5-aad1-5cf3fc4a2490")</f>
        <v>https://kanzpp.ru/api/getInfo/image/b14293db-2952-11e5-aad1-5cf3fc4a2490</v>
      </c>
      <c r="U4554" s="37"/>
    </row>
    <row r="4555" spans="2:22" ht="21" customHeight="1" outlineLevel="5" x14ac:dyDescent="0.2">
      <c r="B4555" s="71">
        <v>3463</v>
      </c>
      <c r="C4555" s="37" t="s">
        <v>14542</v>
      </c>
      <c r="D4555" s="37" t="s">
        <v>14543</v>
      </c>
      <c r="E4555" s="38" t="s">
        <v>14544</v>
      </c>
      <c r="F4555" s="39"/>
      <c r="G4555" s="40"/>
      <c r="H4555" s="41">
        <v>300</v>
      </c>
      <c r="I4555" s="41">
        <v>50</v>
      </c>
      <c r="J4555" s="40" t="s">
        <v>144</v>
      </c>
      <c r="K4555" s="36">
        <v>300</v>
      </c>
      <c r="L4555" s="42" t="e">
        <f>(IF(#REF!,8.02*(1-#REF!/100),8.02*(1-O3/100)))/0.75</f>
        <v>#REF!</v>
      </c>
      <c r="M4555" s="12"/>
      <c r="N4555" s="40" t="e">
        <f t="shared" si="226"/>
        <v>#REF!</v>
      </c>
      <c r="O4555" s="48">
        <f>0.04*M4555</f>
        <v>0</v>
      </c>
      <c r="P4555" s="47">
        <f>0.00033*M4555</f>
        <v>0</v>
      </c>
      <c r="Q4555" s="44"/>
      <c r="R4555" s="45" t="s">
        <v>14545</v>
      </c>
      <c r="S4555" s="45" t="s">
        <v>29</v>
      </c>
      <c r="T4555" s="37" t="str">
        <f>HYPERLINK("https://kanzpp.ru/api/getInfo/image/bfdec3aa-c686-11e1-81d3-5ef3fc502493")</f>
        <v>https://kanzpp.ru/api/getInfo/image/bfdec3aa-c686-11e1-81d3-5ef3fc502493</v>
      </c>
      <c r="U4555" s="37"/>
    </row>
    <row r="4556" spans="2:22" ht="21" customHeight="1" outlineLevel="5" x14ac:dyDescent="0.2">
      <c r="B4556" s="71">
        <v>3464</v>
      </c>
      <c r="C4556" s="37" t="s">
        <v>14546</v>
      </c>
      <c r="D4556" s="37" t="s">
        <v>14547</v>
      </c>
      <c r="E4556" s="38" t="s">
        <v>14548</v>
      </c>
      <c r="F4556" s="39"/>
      <c r="G4556" s="40"/>
      <c r="H4556" s="41">
        <v>300</v>
      </c>
      <c r="I4556" s="41">
        <v>50</v>
      </c>
      <c r="J4556" s="50">
        <v>461303</v>
      </c>
      <c r="K4556" s="36">
        <v>300</v>
      </c>
      <c r="L4556" s="42" t="e">
        <f>(IF(#REF!,8.02*(1-#REF!/100),8.02*(1-O3/100)))/0.75</f>
        <v>#REF!</v>
      </c>
      <c r="M4556" s="12"/>
      <c r="N4556" s="40" t="e">
        <f t="shared" si="226"/>
        <v>#REF!</v>
      </c>
      <c r="O4556" s="43">
        <f>0.039*M4556</f>
        <v>0</v>
      </c>
      <c r="P4556" s="46">
        <f>0.0001*M4556</f>
        <v>0</v>
      </c>
      <c r="Q4556" s="44"/>
      <c r="R4556" s="45" t="s">
        <v>14549</v>
      </c>
      <c r="S4556" s="45" t="s">
        <v>29</v>
      </c>
      <c r="T4556" s="37" t="str">
        <f>HYPERLINK("https://kanzpp.ru/api/getInfo/image/bfdec3ae-c686-11e1-81d3-5ef3fc502493")</f>
        <v>https://kanzpp.ru/api/getInfo/image/bfdec3ae-c686-11e1-81d3-5ef3fc502493</v>
      </c>
      <c r="U4556" s="37"/>
    </row>
    <row r="4557" spans="2:22" ht="21" customHeight="1" outlineLevel="5" x14ac:dyDescent="0.2">
      <c r="B4557" s="71">
        <v>3465</v>
      </c>
      <c r="C4557" s="37" t="s">
        <v>14550</v>
      </c>
      <c r="D4557" s="37" t="s">
        <v>14551</v>
      </c>
      <c r="E4557" s="38" t="s">
        <v>14552</v>
      </c>
      <c r="F4557" s="39"/>
      <c r="G4557" s="40"/>
      <c r="H4557" s="41">
        <v>240</v>
      </c>
      <c r="I4557" s="41">
        <v>40</v>
      </c>
      <c r="J4557" s="50">
        <v>616866</v>
      </c>
      <c r="K4557" s="36">
        <v>240</v>
      </c>
      <c r="L4557" s="42" t="e">
        <f>(IF(#REF!,10*(1-#REF!/100),10*(1-O3/100)))/0.75</f>
        <v>#REF!</v>
      </c>
      <c r="M4557" s="12"/>
      <c r="N4557" s="40" t="e">
        <f t="shared" si="226"/>
        <v>#REF!</v>
      </c>
      <c r="O4557" s="43">
        <f>0.053*M4557</f>
        <v>0</v>
      </c>
      <c r="P4557" s="47">
        <f>0.00015*M4557</f>
        <v>0</v>
      </c>
      <c r="Q4557" s="44"/>
      <c r="R4557" s="45" t="s">
        <v>14553</v>
      </c>
      <c r="S4557" s="45" t="s">
        <v>29</v>
      </c>
      <c r="T4557" s="37" t="str">
        <f>HYPERLINK("https://kanzpp.ru/api/getInfo/image/bfdec3ab-c686-11e1-81d3-5ef3fc502493")</f>
        <v>https://kanzpp.ru/api/getInfo/image/bfdec3ab-c686-11e1-81d3-5ef3fc502493</v>
      </c>
      <c r="U4557" s="37"/>
    </row>
    <row r="4558" spans="2:22" ht="21" customHeight="1" outlineLevel="5" x14ac:dyDescent="0.2">
      <c r="B4558" s="71">
        <v>3466</v>
      </c>
      <c r="C4558" s="37" t="s">
        <v>14554</v>
      </c>
      <c r="D4558" s="37" t="s">
        <v>14555</v>
      </c>
      <c r="E4558" s="38" t="s">
        <v>14556</v>
      </c>
      <c r="F4558" s="39"/>
      <c r="G4558" s="40"/>
      <c r="H4558" s="41">
        <v>240</v>
      </c>
      <c r="I4558" s="41">
        <v>40</v>
      </c>
      <c r="J4558" s="50">
        <v>357722</v>
      </c>
      <c r="K4558" s="36">
        <v>240</v>
      </c>
      <c r="L4558" s="42" t="e">
        <f>(IF(#REF!,10*(1-#REF!/100),10*(1-O3/100)))/0.75</f>
        <v>#REF!</v>
      </c>
      <c r="M4558" s="12"/>
      <c r="N4558" s="40" t="e">
        <f t="shared" si="226"/>
        <v>#REF!</v>
      </c>
      <c r="O4558" s="43">
        <f>0.054*M4558</f>
        <v>0</v>
      </c>
      <c r="P4558" s="47">
        <f>0.00033*M4558</f>
        <v>0</v>
      </c>
      <c r="Q4558" s="44"/>
      <c r="R4558" s="45" t="s">
        <v>14557</v>
      </c>
      <c r="S4558" s="45" t="s">
        <v>29</v>
      </c>
      <c r="T4558" s="37" t="str">
        <f>HYPERLINK("https://kanzpp.ru/api/getInfo/image/d5c8601d-c0a4-11e3-b0d8-5cf3fc4a2490")</f>
        <v>https://kanzpp.ru/api/getInfo/image/d5c8601d-c0a4-11e3-b0d8-5cf3fc4a2490</v>
      </c>
      <c r="U4558" s="37"/>
    </row>
    <row r="4559" spans="2:22" ht="22.95" customHeight="1" outlineLevel="4" x14ac:dyDescent="0.2">
      <c r="B4559" s="82" t="s">
        <v>14558</v>
      </c>
      <c r="C4559" s="82"/>
      <c r="D4559" s="82"/>
      <c r="L4559">
        <v>0</v>
      </c>
    </row>
    <row r="4560" spans="2:22" ht="21" customHeight="1" outlineLevel="5" x14ac:dyDescent="0.2">
      <c r="B4560" s="71">
        <v>3467</v>
      </c>
      <c r="C4560" s="37" t="s">
        <v>14559</v>
      </c>
      <c r="D4560" s="37" t="s">
        <v>14560</v>
      </c>
      <c r="E4560" s="38" t="s">
        <v>14561</v>
      </c>
      <c r="F4560" s="39"/>
      <c r="G4560" s="40"/>
      <c r="H4560" s="41">
        <v>400</v>
      </c>
      <c r="I4560" s="41">
        <v>20</v>
      </c>
      <c r="J4560" s="50">
        <v>1380</v>
      </c>
      <c r="K4560" s="36">
        <v>400</v>
      </c>
      <c r="L4560" s="42" t="e">
        <f>(IF(#REF!,6.46*(1-#REF!/100),6.46*(1-O3/100)))/0.75</f>
        <v>#REF!</v>
      </c>
      <c r="M4560" s="12"/>
      <c r="N4560" s="40" t="e">
        <f>L4560*M4560</f>
        <v>#REF!</v>
      </c>
      <c r="O4560" s="48">
        <f>0.01*M4560</f>
        <v>0</v>
      </c>
      <c r="P4560" s="47">
        <f>0.00004*M4560</f>
        <v>0</v>
      </c>
      <c r="Q4560" s="44"/>
      <c r="R4560" s="45"/>
      <c r="S4560" s="45" t="s">
        <v>29</v>
      </c>
      <c r="T4560" s="37"/>
      <c r="U4560" s="37"/>
    </row>
    <row r="4561" spans="2:22" ht="21" customHeight="1" outlineLevel="5" x14ac:dyDescent="0.2">
      <c r="B4561" s="71">
        <v>3468</v>
      </c>
      <c r="C4561" s="37" t="s">
        <v>14562</v>
      </c>
      <c r="D4561" s="37" t="s">
        <v>14563</v>
      </c>
      <c r="E4561" s="38" t="s">
        <v>14564</v>
      </c>
      <c r="F4561" s="39"/>
      <c r="G4561" s="40"/>
      <c r="H4561" s="41">
        <v>200</v>
      </c>
      <c r="I4561" s="41">
        <v>20</v>
      </c>
      <c r="J4561" s="41">
        <v>200</v>
      </c>
      <c r="K4561" s="36">
        <v>200</v>
      </c>
      <c r="L4561" s="42" t="e">
        <f>(IF(#REF!,7.21*(1-#REF!/100),7.21*(1-O3/100)))/0.75</f>
        <v>#REF!</v>
      </c>
      <c r="M4561" s="12"/>
      <c r="N4561" s="40" t="e">
        <f>L4561*M4561</f>
        <v>#REF!</v>
      </c>
      <c r="O4561" s="43">
        <f>0.029*M4561</f>
        <v>0</v>
      </c>
      <c r="P4561" s="47">
        <f>0.00011*M4561</f>
        <v>0</v>
      </c>
      <c r="Q4561" s="44"/>
      <c r="R4561" s="45" t="s">
        <v>14565</v>
      </c>
      <c r="S4561" s="45" t="s">
        <v>29</v>
      </c>
      <c r="T4561" s="37" t="str">
        <f>HYPERLINK("https://kanzpp.ru/api/getInfo/image/9fb8ed64-f830-11ef-a274-00155d82e908")</f>
        <v>https://kanzpp.ru/api/getInfo/image/9fb8ed64-f830-11ef-a274-00155d82e908</v>
      </c>
      <c r="U4561" s="37"/>
    </row>
    <row r="4562" spans="2:22" ht="21" customHeight="1" outlineLevel="5" x14ac:dyDescent="0.2">
      <c r="B4562" s="69">
        <v>3469</v>
      </c>
      <c r="C4562" s="6" t="s">
        <v>14566</v>
      </c>
      <c r="D4562" s="6" t="s">
        <v>14567</v>
      </c>
      <c r="E4562" s="7" t="s">
        <v>14564</v>
      </c>
      <c r="F4562" s="13"/>
      <c r="G4562" s="14"/>
      <c r="H4562" s="15">
        <v>400</v>
      </c>
      <c r="I4562" s="15">
        <v>20</v>
      </c>
      <c r="J4562" s="17">
        <v>1300</v>
      </c>
      <c r="K4562" s="5">
        <v>100</v>
      </c>
      <c r="L4562" s="16">
        <v>5.32</v>
      </c>
      <c r="M4562" s="12"/>
      <c r="N4562" s="14">
        <f>L4562*M4562</f>
        <v>0</v>
      </c>
      <c r="O4562" s="23">
        <f>0.031*M4562</f>
        <v>0</v>
      </c>
      <c r="P4562" s="24">
        <f>0.00004*M4562</f>
        <v>0</v>
      </c>
      <c r="Q4562" s="25"/>
      <c r="R4562" s="26"/>
      <c r="S4562" s="26" t="s">
        <v>29</v>
      </c>
      <c r="T4562" s="6"/>
      <c r="U4562" s="6"/>
      <c r="V4562" s="33" t="s">
        <v>35</v>
      </c>
    </row>
    <row r="4563" spans="2:22" ht="21" customHeight="1" outlineLevel="5" x14ac:dyDescent="0.2">
      <c r="B4563" s="71">
        <v>3470</v>
      </c>
      <c r="C4563" s="37" t="s">
        <v>14568</v>
      </c>
      <c r="D4563" s="37" t="s">
        <v>14569</v>
      </c>
      <c r="E4563" s="38" t="s">
        <v>14570</v>
      </c>
      <c r="F4563" s="39"/>
      <c r="G4563" s="40"/>
      <c r="H4563" s="41">
        <v>400</v>
      </c>
      <c r="I4563" s="41">
        <v>20</v>
      </c>
      <c r="J4563" s="41">
        <v>60</v>
      </c>
      <c r="K4563" s="36">
        <v>60</v>
      </c>
      <c r="L4563" s="42" t="e">
        <f>(IF(#REF!,6.35*(1-#REF!/100),6.35*(1-O3/100)))/0.75</f>
        <v>#REF!</v>
      </c>
      <c r="M4563" s="12"/>
      <c r="N4563" s="40" t="e">
        <f>L4563*M4563</f>
        <v>#REF!</v>
      </c>
      <c r="O4563" s="43">
        <f>0.031*M4563</f>
        <v>0</v>
      </c>
      <c r="P4563" s="47">
        <f>0.00004*M4563</f>
        <v>0</v>
      </c>
      <c r="Q4563" s="44"/>
      <c r="R4563" s="45"/>
      <c r="S4563" s="45" t="s">
        <v>29</v>
      </c>
      <c r="T4563" s="37"/>
      <c r="U4563" s="37"/>
    </row>
    <row r="4564" spans="2:22" ht="21" customHeight="1" outlineLevel="5" x14ac:dyDescent="0.2">
      <c r="B4564" s="71">
        <v>3471</v>
      </c>
      <c r="C4564" s="37" t="s">
        <v>14571</v>
      </c>
      <c r="D4564" s="37" t="s">
        <v>14572</v>
      </c>
      <c r="E4564" s="38" t="s">
        <v>14556</v>
      </c>
      <c r="F4564" s="39"/>
      <c r="G4564" s="40"/>
      <c r="H4564" s="41">
        <v>200</v>
      </c>
      <c r="I4564" s="41">
        <v>20</v>
      </c>
      <c r="J4564" s="50">
        <v>80480</v>
      </c>
      <c r="K4564" s="36">
        <v>200</v>
      </c>
      <c r="L4564" s="42" t="e">
        <f>(IF(#REF!,11.86*(1-#REF!/100),11.86*(1-O3/100)))/0.75</f>
        <v>#REF!</v>
      </c>
      <c r="M4564" s="12"/>
      <c r="N4564" s="40" t="e">
        <f>L4564*M4564</f>
        <v>#REF!</v>
      </c>
      <c r="O4564" s="43">
        <f>0.108*M4564</f>
        <v>0</v>
      </c>
      <c r="P4564" s="47">
        <f>0.00021*M4564</f>
        <v>0</v>
      </c>
      <c r="Q4564" s="44"/>
      <c r="R4564" s="45" t="s">
        <v>14573</v>
      </c>
      <c r="S4564" s="45" t="s">
        <v>29</v>
      </c>
      <c r="T4564" s="37" t="str">
        <f>HYPERLINK("https://kanzpp.ru/api/getInfo/image/5f5cd4f8-f831-11ef-a274-00155d82e908")</f>
        <v>https://kanzpp.ru/api/getInfo/image/5f5cd4f8-f831-11ef-a274-00155d82e908</v>
      </c>
      <c r="U4564" s="37"/>
    </row>
    <row r="4565" spans="2:22" ht="22.95" customHeight="1" outlineLevel="3" x14ac:dyDescent="0.2">
      <c r="B4565" s="81" t="s">
        <v>14574</v>
      </c>
      <c r="C4565" s="81"/>
      <c r="D4565" s="81"/>
      <c r="L4565">
        <v>0</v>
      </c>
    </row>
    <row r="4566" spans="2:22" ht="21" customHeight="1" outlineLevel="4" x14ac:dyDescent="0.2">
      <c r="B4566" s="71">
        <v>3472</v>
      </c>
      <c r="C4566" s="37" t="s">
        <v>14575</v>
      </c>
      <c r="D4566" s="37" t="s">
        <v>14576</v>
      </c>
      <c r="E4566" s="38" t="s">
        <v>14561</v>
      </c>
      <c r="F4566" s="39"/>
      <c r="G4566" s="40"/>
      <c r="H4566" s="41">
        <v>400</v>
      </c>
      <c r="I4566" s="41">
        <v>50</v>
      </c>
      <c r="J4566" s="50">
        <v>165138</v>
      </c>
      <c r="K4566" s="36">
        <v>400</v>
      </c>
      <c r="L4566" s="42" t="e">
        <f>(IF(#REF!,6.1*(1-#REF!/100),6.1*(1-O3/100)))/0.75</f>
        <v>#REF!</v>
      </c>
      <c r="M4566" s="12"/>
      <c r="N4566" s="40" t="e">
        <f>L4566*M4566</f>
        <v>#REF!</v>
      </c>
      <c r="O4566" s="48">
        <f>0.03*M4566</f>
        <v>0</v>
      </c>
      <c r="P4566" s="47">
        <f>0.00003*M4566</f>
        <v>0</v>
      </c>
      <c r="Q4566" s="44"/>
      <c r="R4566" s="45" t="s">
        <v>14577</v>
      </c>
      <c r="S4566" s="45" t="s">
        <v>29</v>
      </c>
      <c r="T4566" s="37" t="str">
        <f>HYPERLINK("https://kanzpp.ru/api/getInfo/image/f83ff036-8791-11e9-a226-ac1f6b442184")</f>
        <v>https://kanzpp.ru/api/getInfo/image/f83ff036-8791-11e9-a226-ac1f6b442184</v>
      </c>
      <c r="U4566" s="37"/>
    </row>
    <row r="4567" spans="2:22" ht="21" customHeight="1" outlineLevel="4" x14ac:dyDescent="0.2">
      <c r="B4567" s="71">
        <v>3473</v>
      </c>
      <c r="C4567" s="37" t="s">
        <v>14578</v>
      </c>
      <c r="D4567" s="37" t="s">
        <v>14579</v>
      </c>
      <c r="E4567" s="38" t="s">
        <v>14580</v>
      </c>
      <c r="F4567" s="39"/>
      <c r="G4567" s="40"/>
      <c r="H4567" s="41">
        <v>400</v>
      </c>
      <c r="I4567" s="41">
        <v>50</v>
      </c>
      <c r="J4567" s="50">
        <v>221877</v>
      </c>
      <c r="K4567" s="36">
        <v>400</v>
      </c>
      <c r="L4567" s="42" t="e">
        <f>(IF(#REF!,6.1*(1-#REF!/100),6.1*(1-O3/100)))/0.75</f>
        <v>#REF!</v>
      </c>
      <c r="M4567" s="12"/>
      <c r="N4567" s="40" t="e">
        <f>L4567*M4567</f>
        <v>#REF!</v>
      </c>
      <c r="O4567" s="43">
        <f>0.205*M4567</f>
        <v>0</v>
      </c>
      <c r="P4567" s="47">
        <f>0.00019*M4567</f>
        <v>0</v>
      </c>
      <c r="Q4567" s="44"/>
      <c r="R4567" s="45" t="s">
        <v>14581</v>
      </c>
      <c r="S4567" s="45" t="s">
        <v>29</v>
      </c>
      <c r="T4567" s="37" t="str">
        <f>HYPERLINK("https://kanzpp.ru/api/getInfo/image/61d0d25e-8792-11e9-a226-ac1f6b442184")</f>
        <v>https://kanzpp.ru/api/getInfo/image/61d0d25e-8792-11e9-a226-ac1f6b442184</v>
      </c>
      <c r="U4567" s="37"/>
    </row>
    <row r="4568" spans="2:22" ht="21" customHeight="1" outlineLevel="4" x14ac:dyDescent="0.2">
      <c r="B4568" s="71">
        <v>3474</v>
      </c>
      <c r="C4568" s="37" t="s">
        <v>14582</v>
      </c>
      <c r="D4568" s="37" t="s">
        <v>14583</v>
      </c>
      <c r="E4568" s="38" t="s">
        <v>14584</v>
      </c>
      <c r="F4568" s="39"/>
      <c r="G4568" s="40"/>
      <c r="H4568" s="41">
        <v>400</v>
      </c>
      <c r="I4568" s="41">
        <v>50</v>
      </c>
      <c r="J4568" s="50">
        <v>72612</v>
      </c>
      <c r="K4568" s="36">
        <v>400</v>
      </c>
      <c r="L4568" s="42" t="e">
        <f>(IF(#REF!,6.1*(1-#REF!/100),6.1*(1-O3/100)))/0.75</f>
        <v>#REF!</v>
      </c>
      <c r="M4568" s="12"/>
      <c r="N4568" s="40" t="e">
        <f>L4568*M4568</f>
        <v>#REF!</v>
      </c>
      <c r="O4568" s="48">
        <f>0.03*M4568</f>
        <v>0</v>
      </c>
      <c r="P4568" s="47">
        <f>0.00019*M4568</f>
        <v>0</v>
      </c>
      <c r="Q4568" s="44"/>
      <c r="R4568" s="45" t="s">
        <v>14585</v>
      </c>
      <c r="S4568" s="45" t="s">
        <v>29</v>
      </c>
      <c r="T4568" s="37" t="str">
        <f>HYPERLINK("https://kanzpp.ru/api/getInfo/image/f0ffb0a0-bcf1-11e9-a22e-ac1f6b442184")</f>
        <v>https://kanzpp.ru/api/getInfo/image/f0ffb0a0-bcf1-11e9-a22e-ac1f6b442184</v>
      </c>
      <c r="U4568" s="37" t="s">
        <v>14585</v>
      </c>
    </row>
    <row r="4569" spans="2:22" ht="22.95" customHeight="1" outlineLevel="1" x14ac:dyDescent="0.2">
      <c r="B4569" s="79" t="s">
        <v>14586</v>
      </c>
      <c r="C4569" s="79"/>
      <c r="D4569" s="79"/>
      <c r="L4569">
        <v>0</v>
      </c>
    </row>
    <row r="4570" spans="2:22" ht="22.95" customHeight="1" outlineLevel="2" x14ac:dyDescent="0.2">
      <c r="B4570" s="80" t="s">
        <v>14587</v>
      </c>
      <c r="C4570" s="80"/>
      <c r="D4570" s="80"/>
      <c r="L4570">
        <v>0</v>
      </c>
    </row>
    <row r="4571" spans="2:22" ht="21" customHeight="1" outlineLevel="3" x14ac:dyDescent="0.2">
      <c r="B4571" s="69">
        <v>3475</v>
      </c>
      <c r="C4571" s="6" t="s">
        <v>14588</v>
      </c>
      <c r="D4571" s="6" t="s">
        <v>14589</v>
      </c>
      <c r="E4571" s="7" t="s">
        <v>14590</v>
      </c>
      <c r="F4571" s="13"/>
      <c r="G4571" s="14"/>
      <c r="H4571" s="15">
        <v>50</v>
      </c>
      <c r="I4571" s="14"/>
      <c r="J4571" s="15">
        <v>2</v>
      </c>
      <c r="K4571" s="5">
        <v>2</v>
      </c>
      <c r="L4571" s="16">
        <v>287.59999999999997</v>
      </c>
      <c r="M4571" s="12"/>
      <c r="N4571" s="14">
        <f>L4571*M4571</f>
        <v>0</v>
      </c>
      <c r="O4571" s="28">
        <f>0.16*M4571</f>
        <v>0</v>
      </c>
      <c r="P4571" s="24">
        <f>0.00081*M4571</f>
        <v>0</v>
      </c>
      <c r="Q4571" s="25"/>
      <c r="R4571" s="26" t="s">
        <v>14591</v>
      </c>
      <c r="S4571" s="26" t="s">
        <v>93</v>
      </c>
      <c r="T4571" s="6" t="str">
        <f>HYPERLINK("https://kanzpp.ru/api/getInfo/image/dfdb024b-4e69-11ef-a262-00155d82e908")</f>
        <v>https://kanzpp.ru/api/getInfo/image/dfdb024b-4e69-11ef-a262-00155d82e908</v>
      </c>
      <c r="U4571" s="6"/>
      <c r="V4571" s="33" t="s">
        <v>35</v>
      </c>
    </row>
    <row r="4572" spans="2:22" ht="21" customHeight="1" outlineLevel="3" x14ac:dyDescent="0.2">
      <c r="B4572" s="69">
        <v>3476</v>
      </c>
      <c r="C4572" s="6" t="s">
        <v>14592</v>
      </c>
      <c r="D4572" s="6" t="s">
        <v>14593</v>
      </c>
      <c r="E4572" s="7" t="s">
        <v>14594</v>
      </c>
      <c r="F4572" s="13"/>
      <c r="G4572" s="14"/>
      <c r="H4572" s="15">
        <v>100</v>
      </c>
      <c r="I4572" s="14"/>
      <c r="J4572" s="15">
        <v>1</v>
      </c>
      <c r="K4572" s="5">
        <v>1</v>
      </c>
      <c r="L4572" s="16">
        <v>131.04</v>
      </c>
      <c r="M4572" s="12"/>
      <c r="N4572" s="14">
        <f>L4572*M4572</f>
        <v>0</v>
      </c>
      <c r="O4572" s="23">
        <f>0.195*M4572</f>
        <v>0</v>
      </c>
      <c r="P4572" s="24">
        <f>0.00064*M4572</f>
        <v>0</v>
      </c>
      <c r="Q4572" s="25"/>
      <c r="R4572" s="26" t="s">
        <v>14595</v>
      </c>
      <c r="S4572" s="26" t="s">
        <v>93</v>
      </c>
      <c r="T4572" s="6" t="str">
        <f>HYPERLINK("https://kanzpp.ru/api/getInfo/image/4e79b6e4-0c45-11ef-a25d-00155d82e908")</f>
        <v>https://kanzpp.ru/api/getInfo/image/4e79b6e4-0c45-11ef-a25d-00155d82e908</v>
      </c>
      <c r="U4572" s="6"/>
      <c r="V4572" s="33" t="s">
        <v>35</v>
      </c>
    </row>
    <row r="4573" spans="2:22" ht="22.95" customHeight="1" outlineLevel="2" x14ac:dyDescent="0.2">
      <c r="B4573" s="80" t="s">
        <v>14596</v>
      </c>
      <c r="C4573" s="80"/>
      <c r="D4573" s="80"/>
      <c r="L4573">
        <v>0</v>
      </c>
    </row>
    <row r="4574" spans="2:22" ht="21" customHeight="1" outlineLevel="3" x14ac:dyDescent="0.2">
      <c r="B4574" s="69">
        <v>3477</v>
      </c>
      <c r="C4574" s="6" t="s">
        <v>14597</v>
      </c>
      <c r="D4574" s="6" t="s">
        <v>14598</v>
      </c>
      <c r="E4574" s="7" t="s">
        <v>14599</v>
      </c>
      <c r="F4574" s="13"/>
      <c r="G4574" s="14"/>
      <c r="H4574" s="15">
        <v>10</v>
      </c>
      <c r="I4574" s="14"/>
      <c r="J4574" s="15">
        <v>1</v>
      </c>
      <c r="K4574" s="5">
        <v>1</v>
      </c>
      <c r="L4574" s="16">
        <v>508.38666666666671</v>
      </c>
      <c r="M4574" s="12"/>
      <c r="N4574" s="14">
        <f>L4574*M4574</f>
        <v>0</v>
      </c>
      <c r="O4574" s="28">
        <f>1.19*M4574</f>
        <v>0</v>
      </c>
      <c r="P4574" s="24">
        <f>0.00302*M4574</f>
        <v>0</v>
      </c>
      <c r="Q4574" s="25"/>
      <c r="R4574" s="26" t="s">
        <v>14600</v>
      </c>
      <c r="S4574" s="26" t="s">
        <v>93</v>
      </c>
      <c r="T4574" s="6" t="str">
        <f>HYPERLINK("https://kanzpp.ru/api/getInfo/image/df30482e-9fe4-11ee-a257-00155d82e908")</f>
        <v>https://kanzpp.ru/api/getInfo/image/df30482e-9fe4-11ee-a257-00155d82e908</v>
      </c>
      <c r="U4574" s="6"/>
      <c r="V4574" s="33" t="s">
        <v>35</v>
      </c>
    </row>
    <row r="4575" spans="2:22" ht="21" customHeight="1" outlineLevel="3" x14ac:dyDescent="0.2">
      <c r="B4575" s="69">
        <v>3478</v>
      </c>
      <c r="C4575" s="6" t="s">
        <v>14601</v>
      </c>
      <c r="D4575" s="6" t="s">
        <v>14602</v>
      </c>
      <c r="E4575" s="7" t="s">
        <v>14603</v>
      </c>
      <c r="F4575" s="13"/>
      <c r="G4575" s="14"/>
      <c r="H4575" s="15">
        <v>1</v>
      </c>
      <c r="I4575" s="14"/>
      <c r="J4575" s="15">
        <v>1</v>
      </c>
      <c r="K4575" s="5">
        <v>1</v>
      </c>
      <c r="L4575" s="16">
        <v>1245.1066666666668</v>
      </c>
      <c r="M4575" s="12"/>
      <c r="N4575" s="14">
        <f>L4575*M4575</f>
        <v>0</v>
      </c>
      <c r="O4575" s="23">
        <f>2.298*M4575</f>
        <v>0</v>
      </c>
      <c r="P4575" s="24">
        <f>0.01112*M4575</f>
        <v>0</v>
      </c>
      <c r="Q4575" s="25"/>
      <c r="R4575" s="26"/>
      <c r="S4575" s="26" t="s">
        <v>93</v>
      </c>
      <c r="T4575" s="6" t="str">
        <f>HYPERLINK("https://kanzpp.ru/api/getInfo/image/3ac19b98-0c54-11ef-a25d-00155d82e908")</f>
        <v>https://kanzpp.ru/api/getInfo/image/3ac19b98-0c54-11ef-a25d-00155d82e908</v>
      </c>
      <c r="U4575" s="6" t="s">
        <v>14604</v>
      </c>
      <c r="V4575" s="33" t="s">
        <v>35</v>
      </c>
    </row>
    <row r="4576" spans="2:22" ht="21" customHeight="1" outlineLevel="3" x14ac:dyDescent="0.2">
      <c r="B4576" s="69">
        <v>3479</v>
      </c>
      <c r="C4576" s="6" t="s">
        <v>14605</v>
      </c>
      <c r="D4576" s="6" t="s">
        <v>14606</v>
      </c>
      <c r="E4576" s="7" t="s">
        <v>14607</v>
      </c>
      <c r="F4576" s="13"/>
      <c r="G4576" s="14"/>
      <c r="H4576" s="15">
        <v>1</v>
      </c>
      <c r="I4576" s="14"/>
      <c r="J4576" s="15">
        <v>1</v>
      </c>
      <c r="K4576" s="5">
        <v>1</v>
      </c>
      <c r="L4576" s="16">
        <v>907.04</v>
      </c>
      <c r="M4576" s="12"/>
      <c r="N4576" s="14">
        <f>L4576*M4576</f>
        <v>0</v>
      </c>
      <c r="O4576" s="23">
        <f>1.611*M4576</f>
        <v>0</v>
      </c>
      <c r="P4576" s="24">
        <f>0.00988*M4576</f>
        <v>0</v>
      </c>
      <c r="Q4576" s="25"/>
      <c r="R4576" s="26"/>
      <c r="S4576" s="26" t="s">
        <v>93</v>
      </c>
      <c r="T4576" s="6" t="str">
        <f>HYPERLINK("https://kanzpp.ru/api/getInfo/image/07113507-0c54-11ef-a25d-00155d82e908")</f>
        <v>https://kanzpp.ru/api/getInfo/image/07113507-0c54-11ef-a25d-00155d82e908</v>
      </c>
      <c r="U4576" s="6" t="s">
        <v>14608</v>
      </c>
      <c r="V4576" s="33" t="s">
        <v>35</v>
      </c>
    </row>
    <row r="4577" spans="2:22" ht="21" customHeight="1" outlineLevel="3" x14ac:dyDescent="0.2">
      <c r="B4577" s="69">
        <v>3480</v>
      </c>
      <c r="C4577" s="6" t="s">
        <v>14609</v>
      </c>
      <c r="D4577" s="6" t="s">
        <v>14610</v>
      </c>
      <c r="E4577" s="7" t="s">
        <v>14611</v>
      </c>
      <c r="F4577" s="13"/>
      <c r="G4577" s="14"/>
      <c r="H4577" s="15">
        <v>500</v>
      </c>
      <c r="I4577" s="14"/>
      <c r="J4577" s="14" t="s">
        <v>144</v>
      </c>
      <c r="K4577" s="5">
        <v>3</v>
      </c>
      <c r="L4577" s="16">
        <v>123.98666666666666</v>
      </c>
      <c r="M4577" s="12"/>
      <c r="N4577" s="14">
        <f>L4577*M4577</f>
        <v>0</v>
      </c>
      <c r="O4577" s="23">
        <f>0.033*M4577</f>
        <v>0</v>
      </c>
      <c r="P4577" s="24">
        <f>0.00011*M4577</f>
        <v>0</v>
      </c>
      <c r="Q4577" s="25"/>
      <c r="R4577" s="26" t="s">
        <v>14612</v>
      </c>
      <c r="S4577" s="26" t="s">
        <v>93</v>
      </c>
      <c r="T4577" s="6" t="str">
        <f>HYPERLINK("https://kanzpp.ru/api/getInfo/image/6dd06910-c101-11ee-a25a-00155d82e908")</f>
        <v>https://kanzpp.ru/api/getInfo/image/6dd06910-c101-11ee-a25a-00155d82e908</v>
      </c>
      <c r="U4577" s="6"/>
      <c r="V4577" s="33" t="s">
        <v>35</v>
      </c>
    </row>
    <row r="4578" spans="2:22" ht="21" customHeight="1" outlineLevel="3" x14ac:dyDescent="0.2">
      <c r="B4578" s="71">
        <v>3481</v>
      </c>
      <c r="C4578" s="37" t="s">
        <v>14613</v>
      </c>
      <c r="D4578" s="37" t="s">
        <v>14614</v>
      </c>
      <c r="E4578" s="38" t="s">
        <v>14615</v>
      </c>
      <c r="F4578" s="39"/>
      <c r="G4578" s="40"/>
      <c r="H4578" s="41">
        <v>6</v>
      </c>
      <c r="I4578" s="40"/>
      <c r="J4578" s="41">
        <v>1</v>
      </c>
      <c r="K4578" s="36">
        <v>1</v>
      </c>
      <c r="L4578" s="53" t="e">
        <f>(IF(#REF!,1154*(1-#REF!/100),1154*(1-O3/100)))/0.75</f>
        <v>#REF!</v>
      </c>
      <c r="M4578" s="12"/>
      <c r="N4578" s="40" t="e">
        <f>L4578*M4578</f>
        <v>#REF!</v>
      </c>
      <c r="O4578" s="49">
        <f>2.4*M4578</f>
        <v>0</v>
      </c>
      <c r="P4578" s="47">
        <f>0.01332*M4578</f>
        <v>0</v>
      </c>
      <c r="Q4578" s="44"/>
      <c r="R4578" s="45" t="s">
        <v>14616</v>
      </c>
      <c r="S4578" s="45" t="s">
        <v>93</v>
      </c>
      <c r="T4578" s="37"/>
      <c r="U4578" s="37"/>
    </row>
    <row r="4579" spans="2:22" ht="22.95" customHeight="1" outlineLevel="2" x14ac:dyDescent="0.2">
      <c r="B4579" s="80" t="s">
        <v>14617</v>
      </c>
      <c r="C4579" s="80"/>
      <c r="D4579" s="80"/>
      <c r="L4579">
        <v>0</v>
      </c>
    </row>
    <row r="4580" spans="2:22" ht="21" customHeight="1" outlineLevel="3" x14ac:dyDescent="0.2">
      <c r="B4580" s="69">
        <v>3482</v>
      </c>
      <c r="C4580" s="6" t="s">
        <v>14618</v>
      </c>
      <c r="D4580" s="6" t="s">
        <v>14619</v>
      </c>
      <c r="E4580" s="7" t="s">
        <v>14620</v>
      </c>
      <c r="F4580" s="13"/>
      <c r="G4580" s="14"/>
      <c r="H4580" s="15">
        <v>18</v>
      </c>
      <c r="I4580" s="14"/>
      <c r="J4580" s="15">
        <v>673</v>
      </c>
      <c r="K4580" s="5">
        <v>1</v>
      </c>
      <c r="L4580" s="52">
        <v>1598.6666666666667</v>
      </c>
      <c r="M4580" s="12"/>
      <c r="N4580" s="14">
        <f t="shared" ref="N4580:N4586" si="227">L4580*M4580</f>
        <v>0</v>
      </c>
      <c r="O4580" s="23">
        <f>0.704*M4580</f>
        <v>0</v>
      </c>
      <c r="P4580" s="24">
        <f>0.00249*M4580</f>
        <v>0</v>
      </c>
      <c r="Q4580" s="25"/>
      <c r="R4580" s="26" t="s">
        <v>14621</v>
      </c>
      <c r="S4580" s="26" t="s">
        <v>93</v>
      </c>
      <c r="T4580" s="6" t="str">
        <f>HYPERLINK("https://kanzpp.ru/api/getInfo/image/52dfaf55-1d89-11ef-a25e-00155d82e908")</f>
        <v>https://kanzpp.ru/api/getInfo/image/52dfaf55-1d89-11ef-a25e-00155d82e908</v>
      </c>
      <c r="U4580" s="6"/>
      <c r="V4580" s="33" t="s">
        <v>35</v>
      </c>
    </row>
    <row r="4581" spans="2:22" ht="21" customHeight="1" outlineLevel="3" x14ac:dyDescent="0.2">
      <c r="B4581" s="69">
        <v>3483</v>
      </c>
      <c r="C4581" s="6" t="s">
        <v>14622</v>
      </c>
      <c r="D4581" s="6" t="s">
        <v>14623</v>
      </c>
      <c r="E4581" s="7" t="s">
        <v>14624</v>
      </c>
      <c r="F4581" s="13"/>
      <c r="G4581" s="14"/>
      <c r="H4581" s="15">
        <v>18</v>
      </c>
      <c r="I4581" s="14"/>
      <c r="J4581" s="15">
        <v>518</v>
      </c>
      <c r="K4581" s="5">
        <v>1</v>
      </c>
      <c r="L4581" s="52">
        <v>1865.3333333333333</v>
      </c>
      <c r="M4581" s="12"/>
      <c r="N4581" s="14">
        <f t="shared" si="227"/>
        <v>0</v>
      </c>
      <c r="O4581" s="23">
        <f>0.671*M4581</f>
        <v>0</v>
      </c>
      <c r="P4581" s="24">
        <f>0.00215*M4581</f>
        <v>0</v>
      </c>
      <c r="Q4581" s="25"/>
      <c r="R4581" s="26" t="s">
        <v>14625</v>
      </c>
      <c r="S4581" s="26" t="s">
        <v>93</v>
      </c>
      <c r="T4581" s="6" t="str">
        <f>HYPERLINK("https://kanzpp.ru/api/getInfo/image/2aad7969-1d89-11ef-a25e-00155d82e908")</f>
        <v>https://kanzpp.ru/api/getInfo/image/2aad7969-1d89-11ef-a25e-00155d82e908</v>
      </c>
      <c r="U4581" s="6"/>
      <c r="V4581" s="33" t="s">
        <v>35</v>
      </c>
    </row>
    <row r="4582" spans="2:22" ht="21" customHeight="1" outlineLevel="3" x14ac:dyDescent="0.2">
      <c r="B4582" s="69">
        <v>3484</v>
      </c>
      <c r="C4582" s="6" t="s">
        <v>14626</v>
      </c>
      <c r="D4582" s="6" t="s">
        <v>14627</v>
      </c>
      <c r="E4582" s="7" t="s">
        <v>14628</v>
      </c>
      <c r="F4582" s="13"/>
      <c r="G4582" s="14"/>
      <c r="H4582" s="15">
        <v>18</v>
      </c>
      <c r="I4582" s="14"/>
      <c r="J4582" s="15">
        <v>608</v>
      </c>
      <c r="K4582" s="5">
        <v>1</v>
      </c>
      <c r="L4582" s="52">
        <v>1860.0533333333333</v>
      </c>
      <c r="M4582" s="12"/>
      <c r="N4582" s="14">
        <f t="shared" si="227"/>
        <v>0</v>
      </c>
      <c r="O4582" s="23">
        <f>0.666*M4582</f>
        <v>0</v>
      </c>
      <c r="P4582" s="24">
        <f>0.00219*M4582</f>
        <v>0</v>
      </c>
      <c r="Q4582" s="25"/>
      <c r="R4582" s="26" t="s">
        <v>14629</v>
      </c>
      <c r="S4582" s="26" t="s">
        <v>93</v>
      </c>
      <c r="T4582" s="6" t="str">
        <f>HYPERLINK("https://kanzpp.ru/api/getInfo/image/b14506aa-1d88-11ef-a25e-00155d82e908")</f>
        <v>https://kanzpp.ru/api/getInfo/image/b14506aa-1d88-11ef-a25e-00155d82e908</v>
      </c>
      <c r="U4582" s="6"/>
      <c r="V4582" s="33" t="s">
        <v>35</v>
      </c>
    </row>
    <row r="4583" spans="2:22" ht="21" customHeight="1" outlineLevel="3" x14ac:dyDescent="0.2">
      <c r="B4583" s="69">
        <v>3485</v>
      </c>
      <c r="C4583" s="6" t="s">
        <v>14630</v>
      </c>
      <c r="D4583" s="6" t="s">
        <v>14631</v>
      </c>
      <c r="E4583" s="7" t="s">
        <v>14632</v>
      </c>
      <c r="F4583" s="13"/>
      <c r="G4583" s="14"/>
      <c r="H4583" s="15">
        <v>18</v>
      </c>
      <c r="I4583" s="14"/>
      <c r="J4583" s="15">
        <v>255</v>
      </c>
      <c r="K4583" s="5">
        <v>1</v>
      </c>
      <c r="L4583" s="52">
        <v>1625.0266666666666</v>
      </c>
      <c r="M4583" s="12"/>
      <c r="N4583" s="14">
        <f t="shared" si="227"/>
        <v>0</v>
      </c>
      <c r="O4583" s="23">
        <f>0.671*M4583</f>
        <v>0</v>
      </c>
      <c r="P4583" s="24">
        <f>0.00204*M4583</f>
        <v>0</v>
      </c>
      <c r="Q4583" s="25"/>
      <c r="R4583" s="26" t="s">
        <v>14633</v>
      </c>
      <c r="S4583" s="26" t="s">
        <v>93</v>
      </c>
      <c r="T4583" s="6" t="str">
        <f>HYPERLINK("https://kanzpp.ru/api/getInfo/image/0252babd-1d89-11ef-a25e-00155d82e908")</f>
        <v>https://kanzpp.ru/api/getInfo/image/0252babd-1d89-11ef-a25e-00155d82e908</v>
      </c>
      <c r="U4583" s="6"/>
      <c r="V4583" s="33" t="s">
        <v>35</v>
      </c>
    </row>
    <row r="4584" spans="2:22" ht="21" customHeight="1" outlineLevel="3" x14ac:dyDescent="0.2">
      <c r="B4584" s="69">
        <v>3486</v>
      </c>
      <c r="C4584" s="6" t="s">
        <v>14634</v>
      </c>
      <c r="D4584" s="6" t="s">
        <v>14635</v>
      </c>
      <c r="E4584" s="7" t="s">
        <v>14636</v>
      </c>
      <c r="F4584" s="13"/>
      <c r="G4584" s="14"/>
      <c r="H4584" s="15">
        <v>65</v>
      </c>
      <c r="I4584" s="14"/>
      <c r="J4584" s="14" t="s">
        <v>144</v>
      </c>
      <c r="K4584" s="5">
        <v>1</v>
      </c>
      <c r="L4584" s="16">
        <v>699.88</v>
      </c>
      <c r="M4584" s="12"/>
      <c r="N4584" s="14">
        <f t="shared" si="227"/>
        <v>0</v>
      </c>
      <c r="O4584" s="28">
        <f>0.13*M4584</f>
        <v>0</v>
      </c>
      <c r="P4584" s="24">
        <f>0.00074*M4584</f>
        <v>0</v>
      </c>
      <c r="Q4584" s="25"/>
      <c r="R4584" s="26" t="s">
        <v>14637</v>
      </c>
      <c r="S4584" s="26" t="s">
        <v>93</v>
      </c>
      <c r="T4584" s="6" t="str">
        <f>HYPERLINK("https://kanzpp.ru/api/getInfo/image/b8f5c779-2ede-11ef-a261-00155d82e908")</f>
        <v>https://kanzpp.ru/api/getInfo/image/b8f5c779-2ede-11ef-a261-00155d82e908</v>
      </c>
      <c r="U4584" s="6"/>
      <c r="V4584" s="33" t="s">
        <v>35</v>
      </c>
    </row>
    <row r="4585" spans="2:22" ht="21" customHeight="1" outlineLevel="3" x14ac:dyDescent="0.2">
      <c r="B4585" s="69">
        <v>3487</v>
      </c>
      <c r="C4585" s="6" t="s">
        <v>14638</v>
      </c>
      <c r="D4585" s="6" t="s">
        <v>14639</v>
      </c>
      <c r="E4585" s="7" t="s">
        <v>14640</v>
      </c>
      <c r="F4585" s="13"/>
      <c r="G4585" s="14"/>
      <c r="H4585" s="15">
        <v>60</v>
      </c>
      <c r="I4585" s="14"/>
      <c r="J4585" s="14" t="s">
        <v>144</v>
      </c>
      <c r="K4585" s="5">
        <v>1</v>
      </c>
      <c r="L4585" s="16">
        <v>311.64</v>
      </c>
      <c r="M4585" s="12"/>
      <c r="N4585" s="14">
        <f t="shared" si="227"/>
        <v>0</v>
      </c>
      <c r="O4585" s="28">
        <f>0.18*M4585</f>
        <v>0</v>
      </c>
      <c r="P4585" s="24">
        <f>0.00186*M4585</f>
        <v>0</v>
      </c>
      <c r="Q4585" s="25"/>
      <c r="R4585" s="26" t="s">
        <v>14641</v>
      </c>
      <c r="S4585" s="26" t="s">
        <v>93</v>
      </c>
      <c r="T4585" s="6" t="str">
        <f>HYPERLINK("https://kanzpp.ru/api/getInfo/image/4700a33a-2ede-11ef-a261-00155d82e908")</f>
        <v>https://kanzpp.ru/api/getInfo/image/4700a33a-2ede-11ef-a261-00155d82e908</v>
      </c>
      <c r="U4585" s="6"/>
      <c r="V4585" s="33" t="s">
        <v>35</v>
      </c>
    </row>
    <row r="4586" spans="2:22" ht="21" customHeight="1" outlineLevel="3" x14ac:dyDescent="0.2">
      <c r="B4586" s="69">
        <v>3488</v>
      </c>
      <c r="C4586" s="6" t="s">
        <v>14642</v>
      </c>
      <c r="D4586" s="6" t="s">
        <v>14643</v>
      </c>
      <c r="E4586" s="7" t="s">
        <v>14644</v>
      </c>
      <c r="F4586" s="13"/>
      <c r="G4586" s="14"/>
      <c r="H4586" s="15">
        <v>90</v>
      </c>
      <c r="I4586" s="14"/>
      <c r="J4586" s="15">
        <v>1</v>
      </c>
      <c r="K4586" s="5">
        <v>1</v>
      </c>
      <c r="L4586" s="16">
        <v>621.70666666666659</v>
      </c>
      <c r="M4586" s="12"/>
      <c r="N4586" s="14">
        <f t="shared" si="227"/>
        <v>0</v>
      </c>
      <c r="O4586" s="28">
        <f>0.17*M4586</f>
        <v>0</v>
      </c>
      <c r="P4586" s="24">
        <f>0.00068*M4586</f>
        <v>0</v>
      </c>
      <c r="Q4586" s="25"/>
      <c r="R4586" s="26" t="s">
        <v>14645</v>
      </c>
      <c r="S4586" s="26" t="s">
        <v>93</v>
      </c>
      <c r="T4586" s="6" t="str">
        <f>HYPERLINK("https://kanzpp.ru/api/getInfo/image/7dcd550d-2ede-11ef-a261-00155d82e908")</f>
        <v>https://kanzpp.ru/api/getInfo/image/7dcd550d-2ede-11ef-a261-00155d82e908</v>
      </c>
      <c r="U4586" s="6"/>
      <c r="V4586" s="33" t="s">
        <v>35</v>
      </c>
    </row>
    <row r="4587" spans="2:22" ht="22.95" customHeight="1" outlineLevel="2" x14ac:dyDescent="0.2">
      <c r="B4587" s="80" t="s">
        <v>14646</v>
      </c>
      <c r="C4587" s="80"/>
      <c r="D4587" s="80"/>
      <c r="L4587">
        <v>0</v>
      </c>
    </row>
    <row r="4588" spans="2:22" ht="21" customHeight="1" outlineLevel="3" x14ac:dyDescent="0.2">
      <c r="B4588" s="69">
        <v>3489</v>
      </c>
      <c r="C4588" s="6" t="s">
        <v>14647</v>
      </c>
      <c r="D4588" s="6" t="s">
        <v>14648</v>
      </c>
      <c r="E4588" s="7" t="s">
        <v>14649</v>
      </c>
      <c r="F4588" s="13"/>
      <c r="G4588" s="14"/>
      <c r="H4588" s="15">
        <v>1</v>
      </c>
      <c r="I4588" s="14"/>
      <c r="J4588" s="15">
        <v>710</v>
      </c>
      <c r="K4588" s="5">
        <v>1</v>
      </c>
      <c r="L4588" s="16">
        <v>608.89333333333332</v>
      </c>
      <c r="M4588" s="12"/>
      <c r="N4588" s="14">
        <f t="shared" ref="N4588:N4594" si="228">L4588*M4588</f>
        <v>0</v>
      </c>
      <c r="O4588" s="28">
        <f>0.95*M4588</f>
        <v>0</v>
      </c>
      <c r="P4588" s="31">
        <f>0.0105*M4588</f>
        <v>0</v>
      </c>
      <c r="Q4588" s="25"/>
      <c r="R4588" s="26" t="s">
        <v>14650</v>
      </c>
      <c r="S4588" s="26" t="s">
        <v>93</v>
      </c>
      <c r="T4588" s="6" t="str">
        <f>HYPERLINK("https://kanzpp.ru/api/getInfo/image/344bcbbb-f1a0-11ee-a25b-00155d82e908")</f>
        <v>https://kanzpp.ru/api/getInfo/image/344bcbbb-f1a0-11ee-a25b-00155d82e908</v>
      </c>
      <c r="U4588" s="6"/>
      <c r="V4588" s="33" t="s">
        <v>35</v>
      </c>
    </row>
    <row r="4589" spans="2:22" ht="21" customHeight="1" outlineLevel="3" x14ac:dyDescent="0.2">
      <c r="B4589" s="69">
        <v>3490</v>
      </c>
      <c r="C4589" s="6" t="s">
        <v>14651</v>
      </c>
      <c r="D4589" s="6" t="s">
        <v>14652</v>
      </c>
      <c r="E4589" s="7" t="s">
        <v>14653</v>
      </c>
      <c r="F4589" s="13"/>
      <c r="G4589" s="14"/>
      <c r="H4589" s="15">
        <v>1</v>
      </c>
      <c r="I4589" s="14"/>
      <c r="J4589" s="17">
        <v>2110</v>
      </c>
      <c r="K4589" s="5">
        <v>1</v>
      </c>
      <c r="L4589" s="16">
        <v>958.62666666666667</v>
      </c>
      <c r="M4589" s="12"/>
      <c r="N4589" s="14">
        <f t="shared" si="228"/>
        <v>0</v>
      </c>
      <c r="O4589" s="23">
        <f>1.126*M4589</f>
        <v>0</v>
      </c>
      <c r="P4589" s="24">
        <f>0.01415*M4589</f>
        <v>0</v>
      </c>
      <c r="Q4589" s="25"/>
      <c r="R4589" s="26" t="s">
        <v>14654</v>
      </c>
      <c r="S4589" s="26" t="s">
        <v>93</v>
      </c>
      <c r="T4589" s="6" t="str">
        <f>HYPERLINK("https://kanzpp.ru/api/getInfo/image/5b9e0dfc-f1a0-11ee-a25b-00155d82e908")</f>
        <v>https://kanzpp.ru/api/getInfo/image/5b9e0dfc-f1a0-11ee-a25b-00155d82e908</v>
      </c>
      <c r="U4589" s="6"/>
      <c r="V4589" s="33" t="s">
        <v>35</v>
      </c>
    </row>
    <row r="4590" spans="2:22" ht="21" customHeight="1" outlineLevel="3" x14ac:dyDescent="0.2">
      <c r="B4590" s="69">
        <v>3491</v>
      </c>
      <c r="C4590" s="6" t="s">
        <v>14655</v>
      </c>
      <c r="D4590" s="6" t="s">
        <v>14656</v>
      </c>
      <c r="E4590" s="7" t="s">
        <v>14657</v>
      </c>
      <c r="F4590" s="13"/>
      <c r="G4590" s="14"/>
      <c r="H4590" s="15">
        <v>1</v>
      </c>
      <c r="I4590" s="14"/>
      <c r="J4590" s="15">
        <v>231</v>
      </c>
      <c r="K4590" s="5">
        <v>1</v>
      </c>
      <c r="L4590" s="16">
        <v>871.01333333333332</v>
      </c>
      <c r="M4590" s="12"/>
      <c r="N4590" s="14">
        <f t="shared" si="228"/>
        <v>0</v>
      </c>
      <c r="O4590" s="23">
        <f>1.114*M4590</f>
        <v>0</v>
      </c>
      <c r="P4590" s="24">
        <f>0.01513*M4590</f>
        <v>0</v>
      </c>
      <c r="Q4590" s="25"/>
      <c r="R4590" s="26" t="s">
        <v>14658</v>
      </c>
      <c r="S4590" s="26" t="s">
        <v>93</v>
      </c>
      <c r="T4590" s="6" t="str">
        <f>HYPERLINK("https://kanzpp.ru/api/getInfo/image/7947d4e7-f1a0-11ee-a25b-00155d82e908")</f>
        <v>https://kanzpp.ru/api/getInfo/image/7947d4e7-f1a0-11ee-a25b-00155d82e908</v>
      </c>
      <c r="U4590" s="6"/>
      <c r="V4590" s="33" t="s">
        <v>35</v>
      </c>
    </row>
    <row r="4591" spans="2:22" ht="21" customHeight="1" outlineLevel="3" x14ac:dyDescent="0.2">
      <c r="B4591" s="69">
        <v>3492</v>
      </c>
      <c r="C4591" s="6" t="s">
        <v>14659</v>
      </c>
      <c r="D4591" s="6" t="s">
        <v>14660</v>
      </c>
      <c r="E4591" s="7" t="s">
        <v>14661</v>
      </c>
      <c r="F4591" s="13"/>
      <c r="G4591" s="14"/>
      <c r="H4591" s="15">
        <v>1</v>
      </c>
      <c r="I4591" s="14"/>
      <c r="J4591" s="15">
        <v>536</v>
      </c>
      <c r="K4591" s="5">
        <v>1</v>
      </c>
      <c r="L4591" s="16">
        <v>1189.7733333333333</v>
      </c>
      <c r="M4591" s="12"/>
      <c r="N4591" s="14">
        <f t="shared" si="228"/>
        <v>0</v>
      </c>
      <c r="O4591" s="23">
        <f>1.677*M4591</f>
        <v>0</v>
      </c>
      <c r="P4591" s="24">
        <f>0.01336*M4591</f>
        <v>0</v>
      </c>
      <c r="Q4591" s="25"/>
      <c r="R4591" s="26" t="s">
        <v>14662</v>
      </c>
      <c r="S4591" s="26" t="s">
        <v>93</v>
      </c>
      <c r="T4591" s="6" t="str">
        <f>HYPERLINK("https://kanzpp.ru/api/getInfo/image/15a2caea-f1ab-11ee-a25b-00155d82e908")</f>
        <v>https://kanzpp.ru/api/getInfo/image/15a2caea-f1ab-11ee-a25b-00155d82e908</v>
      </c>
      <c r="U4591" s="6"/>
      <c r="V4591" s="33" t="s">
        <v>35</v>
      </c>
    </row>
    <row r="4592" spans="2:22" ht="21" customHeight="1" outlineLevel="3" x14ac:dyDescent="0.2">
      <c r="B4592" s="69">
        <v>3493</v>
      </c>
      <c r="C4592" s="6" t="s">
        <v>14663</v>
      </c>
      <c r="D4592" s="6" t="s">
        <v>14664</v>
      </c>
      <c r="E4592" s="7" t="s">
        <v>14665</v>
      </c>
      <c r="F4592" s="13"/>
      <c r="G4592" s="14"/>
      <c r="H4592" s="15">
        <v>1</v>
      </c>
      <c r="I4592" s="14"/>
      <c r="J4592" s="15">
        <v>404</v>
      </c>
      <c r="K4592" s="5">
        <v>1</v>
      </c>
      <c r="L4592" s="16">
        <v>1152.3466666666666</v>
      </c>
      <c r="M4592" s="12"/>
      <c r="N4592" s="14">
        <f t="shared" si="228"/>
        <v>0</v>
      </c>
      <c r="O4592" s="23">
        <f>1.582*M4592</f>
        <v>0</v>
      </c>
      <c r="P4592" s="31">
        <f>0.0134*M4592</f>
        <v>0</v>
      </c>
      <c r="Q4592" s="25"/>
      <c r="R4592" s="26" t="s">
        <v>14666</v>
      </c>
      <c r="S4592" s="26" t="s">
        <v>93</v>
      </c>
      <c r="T4592" s="6" t="str">
        <f>HYPERLINK("https://kanzpp.ru/api/getInfo/image/a822dce8-f1a0-11ee-a25b-00155d82e908")</f>
        <v>https://kanzpp.ru/api/getInfo/image/a822dce8-f1a0-11ee-a25b-00155d82e908</v>
      </c>
      <c r="U4592" s="6"/>
      <c r="V4592" s="33" t="s">
        <v>35</v>
      </c>
    </row>
    <row r="4593" spans="2:22" ht="21" customHeight="1" outlineLevel="3" x14ac:dyDescent="0.2">
      <c r="B4593" s="69">
        <v>3494</v>
      </c>
      <c r="C4593" s="6" t="s">
        <v>14667</v>
      </c>
      <c r="D4593" s="6" t="s">
        <v>14668</v>
      </c>
      <c r="E4593" s="7" t="s">
        <v>14669</v>
      </c>
      <c r="F4593" s="13"/>
      <c r="G4593" s="14"/>
      <c r="H4593" s="15">
        <v>1</v>
      </c>
      <c r="I4593" s="14"/>
      <c r="J4593" s="15">
        <v>745</v>
      </c>
      <c r="K4593" s="5">
        <v>1</v>
      </c>
      <c r="L4593" s="52">
        <v>1444</v>
      </c>
      <c r="M4593" s="12"/>
      <c r="N4593" s="14">
        <f t="shared" si="228"/>
        <v>0</v>
      </c>
      <c r="O4593" s="23">
        <f>2.147*M4593</f>
        <v>0</v>
      </c>
      <c r="P4593" s="24">
        <f>0.01839*M4593</f>
        <v>0</v>
      </c>
      <c r="Q4593" s="25"/>
      <c r="R4593" s="26" t="s">
        <v>14670</v>
      </c>
      <c r="S4593" s="26" t="s">
        <v>93</v>
      </c>
      <c r="T4593" s="6" t="str">
        <f>HYPERLINK("https://kanzpp.ru/api/getInfo/image/6bba4367-f1ab-11ee-a25b-00155d82e908")</f>
        <v>https://kanzpp.ru/api/getInfo/image/6bba4367-f1ab-11ee-a25b-00155d82e908</v>
      </c>
      <c r="U4593" s="6"/>
      <c r="V4593" s="33" t="s">
        <v>35</v>
      </c>
    </row>
    <row r="4594" spans="2:22" ht="21" customHeight="1" outlineLevel="3" x14ac:dyDescent="0.2">
      <c r="B4594" s="69">
        <v>3495</v>
      </c>
      <c r="C4594" s="6" t="s">
        <v>14671</v>
      </c>
      <c r="D4594" s="6" t="s">
        <v>14672</v>
      </c>
      <c r="E4594" s="7" t="s">
        <v>14673</v>
      </c>
      <c r="F4594" s="13"/>
      <c r="G4594" s="14"/>
      <c r="H4594" s="15">
        <v>1</v>
      </c>
      <c r="I4594" s="14"/>
      <c r="J4594" s="17">
        <v>1560</v>
      </c>
      <c r="K4594" s="5">
        <v>1</v>
      </c>
      <c r="L4594" s="52">
        <v>1444</v>
      </c>
      <c r="M4594" s="12"/>
      <c r="N4594" s="14">
        <f t="shared" si="228"/>
        <v>0</v>
      </c>
      <c r="O4594" s="23">
        <f>2.051*M4594</f>
        <v>0</v>
      </c>
      <c r="P4594" s="24">
        <f>0.01761*M4594</f>
        <v>0</v>
      </c>
      <c r="Q4594" s="25"/>
      <c r="R4594" s="26" t="s">
        <v>14674</v>
      </c>
      <c r="S4594" s="26" t="s">
        <v>93</v>
      </c>
      <c r="T4594" s="6" t="str">
        <f>HYPERLINK("https://kanzpp.ru/api/getInfo/image/4ab655c4-f1ab-11ee-a25b-00155d82e908")</f>
        <v>https://kanzpp.ru/api/getInfo/image/4ab655c4-f1ab-11ee-a25b-00155d82e908</v>
      </c>
      <c r="U4594" s="6"/>
      <c r="V4594" s="33" t="s">
        <v>35</v>
      </c>
    </row>
  </sheetData>
  <autoFilter ref="B4:V4594">
    <filterColumn colId="2" showButton="0"/>
  </autoFilter>
  <mergeCells count="1116">
    <mergeCell ref="U4:U5"/>
    <mergeCell ref="D4:D5"/>
    <mergeCell ref="O4:O5"/>
    <mergeCell ref="P4:P5"/>
    <mergeCell ref="Q4:Q5"/>
    <mergeCell ref="R4:R5"/>
    <mergeCell ref="S4:S5"/>
    <mergeCell ref="T4:T5"/>
    <mergeCell ref="I4:I5"/>
    <mergeCell ref="J4:J5"/>
    <mergeCell ref="K4:K5"/>
    <mergeCell ref="L4:L5"/>
    <mergeCell ref="M4:M5"/>
    <mergeCell ref="N4:N5"/>
    <mergeCell ref="B4:B5"/>
    <mergeCell ref="C4:C5"/>
    <mergeCell ref="B4587:D4587"/>
    <mergeCell ref="B4579:D4579"/>
    <mergeCell ref="B4573:D4573"/>
    <mergeCell ref="B4569:D4569"/>
    <mergeCell ref="B4570:D4570"/>
    <mergeCell ref="B4565:D4565"/>
    <mergeCell ref="B4559:D4559"/>
    <mergeCell ref="B4547:D4547"/>
    <mergeCell ref="B4548:D4548"/>
    <mergeCell ref="B4537:D4537"/>
    <mergeCell ref="B4538:D4538"/>
    <mergeCell ref="B4541:D4541"/>
    <mergeCell ref="B4542:D4542"/>
    <mergeCell ref="B4531:D4531"/>
    <mergeCell ref="B4535:D4535"/>
    <mergeCell ref="B4526:D4526"/>
    <mergeCell ref="B4527:D4527"/>
    <mergeCell ref="B4528:D4528"/>
    <mergeCell ref="B4521:D4521"/>
    <mergeCell ref="B4524:D4524"/>
    <mergeCell ref="B4513:D4513"/>
    <mergeCell ref="B4510:D4510"/>
    <mergeCell ref="B4501:D4501"/>
    <mergeCell ref="B4498:D4498"/>
    <mergeCell ref="B4485:D4485"/>
    <mergeCell ref="B4475:D4475"/>
    <mergeCell ref="B4462:D4462"/>
    <mergeCell ref="B4450:D4450"/>
    <mergeCell ref="B4436:D4436"/>
    <mergeCell ref="B4428:D4428"/>
    <mergeCell ref="B4421:D4421"/>
    <mergeCell ref="B4411:D4411"/>
    <mergeCell ref="B4412:D4412"/>
    <mergeCell ref="B4397:D4397"/>
    <mergeCell ref="B4383:D4383"/>
    <mergeCell ref="B4368:D4368"/>
    <mergeCell ref="B4351:D4351"/>
    <mergeCell ref="B4350:D4350"/>
    <mergeCell ref="B4339:D4339"/>
    <mergeCell ref="B4340:D4340"/>
    <mergeCell ref="B4328:D4328"/>
    <mergeCell ref="B4329:D4329"/>
    <mergeCell ref="B4332:D4332"/>
    <mergeCell ref="B4323:D4323"/>
    <mergeCell ref="B4314:D4314"/>
    <mergeCell ref="B4303:D4303"/>
    <mergeCell ref="B4297:D4297"/>
    <mergeCell ref="B4292:D4292"/>
    <mergeCell ref="B4296:D4296"/>
    <mergeCell ref="B4289:D4289"/>
    <mergeCell ref="B4271:D4271"/>
    <mergeCell ref="B4258:D4258"/>
    <mergeCell ref="B4250:D4250"/>
    <mergeCell ref="B4243:D4243"/>
    <mergeCell ref="B4245:D4245"/>
    <mergeCell ref="B4237:D4237"/>
    <mergeCell ref="B4241:D4241"/>
    <mergeCell ref="B4242:D4242"/>
    <mergeCell ref="B4232:D4232"/>
    <mergeCell ref="B4233:D4233"/>
    <mergeCell ref="B4225:D4225"/>
    <mergeCell ref="B4228:D4228"/>
    <mergeCell ref="B4219:D4219"/>
    <mergeCell ref="B4216:D4216"/>
    <mergeCell ref="B4201:D4201"/>
    <mergeCell ref="B4205:D4205"/>
    <mergeCell ref="B4198:D4198"/>
    <mergeCell ref="B4200:D4200"/>
    <mergeCell ref="B4193:D4193"/>
    <mergeCell ref="B4184:D4184"/>
    <mergeCell ref="B4188:D4188"/>
    <mergeCell ref="B4177:D4177"/>
    <mergeCell ref="B4182:D4182"/>
    <mergeCell ref="B4164:D4164"/>
    <mergeCell ref="B4148:D4148"/>
    <mergeCell ref="B4135:D4135"/>
    <mergeCell ref="B4136:D4136"/>
    <mergeCell ref="B4121:D4121"/>
    <mergeCell ref="B4110:D4110"/>
    <mergeCell ref="B4100:D4100"/>
    <mergeCell ref="B4104:D4104"/>
    <mergeCell ref="B4096:D4096"/>
    <mergeCell ref="B4097:D4097"/>
    <mergeCell ref="B4098:D4098"/>
    <mergeCell ref="B4087:D4087"/>
    <mergeCell ref="B4088:D4088"/>
    <mergeCell ref="B4089:D4089"/>
    <mergeCell ref="B4077:D4077"/>
    <mergeCell ref="B4078:D4078"/>
    <mergeCell ref="B4080:D4080"/>
    <mergeCell ref="B4072:D4072"/>
    <mergeCell ref="B4065:D4065"/>
    <mergeCell ref="B4066:D4066"/>
    <mergeCell ref="B4058:D4058"/>
    <mergeCell ref="B4051:D4051"/>
    <mergeCell ref="B4049:D4049"/>
    <mergeCell ref="B4050:D4050"/>
    <mergeCell ref="B4040:D4040"/>
    <mergeCell ref="B4033:D4033"/>
    <mergeCell ref="B4034:D4034"/>
    <mergeCell ref="B4027:D4027"/>
    <mergeCell ref="B4028:D4028"/>
    <mergeCell ref="B4029:D4029"/>
    <mergeCell ref="B4024:D4024"/>
    <mergeCell ref="B4016:D4016"/>
    <mergeCell ref="B4017:D4017"/>
    <mergeCell ref="B4019:D4019"/>
    <mergeCell ref="B4013:D4013"/>
    <mergeCell ref="B4014:D4014"/>
    <mergeCell ref="B4006:D4006"/>
    <mergeCell ref="B3999:D3999"/>
    <mergeCell ref="B4000:D4000"/>
    <mergeCell ref="B4001:D4001"/>
    <mergeCell ref="B3990:D3990"/>
    <mergeCell ref="B3970:D3970"/>
    <mergeCell ref="B3971:D3971"/>
    <mergeCell ref="B3964:D3964"/>
    <mergeCell ref="B3951:D3951"/>
    <mergeCell ref="B3952:D3952"/>
    <mergeCell ref="B3946:D3946"/>
    <mergeCell ref="B3937:D3937"/>
    <mergeCell ref="B3939:D3939"/>
    <mergeCell ref="B3940:D3940"/>
    <mergeCell ref="B3941:D3941"/>
    <mergeCell ref="B3931:D3931"/>
    <mergeCell ref="B3925:D3925"/>
    <mergeCell ref="B3918:D3918"/>
    <mergeCell ref="B3907:D3907"/>
    <mergeCell ref="B3908:D3908"/>
    <mergeCell ref="B3910:D3910"/>
    <mergeCell ref="B3911:D3911"/>
    <mergeCell ref="B3903:D3903"/>
    <mergeCell ref="B3905:D3905"/>
    <mergeCell ref="B3898:D3898"/>
    <mergeCell ref="B3899:D3899"/>
    <mergeCell ref="B3900:D3900"/>
    <mergeCell ref="B3836:D3836"/>
    <mergeCell ref="B3810:D3810"/>
    <mergeCell ref="B3753:D3753"/>
    <mergeCell ref="B3754:D3754"/>
    <mergeCell ref="B3732:D3732"/>
    <mergeCell ref="B3718:D3718"/>
    <mergeCell ref="B3691:D3691"/>
    <mergeCell ref="B3692:D3692"/>
    <mergeCell ref="B3679:D3679"/>
    <mergeCell ref="B3684:D3684"/>
    <mergeCell ref="B3668:D3668"/>
    <mergeCell ref="B3669:D3669"/>
    <mergeCell ref="B3670:D3670"/>
    <mergeCell ref="B3661:D3661"/>
    <mergeCell ref="B3662:D3662"/>
    <mergeCell ref="B3663:D3663"/>
    <mergeCell ref="B3664:D3664"/>
    <mergeCell ref="B3666:D3666"/>
    <mergeCell ref="B3658:D3658"/>
    <mergeCell ref="B3653:D3653"/>
    <mergeCell ref="B3643:D3643"/>
    <mergeCell ref="B3644:D3644"/>
    <mergeCell ref="B3648:D3648"/>
    <mergeCell ref="B3640:D3640"/>
    <mergeCell ref="B3641:D3641"/>
    <mergeCell ref="B3633:D3633"/>
    <mergeCell ref="B3634:D3634"/>
    <mergeCell ref="B3636:D3636"/>
    <mergeCell ref="B3628:D3628"/>
    <mergeCell ref="B3629:D3629"/>
    <mergeCell ref="B3620:D3620"/>
    <mergeCell ref="B3622:D3622"/>
    <mergeCell ref="B3615:D3615"/>
    <mergeCell ref="B3616:D3616"/>
    <mergeCell ref="B3617:D3617"/>
    <mergeCell ref="B3618:D3618"/>
    <mergeCell ref="B3607:D3607"/>
    <mergeCell ref="B3609:D3609"/>
    <mergeCell ref="B3602:D3602"/>
    <mergeCell ref="B3597:D3597"/>
    <mergeCell ref="B3592:D3592"/>
    <mergeCell ref="B3587:D3587"/>
    <mergeCell ref="B3579:D3579"/>
    <mergeCell ref="B3573:D3573"/>
    <mergeCell ref="B3568:D3568"/>
    <mergeCell ref="B3560:D3560"/>
    <mergeCell ref="B3561:D3561"/>
    <mergeCell ref="B3553:D3553"/>
    <mergeCell ref="B3557:D3557"/>
    <mergeCell ref="B3547:D3547"/>
    <mergeCell ref="B3552:D3552"/>
    <mergeCell ref="B3541:D3541"/>
    <mergeCell ref="B3530:D3530"/>
    <mergeCell ref="B3523:D3523"/>
    <mergeCell ref="B3524:D3524"/>
    <mergeCell ref="B3519:D3519"/>
    <mergeCell ref="B3505:D3505"/>
    <mergeCell ref="B3508:D3508"/>
    <mergeCell ref="B3509:D3509"/>
    <mergeCell ref="B3500:D3500"/>
    <mergeCell ref="B3496:D3496"/>
    <mergeCell ref="B3490:D3490"/>
    <mergeCell ref="B3481:D3481"/>
    <mergeCell ref="B3482:D3482"/>
    <mergeCell ref="B3477:D3477"/>
    <mergeCell ref="B3480:D3480"/>
    <mergeCell ref="B3469:D3469"/>
    <mergeCell ref="B3463:D3463"/>
    <mergeCell ref="B3457:D3457"/>
    <mergeCell ref="B3458:D3458"/>
    <mergeCell ref="B3460:D3460"/>
    <mergeCell ref="B3452:D3452"/>
    <mergeCell ref="B3454:D3454"/>
    <mergeCell ref="B3455:D3455"/>
    <mergeCell ref="B3445:D3445"/>
    <mergeCell ref="B3447:D3447"/>
    <mergeCell ref="B3448:D3448"/>
    <mergeCell ref="B3449:D3449"/>
    <mergeCell ref="B3450:D3450"/>
    <mergeCell ref="B3440:D3440"/>
    <mergeCell ref="B3435:D3435"/>
    <mergeCell ref="B3427:D3427"/>
    <mergeCell ref="B3421:D3421"/>
    <mergeCell ref="B3426:D3426"/>
    <mergeCell ref="B3418:D3418"/>
    <mergeCell ref="B3412:D3412"/>
    <mergeCell ref="B3403:D3403"/>
    <mergeCell ref="B3404:D3404"/>
    <mergeCell ref="B3405:D3405"/>
    <mergeCell ref="B3406:D3406"/>
    <mergeCell ref="B3397:D3397"/>
    <mergeCell ref="B3398:D3398"/>
    <mergeCell ref="B3394:D3394"/>
    <mergeCell ref="B3387:D3387"/>
    <mergeCell ref="B3389:D3389"/>
    <mergeCell ref="B3390:D3390"/>
    <mergeCell ref="B3382:D3382"/>
    <mergeCell ref="B3383:D3383"/>
    <mergeCell ref="B3373:D3373"/>
    <mergeCell ref="B3378:D3378"/>
    <mergeCell ref="B3367:D3367"/>
    <mergeCell ref="B3368:D3368"/>
    <mergeCell ref="B3371:D3371"/>
    <mergeCell ref="B3372:D3372"/>
    <mergeCell ref="B3366:D3366"/>
    <mergeCell ref="B3357:D3357"/>
    <mergeCell ref="B3360:D3360"/>
    <mergeCell ref="B3351:D3351"/>
    <mergeCell ref="B3352:D3352"/>
    <mergeCell ref="B3353:D3353"/>
    <mergeCell ref="B3347:D3347"/>
    <mergeCell ref="B3348:D3348"/>
    <mergeCell ref="B3339:D3339"/>
    <mergeCell ref="B3340:D3340"/>
    <mergeCell ref="B3332:D3332"/>
    <mergeCell ref="B3319:D3319"/>
    <mergeCell ref="B3320:D3320"/>
    <mergeCell ref="B3313:D3313"/>
    <mergeCell ref="B3311:D3311"/>
    <mergeCell ref="B3303:D3303"/>
    <mergeCell ref="B3304:D3304"/>
    <mergeCell ref="B3306:D3306"/>
    <mergeCell ref="B3299:D3299"/>
    <mergeCell ref="B3293:D3293"/>
    <mergeCell ref="B3284:D3284"/>
    <mergeCell ref="B3285:D3285"/>
    <mergeCell ref="B3279:D3279"/>
    <mergeCell ref="B3272:D3272"/>
    <mergeCell ref="B3274:D3274"/>
    <mergeCell ref="B3276:D3276"/>
    <mergeCell ref="B3266:D3266"/>
    <mergeCell ref="B3270:D3270"/>
    <mergeCell ref="B3259:D3259"/>
    <mergeCell ref="B3260:D3260"/>
    <mergeCell ref="B3262:D3262"/>
    <mergeCell ref="B3263:D3263"/>
    <mergeCell ref="B3254:D3254"/>
    <mergeCell ref="B3250:D3250"/>
    <mergeCell ref="B3251:D3251"/>
    <mergeCell ref="B3241:D3241"/>
    <mergeCell ref="B3236:D3236"/>
    <mergeCell ref="B3231:D3231"/>
    <mergeCell ref="B3226:D3226"/>
    <mergeCell ref="B3218:D3218"/>
    <mergeCell ref="B3213:D3213"/>
    <mergeCell ref="B3205:D3205"/>
    <mergeCell ref="B3208:D3208"/>
    <mergeCell ref="B3200:D3200"/>
    <mergeCell ref="B3197:D3197"/>
    <mergeCell ref="B3192:D3192"/>
    <mergeCell ref="B3180:D3180"/>
    <mergeCell ref="B3169:D3169"/>
    <mergeCell ref="B3174:D3174"/>
    <mergeCell ref="B3166:D3166"/>
    <mergeCell ref="B3167:D3167"/>
    <mergeCell ref="B3161:D3161"/>
    <mergeCell ref="B3154:D3154"/>
    <mergeCell ref="B3144:D3144"/>
    <mergeCell ref="B3135:D3135"/>
    <mergeCell ref="B3127:D3127"/>
    <mergeCell ref="B3123:D3123"/>
    <mergeCell ref="B3124:D3124"/>
    <mergeCell ref="B3125:D3125"/>
    <mergeCell ref="B3115:D3115"/>
    <mergeCell ref="B3116:D3116"/>
    <mergeCell ref="B3118:D3118"/>
    <mergeCell ref="B3120:D3120"/>
    <mergeCell ref="B3112:D3112"/>
    <mergeCell ref="B3113:D3113"/>
    <mergeCell ref="B3098:D3098"/>
    <mergeCell ref="B3093:D3093"/>
    <mergeCell ref="B3094:D3094"/>
    <mergeCell ref="B3085:D3085"/>
    <mergeCell ref="B3088:D3088"/>
    <mergeCell ref="B3089:D3089"/>
    <mergeCell ref="B3090:D3090"/>
    <mergeCell ref="B3075:D3075"/>
    <mergeCell ref="B3071:D3071"/>
    <mergeCell ref="B3065:D3065"/>
    <mergeCell ref="B3054:D3054"/>
    <mergeCell ref="B3047:D3047"/>
    <mergeCell ref="B3048:D3048"/>
    <mergeCell ref="B3037:D3037"/>
    <mergeCell ref="B3041:D3041"/>
    <mergeCell ref="B3035:D3035"/>
    <mergeCell ref="B3036:D3036"/>
    <mergeCell ref="B3025:D3025"/>
    <mergeCell ref="B3027:D3027"/>
    <mergeCell ref="B3028:D3028"/>
    <mergeCell ref="B3030:D3030"/>
    <mergeCell ref="B3019:D3019"/>
    <mergeCell ref="B3020:D3020"/>
    <mergeCell ref="B3024:D3024"/>
    <mergeCell ref="B3008:D3008"/>
    <mergeCell ref="B3009:D3009"/>
    <mergeCell ref="B3002:D3002"/>
    <mergeCell ref="B3003:D3003"/>
    <mergeCell ref="B3004:D3004"/>
    <mergeCell ref="B2995:D2995"/>
    <mergeCell ref="B2996:D2996"/>
    <mergeCell ref="B2997:D2997"/>
    <mergeCell ref="B3000:D3000"/>
    <mergeCell ref="B2989:D2989"/>
    <mergeCell ref="B2986:D2986"/>
    <mergeCell ref="B2977:D2977"/>
    <mergeCell ref="B2979:D2979"/>
    <mergeCell ref="B2982:D2982"/>
    <mergeCell ref="B2976:D2976"/>
    <mergeCell ref="B2965:D2965"/>
    <mergeCell ref="B2968:D2968"/>
    <mergeCell ref="B2969:D2969"/>
    <mergeCell ref="B2961:D2961"/>
    <mergeCell ref="B2955:D2955"/>
    <mergeCell ref="B2956:D2956"/>
    <mergeCell ref="B2947:D2947"/>
    <mergeCell ref="B2950:D2950"/>
    <mergeCell ref="B2952:D2952"/>
    <mergeCell ref="B2945:D2945"/>
    <mergeCell ref="B2946:D2946"/>
    <mergeCell ref="B2920:D2920"/>
    <mergeCell ref="B2905:D2905"/>
    <mergeCell ref="B2906:D2906"/>
    <mergeCell ref="B2896:D2896"/>
    <mergeCell ref="B2890:D2890"/>
    <mergeCell ref="B2882:D2882"/>
    <mergeCell ref="B2878:D2878"/>
    <mergeCell ref="B2873:D2873"/>
    <mergeCell ref="B2863:D2863"/>
    <mergeCell ref="B2866:D2866"/>
    <mergeCell ref="B2828:D2828"/>
    <mergeCell ref="B2823:D2823"/>
    <mergeCell ref="B2799:D2799"/>
    <mergeCell ref="B2800:D2800"/>
    <mergeCell ref="B2795:D2795"/>
    <mergeCell ref="B2789:D2789"/>
    <mergeCell ref="B2782:D2782"/>
    <mergeCell ref="B2777:D2777"/>
    <mergeCell ref="B2772:D2772"/>
    <mergeCell ref="B2764:D2764"/>
    <mergeCell ref="B2745:D2745"/>
    <mergeCell ref="B2748:D2748"/>
    <mergeCell ref="B2739:D2739"/>
    <mergeCell ref="B2730:D2730"/>
    <mergeCell ref="B2721:D2721"/>
    <mergeCell ref="B2722:D2722"/>
    <mergeCell ref="B2717:D2717"/>
    <mergeCell ref="B2710:D2710"/>
    <mergeCell ref="B2704:D2704"/>
    <mergeCell ref="B2695:D2695"/>
    <mergeCell ref="B2699:D2699"/>
    <mergeCell ref="B2689:D2689"/>
    <mergeCell ref="B2690:D2690"/>
    <mergeCell ref="B2691:D2691"/>
    <mergeCell ref="B2692:D2692"/>
    <mergeCell ref="B2671:D2671"/>
    <mergeCell ref="B2673:D2673"/>
    <mergeCell ref="B2666:D2666"/>
    <mergeCell ref="B2667:D2667"/>
    <mergeCell ref="B2669:D2669"/>
    <mergeCell ref="B2660:D2660"/>
    <mergeCell ref="B2661:D2661"/>
    <mergeCell ref="B2662:D2662"/>
    <mergeCell ref="B2643:D2643"/>
    <mergeCell ref="B2629:D2629"/>
    <mergeCell ref="B2631:D2631"/>
    <mergeCell ref="B2632:D2632"/>
    <mergeCell ref="B2624:D2624"/>
    <mergeCell ref="B2618:D2618"/>
    <mergeCell ref="B2619:D2619"/>
    <mergeCell ref="B2611:D2611"/>
    <mergeCell ref="B2606:D2606"/>
    <mergeCell ref="B2600:D2600"/>
    <mergeCell ref="B2604:D2604"/>
    <mergeCell ref="B2593:D2593"/>
    <mergeCell ref="B2595:D2595"/>
    <mergeCell ref="B2596:D2596"/>
    <mergeCell ref="B2597:D2597"/>
    <mergeCell ref="B2598:D2598"/>
    <mergeCell ref="B2588:D2588"/>
    <mergeCell ref="B2592:D2592"/>
    <mergeCell ref="B2581:D2581"/>
    <mergeCell ref="B2575:D2575"/>
    <mergeCell ref="B2579:D2579"/>
    <mergeCell ref="B2563:D2563"/>
    <mergeCell ref="B2565:D2565"/>
    <mergeCell ref="B2566:D2566"/>
    <mergeCell ref="B2560:D2560"/>
    <mergeCell ref="B2552:D2552"/>
    <mergeCell ref="B2553:D2553"/>
    <mergeCell ref="B2545:D2545"/>
    <mergeCell ref="B2547:D2547"/>
    <mergeCell ref="B2549:D2549"/>
    <mergeCell ref="B2541:D2541"/>
    <mergeCell ref="B2542:D2542"/>
    <mergeCell ref="B2533:D2533"/>
    <mergeCell ref="B2535:D2535"/>
    <mergeCell ref="B2537:D2537"/>
    <mergeCell ref="B2528:D2528"/>
    <mergeCell ref="B2530:D2530"/>
    <mergeCell ref="B2521:D2521"/>
    <mergeCell ref="B2524:D2524"/>
    <mergeCell ref="B2526:D2526"/>
    <mergeCell ref="B2515:D2515"/>
    <mergeCell ref="B2518:D2518"/>
    <mergeCell ref="B2510:D2510"/>
    <mergeCell ref="B2513:D2513"/>
    <mergeCell ref="B2505:D2505"/>
    <mergeCell ref="B2506:D2506"/>
    <mergeCell ref="B2508:D2508"/>
    <mergeCell ref="B2496:D2496"/>
    <mergeCell ref="B2481:D2481"/>
    <mergeCell ref="B2484:D2484"/>
    <mergeCell ref="B2475:D2475"/>
    <mergeCell ref="B2476:D2476"/>
    <mergeCell ref="B2464:D2464"/>
    <mergeCell ref="B2443:D2443"/>
    <mergeCell ref="B2444:D2444"/>
    <mergeCell ref="B2445:D2445"/>
    <mergeCell ref="B2448:D2448"/>
    <mergeCell ref="B2439:D2439"/>
    <mergeCell ref="B2421:D2421"/>
    <mergeCell ref="B2408:D2408"/>
    <mergeCell ref="B2409:D2409"/>
    <mergeCell ref="B2402:D2402"/>
    <mergeCell ref="B2395:D2395"/>
    <mergeCell ref="B2398:D2398"/>
    <mergeCell ref="B2399:D2399"/>
    <mergeCell ref="B2389:D2389"/>
    <mergeCell ref="B2394:D2394"/>
    <mergeCell ref="B2386:D2386"/>
    <mergeCell ref="B2388:D2388"/>
    <mergeCell ref="B2377:D2377"/>
    <mergeCell ref="B2379:D2379"/>
    <mergeCell ref="B2382:D2382"/>
    <mergeCell ref="B2371:D2371"/>
    <mergeCell ref="B2375:D2375"/>
    <mergeCell ref="B2365:D2365"/>
    <mergeCell ref="B2370:D2370"/>
    <mergeCell ref="B2361:D2361"/>
    <mergeCell ref="B2363:D2363"/>
    <mergeCell ref="B2364:D2364"/>
    <mergeCell ref="B2357:D2357"/>
    <mergeCell ref="B2347:D2347"/>
    <mergeCell ref="B2351:D2351"/>
    <mergeCell ref="B2352:D2352"/>
    <mergeCell ref="B2337:D2337"/>
    <mergeCell ref="B2338:D2338"/>
    <mergeCell ref="B2340:D2340"/>
    <mergeCell ref="B2334:D2334"/>
    <mergeCell ref="B2324:D2324"/>
    <mergeCell ref="B2328:D2328"/>
    <mergeCell ref="B2321:D2321"/>
    <mergeCell ref="B2312:D2312"/>
    <mergeCell ref="B2314:D2314"/>
    <mergeCell ref="B2307:D2307"/>
    <mergeCell ref="B2303:D2303"/>
    <mergeCell ref="B2290:D2290"/>
    <mergeCell ref="B2270:D2270"/>
    <mergeCell ref="B2271:D2271"/>
    <mergeCell ref="B2257:D2257"/>
    <mergeCell ref="B2258:D2258"/>
    <mergeCell ref="B2251:D2251"/>
    <mergeCell ref="B2256:D2256"/>
    <mergeCell ref="B2246:D2246"/>
    <mergeCell ref="B2233:D2233"/>
    <mergeCell ref="B2235:D2235"/>
    <mergeCell ref="B2237:D2237"/>
    <mergeCell ref="B2228:D2228"/>
    <mergeCell ref="B2226:D2226"/>
    <mergeCell ref="B2219:D2219"/>
    <mergeCell ref="B2211:D2211"/>
    <mergeCell ref="B2198:D2198"/>
    <mergeCell ref="B2194:D2194"/>
    <mergeCell ref="B2182:D2182"/>
    <mergeCell ref="B2183:D2183"/>
    <mergeCell ref="B2176:D2176"/>
    <mergeCell ref="B2177:D2177"/>
    <mergeCell ref="B2171:D2171"/>
    <mergeCell ref="B2166:D2166"/>
    <mergeCell ref="B2157:D2157"/>
    <mergeCell ref="B2158:D2158"/>
    <mergeCell ref="B2150:D2150"/>
    <mergeCell ref="B2153:D2153"/>
    <mergeCell ref="B2154:D2154"/>
    <mergeCell ref="B2146:D2146"/>
    <mergeCell ref="B2137:D2137"/>
    <mergeCell ref="B2132:D2132"/>
    <mergeCell ref="B2126:D2126"/>
    <mergeCell ref="B2127:D2127"/>
    <mergeCell ref="B2120:D2120"/>
    <mergeCell ref="B2121:D2121"/>
    <mergeCell ref="B2122:D2122"/>
    <mergeCell ref="B2115:D2115"/>
    <mergeCell ref="B2111:D2111"/>
    <mergeCell ref="B2112:D2112"/>
    <mergeCell ref="B2102:D2102"/>
    <mergeCell ref="B2103:D2103"/>
    <mergeCell ref="B2097:D2097"/>
    <mergeCell ref="B2089:D2089"/>
    <mergeCell ref="B2088:D2088"/>
    <mergeCell ref="B2082:D2082"/>
    <mergeCell ref="B2076:D2076"/>
    <mergeCell ref="B2069:D2069"/>
    <mergeCell ref="B2070:D2070"/>
    <mergeCell ref="B2063:D2063"/>
    <mergeCell ref="B2054:D2054"/>
    <mergeCell ref="B2055:D2055"/>
    <mergeCell ref="B2058:D2058"/>
    <mergeCell ref="B2050:D2050"/>
    <mergeCell ref="B2043:D2043"/>
    <mergeCell ref="B2030:D2030"/>
    <mergeCell ref="B2024:D2024"/>
    <mergeCell ref="B2017:D2017"/>
    <mergeCell ref="B2018:D2018"/>
    <mergeCell ref="B2011:D2011"/>
    <mergeCell ref="B2012:D2012"/>
    <mergeCell ref="B2008:D2008"/>
    <mergeCell ref="B2000:D2000"/>
    <mergeCell ref="B2001:D2001"/>
    <mergeCell ref="B2002:D2002"/>
    <mergeCell ref="B1995:D1995"/>
    <mergeCell ref="B1997:D1997"/>
    <mergeCell ref="B1990:D1990"/>
    <mergeCell ref="B1984:D1984"/>
    <mergeCell ref="B1985:D1985"/>
    <mergeCell ref="B1975:D1975"/>
    <mergeCell ref="B1976:D1976"/>
    <mergeCell ref="B1960:D1960"/>
    <mergeCell ref="B1961:D1961"/>
    <mergeCell ref="B1951:D1951"/>
    <mergeCell ref="B1952:D1952"/>
    <mergeCell ref="B1949:D1949"/>
    <mergeCell ref="B1950:D1950"/>
    <mergeCell ref="B1937:D1937"/>
    <mergeCell ref="B1927:D1927"/>
    <mergeCell ref="B1928:D1928"/>
    <mergeCell ref="B1930:D1930"/>
    <mergeCell ref="B1921:D1921"/>
    <mergeCell ref="B1924:D1924"/>
    <mergeCell ref="B1912:D1912"/>
    <mergeCell ref="B1899:D1899"/>
    <mergeCell ref="B1883:D1883"/>
    <mergeCell ref="B1884:D1884"/>
    <mergeCell ref="B1873:D1873"/>
    <mergeCell ref="B1872:D1872"/>
    <mergeCell ref="B1859:D1859"/>
    <mergeCell ref="B1847:D1847"/>
    <mergeCell ref="B1834:D1834"/>
    <mergeCell ref="B1826:D1826"/>
    <mergeCell ref="B1819:D1819"/>
    <mergeCell ref="B1813:D1813"/>
    <mergeCell ref="B1790:D1790"/>
    <mergeCell ref="B1791:D1791"/>
    <mergeCell ref="B1785:D1785"/>
    <mergeCell ref="B1774:D1774"/>
    <mergeCell ref="B1762:D1762"/>
    <mergeCell ref="B1763:D1763"/>
    <mergeCell ref="B1748:D1748"/>
    <mergeCell ref="B1749:D1749"/>
    <mergeCell ref="B1750:D1750"/>
    <mergeCell ref="B1751:D1751"/>
    <mergeCell ref="B1746:D1746"/>
    <mergeCell ref="B1737:D1737"/>
    <mergeCell ref="B1733:D1733"/>
    <mergeCell ref="B1727:D1727"/>
    <mergeCell ref="B1721:D1721"/>
    <mergeCell ref="B1711:D1711"/>
    <mergeCell ref="B1712:D1712"/>
    <mergeCell ref="B1706:D1706"/>
    <mergeCell ref="B1710:D1710"/>
    <mergeCell ref="B1698:D1698"/>
    <mergeCell ref="B1687:D1687"/>
    <mergeCell ref="B1688:D1688"/>
    <mergeCell ref="B1684:D1684"/>
    <mergeCell ref="B1676:D1676"/>
    <mergeCell ref="B1677:D1677"/>
    <mergeCell ref="B1670:D1670"/>
    <mergeCell ref="B1671:D1671"/>
    <mergeCell ref="B1663:D1663"/>
    <mergeCell ref="B1664:D1664"/>
    <mergeCell ref="B1665:D1665"/>
    <mergeCell ref="B1658:D1658"/>
    <mergeCell ref="B1662:D1662"/>
    <mergeCell ref="B1652:D1652"/>
    <mergeCell ref="B1654:D1654"/>
    <mergeCell ref="B1655:D1655"/>
    <mergeCell ref="B1645:D1645"/>
    <mergeCell ref="B1647:D1647"/>
    <mergeCell ref="B1640:D1640"/>
    <mergeCell ref="B1641:D1641"/>
    <mergeCell ref="B1643:D1643"/>
    <mergeCell ref="B1634:D1634"/>
    <mergeCell ref="B1638:D1638"/>
    <mergeCell ref="B1628:D1628"/>
    <mergeCell ref="B1629:D1629"/>
    <mergeCell ref="B1623:D1623"/>
    <mergeCell ref="B1624:D1624"/>
    <mergeCell ref="B1615:D1615"/>
    <mergeCell ref="B1618:D1618"/>
    <mergeCell ref="B1619:D1619"/>
    <mergeCell ref="B1609:D1609"/>
    <mergeCell ref="B1611:D1611"/>
    <mergeCell ref="B1613:D1613"/>
    <mergeCell ref="B1614:D1614"/>
    <mergeCell ref="B1603:D1603"/>
    <mergeCell ref="B1607:D1607"/>
    <mergeCell ref="B1598:D1598"/>
    <mergeCell ref="B1601:D1601"/>
    <mergeCell ref="B1594:D1594"/>
    <mergeCell ref="B1596:D1596"/>
    <mergeCell ref="B1585:D1585"/>
    <mergeCell ref="B1586:D1586"/>
    <mergeCell ref="B1588:D1588"/>
    <mergeCell ref="B1581:D1581"/>
    <mergeCell ref="B1583:D1583"/>
    <mergeCell ref="B1573:D1573"/>
    <mergeCell ref="B1575:D1575"/>
    <mergeCell ref="B1576:D1576"/>
    <mergeCell ref="B1567:D1567"/>
    <mergeCell ref="B1569:D1569"/>
    <mergeCell ref="B1570:D1570"/>
    <mergeCell ref="B1571:D1571"/>
    <mergeCell ref="B1562:D1562"/>
    <mergeCell ref="B1555:D1555"/>
    <mergeCell ref="B1559:D1559"/>
    <mergeCell ref="B1560:D1560"/>
    <mergeCell ref="B1549:D1549"/>
    <mergeCell ref="B1550:D1550"/>
    <mergeCell ref="B1551:D1551"/>
    <mergeCell ref="B1552:D1552"/>
    <mergeCell ref="B1554:D1554"/>
    <mergeCell ref="B1544:D1544"/>
    <mergeCell ref="B1545:D1545"/>
    <mergeCell ref="B1547:D1547"/>
    <mergeCell ref="B1539:D1539"/>
    <mergeCell ref="B1540:D1540"/>
    <mergeCell ref="B1542:D1542"/>
    <mergeCell ref="B1532:D1532"/>
    <mergeCell ref="B1534:D1534"/>
    <mergeCell ref="B1536:D1536"/>
    <mergeCell ref="B1525:D1525"/>
    <mergeCell ref="B1529:D1529"/>
    <mergeCell ref="B1520:D1520"/>
    <mergeCell ref="B1521:D1521"/>
    <mergeCell ref="B1523:D1523"/>
    <mergeCell ref="B1514:D1514"/>
    <mergeCell ref="B1517:D1517"/>
    <mergeCell ref="B1518:D1518"/>
    <mergeCell ref="B1508:D1508"/>
    <mergeCell ref="B1509:D1509"/>
    <mergeCell ref="B1502:D1502"/>
    <mergeCell ref="B1503:D1503"/>
    <mergeCell ref="B1504:D1504"/>
    <mergeCell ref="B1506:D1506"/>
    <mergeCell ref="B1496:D1496"/>
    <mergeCell ref="B1498:D1498"/>
    <mergeCell ref="B1499:D1499"/>
    <mergeCell ref="B1490:D1490"/>
    <mergeCell ref="B1492:D1492"/>
    <mergeCell ref="B1494:D1494"/>
    <mergeCell ref="B1484:D1484"/>
    <mergeCell ref="B1486:D1486"/>
    <mergeCell ref="B1488:D1488"/>
    <mergeCell ref="B1478:D1478"/>
    <mergeCell ref="B1480:D1480"/>
    <mergeCell ref="B1471:D1471"/>
    <mergeCell ref="B1472:D1472"/>
    <mergeCell ref="B1474:D1474"/>
    <mergeCell ref="B1476:D1476"/>
    <mergeCell ref="B1465:D1465"/>
    <mergeCell ref="B1470:D1470"/>
    <mergeCell ref="B1461:D1461"/>
    <mergeCell ref="B1456:D1456"/>
    <mergeCell ref="B1457:D1457"/>
    <mergeCell ref="B1458:D1458"/>
    <mergeCell ref="B1449:D1449"/>
    <mergeCell ref="B1441:D1441"/>
    <mergeCell ref="B1445:D1445"/>
    <mergeCell ref="B1446:D1446"/>
    <mergeCell ref="B1431:D1431"/>
    <mergeCell ref="B1432:D1432"/>
    <mergeCell ref="B1433:D1433"/>
    <mergeCell ref="B1434:D1434"/>
    <mergeCell ref="B1424:D1424"/>
    <mergeCell ref="B1426:D1426"/>
    <mergeCell ref="B1418:D1418"/>
    <mergeCell ref="B1421:D1421"/>
    <mergeCell ref="B1411:D1411"/>
    <mergeCell ref="B1413:D1413"/>
    <mergeCell ref="B1415:D1415"/>
    <mergeCell ref="B1416:D1416"/>
    <mergeCell ref="B1405:D1405"/>
    <mergeCell ref="B1408:D1408"/>
    <mergeCell ref="B1399:D1399"/>
    <mergeCell ref="B1402:D1402"/>
    <mergeCell ref="B1397:D1397"/>
    <mergeCell ref="B1398:D1398"/>
    <mergeCell ref="B1387:D1387"/>
    <mergeCell ref="B1390:D1390"/>
    <mergeCell ref="B1392:D1392"/>
    <mergeCell ref="B1381:D1381"/>
    <mergeCell ref="B1382:D1382"/>
    <mergeCell ref="B1383:D1383"/>
    <mergeCell ref="B1385:D1385"/>
    <mergeCell ref="B1376:D1376"/>
    <mergeCell ref="B1377:D1377"/>
    <mergeCell ref="B1378:D1378"/>
    <mergeCell ref="B1369:D1369"/>
    <mergeCell ref="B1370:D1370"/>
    <mergeCell ref="B1373:D1373"/>
    <mergeCell ref="B1374:D1374"/>
    <mergeCell ref="B1363:D1363"/>
    <mergeCell ref="B1364:D1364"/>
    <mergeCell ref="B1366:D1366"/>
    <mergeCell ref="B1367:D1367"/>
    <mergeCell ref="B1357:D1357"/>
    <mergeCell ref="B1358:D1358"/>
    <mergeCell ref="B1359:D1359"/>
    <mergeCell ref="B1361:D1361"/>
    <mergeCell ref="B1352:D1352"/>
    <mergeCell ref="B1355:D1355"/>
    <mergeCell ref="B1345:D1345"/>
    <mergeCell ref="B1346:D1346"/>
    <mergeCell ref="B1350:D1350"/>
    <mergeCell ref="B1339:D1339"/>
    <mergeCell ref="B1340:D1340"/>
    <mergeCell ref="B1343:D1343"/>
    <mergeCell ref="B1334:D1334"/>
    <mergeCell ref="B1335:D1335"/>
    <mergeCell ref="B1327:D1327"/>
    <mergeCell ref="B1328:D1328"/>
    <mergeCell ref="B1329:D1329"/>
    <mergeCell ref="B1331:D1331"/>
    <mergeCell ref="B1332:D1332"/>
    <mergeCell ref="B1322:D1322"/>
    <mergeCell ref="B1323:D1323"/>
    <mergeCell ref="B1324:D1324"/>
    <mergeCell ref="B1316:D1316"/>
    <mergeCell ref="B1318:D1318"/>
    <mergeCell ref="B1309:D1309"/>
    <mergeCell ref="B1310:D1310"/>
    <mergeCell ref="B1311:D1311"/>
    <mergeCell ref="B1314:D1314"/>
    <mergeCell ref="B1303:D1303"/>
    <mergeCell ref="B1306:D1306"/>
    <mergeCell ref="B1307:D1307"/>
    <mergeCell ref="B1308:D1308"/>
    <mergeCell ref="B1300:D1300"/>
    <mergeCell ref="B1301:D1301"/>
    <mergeCell ref="B1302:D1302"/>
    <mergeCell ref="B1293:D1293"/>
    <mergeCell ref="B1294:D1294"/>
    <mergeCell ref="B1295:D1295"/>
    <mergeCell ref="B1296:D1296"/>
    <mergeCell ref="B1287:D1287"/>
    <mergeCell ref="B1288:D1288"/>
    <mergeCell ref="B1279:D1279"/>
    <mergeCell ref="B1281:D1281"/>
    <mergeCell ref="B1282:D1282"/>
    <mergeCell ref="B1283:D1283"/>
    <mergeCell ref="B1276:D1276"/>
    <mergeCell ref="B1278:D1278"/>
    <mergeCell ref="B1267:D1267"/>
    <mergeCell ref="B1268:D1268"/>
    <mergeCell ref="B1269:D1269"/>
    <mergeCell ref="B1271:D1271"/>
    <mergeCell ref="B1272:D1272"/>
    <mergeCell ref="B1264:D1264"/>
    <mergeCell ref="B1266:D1266"/>
    <mergeCell ref="B1259:D1259"/>
    <mergeCell ref="B1260:D1260"/>
    <mergeCell ref="B1249:D1249"/>
    <mergeCell ref="B1250:D1250"/>
    <mergeCell ref="B1237:D1237"/>
    <mergeCell ref="B1238:D1238"/>
    <mergeCell ref="B1239:D1239"/>
    <mergeCell ref="B1231:D1231"/>
    <mergeCell ref="B1234:D1234"/>
    <mergeCell ref="B1225:D1225"/>
    <mergeCell ref="B1230:D1230"/>
    <mergeCell ref="B1213:D1213"/>
    <mergeCell ref="B1214:D1214"/>
    <mergeCell ref="B1207:D1207"/>
    <mergeCell ref="B1212:D1212"/>
    <mergeCell ref="B1206:D1206"/>
    <mergeCell ref="B1195:D1195"/>
    <mergeCell ref="B1196:D1196"/>
    <mergeCell ref="B1199:D1199"/>
    <mergeCell ref="B1200:D1200"/>
    <mergeCell ref="B1189:D1189"/>
    <mergeCell ref="B1190:D1190"/>
    <mergeCell ref="B1193:D1193"/>
    <mergeCell ref="B1194:D1194"/>
    <mergeCell ref="B1184:D1184"/>
    <mergeCell ref="B1185:D1185"/>
    <mergeCell ref="B1186:D1186"/>
    <mergeCell ref="B1177:D1177"/>
    <mergeCell ref="B1178:D1178"/>
    <mergeCell ref="B1171:D1171"/>
    <mergeCell ref="B1175:D1175"/>
    <mergeCell ref="B1165:D1165"/>
    <mergeCell ref="B1166:D1166"/>
    <mergeCell ref="B1169:D1169"/>
    <mergeCell ref="B1170:D1170"/>
    <mergeCell ref="B1159:D1159"/>
    <mergeCell ref="B1160:D1160"/>
    <mergeCell ref="B1161:D1161"/>
    <mergeCell ref="B1164:D1164"/>
    <mergeCell ref="B1153:D1153"/>
    <mergeCell ref="B1147:D1147"/>
    <mergeCell ref="B1148:D1148"/>
    <mergeCell ref="B1149:D1149"/>
    <mergeCell ref="B1144:D1144"/>
    <mergeCell ref="B1136:D1136"/>
    <mergeCell ref="B1137:D1137"/>
    <mergeCell ref="B1138:D1138"/>
    <mergeCell ref="B1139:D1139"/>
    <mergeCell ref="B1140:D1140"/>
    <mergeCell ref="B1133:D1133"/>
    <mergeCell ref="B1125:D1125"/>
    <mergeCell ref="B1126:D1126"/>
    <mergeCell ref="B1107:D1107"/>
    <mergeCell ref="B1096:D1096"/>
    <mergeCell ref="B1089:D1089"/>
    <mergeCell ref="B1083:D1083"/>
    <mergeCell ref="B1085:D1085"/>
    <mergeCell ref="B1086:D1086"/>
    <mergeCell ref="B1072:D1072"/>
    <mergeCell ref="B1073:D1073"/>
    <mergeCell ref="B1064:D1064"/>
    <mergeCell ref="B1065:D1065"/>
    <mergeCell ref="B1066:D1066"/>
    <mergeCell ref="B1056:D1056"/>
    <mergeCell ref="B1044:D1044"/>
    <mergeCell ref="B1035:D1035"/>
    <mergeCell ref="B1031:D1031"/>
    <mergeCell ref="B1014:D1014"/>
    <mergeCell ref="B1008:D1008"/>
    <mergeCell ref="B986:D986"/>
    <mergeCell ref="B982:D982"/>
    <mergeCell ref="B978:D978"/>
    <mergeCell ref="B969:D969"/>
    <mergeCell ref="B961:D961"/>
    <mergeCell ref="B963:D963"/>
    <mergeCell ref="B964:D964"/>
    <mergeCell ref="B943:D943"/>
    <mergeCell ref="B935:D935"/>
    <mergeCell ref="B922:D922"/>
    <mergeCell ref="B923:D923"/>
    <mergeCell ref="B924:D924"/>
    <mergeCell ref="B918:D918"/>
    <mergeCell ref="B907:D907"/>
    <mergeCell ref="B908:D908"/>
    <mergeCell ref="B909:D909"/>
    <mergeCell ref="B912:D912"/>
    <mergeCell ref="B897:D897"/>
    <mergeCell ref="B899:D899"/>
    <mergeCell ref="B889:D889"/>
    <mergeCell ref="B884:D884"/>
    <mergeCell ref="B887:D887"/>
    <mergeCell ref="B877:D877"/>
    <mergeCell ref="B878:D878"/>
    <mergeCell ref="B880:D880"/>
    <mergeCell ref="B872:D872"/>
    <mergeCell ref="B874:D874"/>
    <mergeCell ref="B875:D875"/>
    <mergeCell ref="B868:D868"/>
    <mergeCell ref="B869:D869"/>
    <mergeCell ref="B870:D870"/>
    <mergeCell ref="B860:D860"/>
    <mergeCell ref="B861:D861"/>
    <mergeCell ref="B862:D862"/>
    <mergeCell ref="B864:D864"/>
    <mergeCell ref="B856:D856"/>
    <mergeCell ref="B847:D847"/>
    <mergeCell ref="B848:D848"/>
    <mergeCell ref="B850:D850"/>
    <mergeCell ref="B851:D851"/>
    <mergeCell ref="B841:D841"/>
    <mergeCell ref="B844:D844"/>
    <mergeCell ref="B845:D845"/>
    <mergeCell ref="B835:D835"/>
    <mergeCell ref="B837:D837"/>
    <mergeCell ref="B840:D840"/>
    <mergeCell ref="B829:D829"/>
    <mergeCell ref="B833:D833"/>
    <mergeCell ref="B825:D825"/>
    <mergeCell ref="B818:D818"/>
    <mergeCell ref="B820:D820"/>
    <mergeCell ref="B822:D822"/>
    <mergeCell ref="B811:D811"/>
    <mergeCell ref="B813:D813"/>
    <mergeCell ref="B815:D815"/>
    <mergeCell ref="B816:D816"/>
    <mergeCell ref="B807:D807"/>
    <mergeCell ref="B801:D801"/>
    <mergeCell ref="B803:D803"/>
    <mergeCell ref="B804:D804"/>
    <mergeCell ref="B793:D793"/>
    <mergeCell ref="B797:D797"/>
    <mergeCell ref="B788:D788"/>
    <mergeCell ref="B790:D790"/>
    <mergeCell ref="B791:D791"/>
    <mergeCell ref="B781:D781"/>
    <mergeCell ref="B783:D783"/>
    <mergeCell ref="B784:D784"/>
    <mergeCell ref="B785:D785"/>
    <mergeCell ref="B776:D776"/>
    <mergeCell ref="B778:D778"/>
    <mergeCell ref="B769:D769"/>
    <mergeCell ref="B770:D770"/>
    <mergeCell ref="B774:D774"/>
    <mergeCell ref="B763:D763"/>
    <mergeCell ref="B766:D766"/>
    <mergeCell ref="B757:D757"/>
    <mergeCell ref="B759:D759"/>
    <mergeCell ref="B760:D760"/>
    <mergeCell ref="B761:D761"/>
    <mergeCell ref="B762:D762"/>
    <mergeCell ref="B756:D756"/>
    <mergeCell ref="B741:D741"/>
    <mergeCell ref="B743:D743"/>
    <mergeCell ref="B734:D734"/>
    <mergeCell ref="B735:D735"/>
    <mergeCell ref="B721:D721"/>
    <mergeCell ref="B722:D722"/>
    <mergeCell ref="B723:D723"/>
    <mergeCell ref="B726:D726"/>
    <mergeCell ref="B709:D709"/>
    <mergeCell ref="B697:D697"/>
    <mergeCell ref="B698:D698"/>
    <mergeCell ref="B691:D691"/>
    <mergeCell ref="B692:D692"/>
    <mergeCell ref="B693:D693"/>
    <mergeCell ref="B694:D694"/>
    <mergeCell ref="B688:D688"/>
    <mergeCell ref="B679:D679"/>
    <mergeCell ref="B681:D681"/>
    <mergeCell ref="B682:D682"/>
    <mergeCell ref="B684:D684"/>
    <mergeCell ref="B675:D675"/>
    <mergeCell ref="B677:D677"/>
    <mergeCell ref="B678:D678"/>
    <mergeCell ref="B670:D670"/>
    <mergeCell ref="B671:D671"/>
    <mergeCell ref="B662:D662"/>
    <mergeCell ref="B663:D663"/>
    <mergeCell ref="B658:D658"/>
    <mergeCell ref="B660:D660"/>
    <mergeCell ref="B650:D650"/>
    <mergeCell ref="B643:D643"/>
    <mergeCell ref="B638:D638"/>
    <mergeCell ref="B640:D640"/>
    <mergeCell ref="B641:D641"/>
    <mergeCell ref="B631:D631"/>
    <mergeCell ref="B632:D632"/>
    <mergeCell ref="B634:D634"/>
    <mergeCell ref="B630:D630"/>
    <mergeCell ref="B621:D621"/>
    <mergeCell ref="B613:D613"/>
    <mergeCell ref="B616:D616"/>
    <mergeCell ref="B607:D607"/>
    <mergeCell ref="B609:D609"/>
    <mergeCell ref="B611:D611"/>
    <mergeCell ref="B612:D612"/>
    <mergeCell ref="B602:D602"/>
    <mergeCell ref="B604:D604"/>
    <mergeCell ref="B606:D606"/>
    <mergeCell ref="B596:D596"/>
    <mergeCell ref="B599:D599"/>
    <mergeCell ref="B600:D600"/>
    <mergeCell ref="B590:D590"/>
    <mergeCell ref="B591:D591"/>
    <mergeCell ref="B592:D592"/>
    <mergeCell ref="B593:D593"/>
    <mergeCell ref="B588:D588"/>
    <mergeCell ref="B582:D582"/>
    <mergeCell ref="B565:D565"/>
    <mergeCell ref="B560:D560"/>
    <mergeCell ref="B549:D549"/>
    <mergeCell ref="B550:D550"/>
    <mergeCell ref="B541:D541"/>
    <mergeCell ref="B546:D546"/>
    <mergeCell ref="B536:D536"/>
    <mergeCell ref="B537:D537"/>
    <mergeCell ref="B540:D540"/>
    <mergeCell ref="B529:D529"/>
    <mergeCell ref="B525:D525"/>
    <mergeCell ref="B519:D519"/>
    <mergeCell ref="B520:D520"/>
    <mergeCell ref="B514:D514"/>
    <mergeCell ref="B506:D506"/>
    <mergeCell ref="B501:D501"/>
    <mergeCell ref="B504:D504"/>
    <mergeCell ref="B494:D494"/>
    <mergeCell ref="B497:D497"/>
    <mergeCell ref="B498:D498"/>
    <mergeCell ref="B487:D487"/>
    <mergeCell ref="B488:D488"/>
    <mergeCell ref="B475:D475"/>
    <mergeCell ref="B480:D480"/>
    <mergeCell ref="B470:D470"/>
    <mergeCell ref="B472:D472"/>
    <mergeCell ref="B464:D464"/>
    <mergeCell ref="B468:D468"/>
    <mergeCell ref="B454:D454"/>
    <mergeCell ref="B455:D455"/>
    <mergeCell ref="B446:D446"/>
    <mergeCell ref="B441:D441"/>
    <mergeCell ref="B442:D442"/>
    <mergeCell ref="B424:D424"/>
    <mergeCell ref="B417:D417"/>
    <mergeCell ref="B410:D410"/>
    <mergeCell ref="B412:D412"/>
    <mergeCell ref="B413:D413"/>
    <mergeCell ref="B406:D406"/>
    <mergeCell ref="B407:D407"/>
    <mergeCell ref="B379:D379"/>
    <mergeCell ref="B380:D380"/>
    <mergeCell ref="B381:D381"/>
    <mergeCell ref="B383:D383"/>
    <mergeCell ref="B374:D374"/>
    <mergeCell ref="B377:D377"/>
    <mergeCell ref="B378:D378"/>
    <mergeCell ref="B367:D367"/>
    <mergeCell ref="B351:D351"/>
    <mergeCell ref="B344:D344"/>
    <mergeCell ref="B345:D345"/>
    <mergeCell ref="B346:D346"/>
    <mergeCell ref="B348:D348"/>
    <mergeCell ref="B260:D260"/>
    <mergeCell ref="B262:D262"/>
    <mergeCell ref="B177:D177"/>
    <mergeCell ref="B169:D169"/>
    <mergeCell ref="B154:D154"/>
    <mergeCell ref="B155:D155"/>
    <mergeCell ref="B150:D150"/>
    <mergeCell ref="B142:D142"/>
    <mergeCell ref="B134:D134"/>
    <mergeCell ref="B136:D136"/>
    <mergeCell ref="B123:D123"/>
    <mergeCell ref="B115:D115"/>
    <mergeCell ref="B117:D117"/>
    <mergeCell ref="B119:D119"/>
    <mergeCell ref="B110:D110"/>
    <mergeCell ref="B113:D113"/>
    <mergeCell ref="B105:D105"/>
    <mergeCell ref="B106:D106"/>
    <mergeCell ref="B108:D108"/>
    <mergeCell ref="B94:D94"/>
    <mergeCell ref="B87:D87"/>
    <mergeCell ref="B81:D81"/>
    <mergeCell ref="B75:D75"/>
    <mergeCell ref="B52:D52"/>
    <mergeCell ref="B25:D25"/>
    <mergeCell ref="B7:D7"/>
    <mergeCell ref="B8:D8"/>
    <mergeCell ref="B6:D6"/>
    <mergeCell ref="E4:E5"/>
    <mergeCell ref="F4:F5"/>
    <mergeCell ref="G4:G5"/>
    <mergeCell ref="H4:H5"/>
    <mergeCell ref="B3:C3"/>
    <mergeCell ref="M3:N3"/>
  </mergeCells>
  <dataValidations count="2201">
    <dataValidation type="decimal" allowBlank="1" showErrorMessage="1" errorTitle="Неверно указано Количество" error="минимальное количество для заказа = 4" sqref="M1692">
      <formula1>4</formula1>
      <formula2>1170</formula2>
    </dataValidation>
    <dataValidation type="decimal" allowBlank="1" showErrorMessage="1" errorTitle="Неверно указано Количество" error="минимальное количество для заказа = 1" sqref="M46 M292 M330 M335 M2187">
      <formula1>1</formula1>
      <formula2>10</formula2>
    </dataValidation>
    <dataValidation type="decimal" allowBlank="1" showErrorMessage="1" errorTitle="Неверно указано Количество" error="минимальное количество для заказа = 8" sqref="M15">
      <formula1>8</formula1>
      <formula2>512</formula2>
    </dataValidation>
    <dataValidation type="decimal" allowBlank="1" showErrorMessage="1" errorTitle="Неверно указано Количество" error="минимальное количество для заказа = 12" sqref="M2808">
      <formula1>12</formula1>
      <formula2>464</formula2>
    </dataValidation>
    <dataValidation type="decimal" allowBlank="1" showErrorMessage="1" errorTitle="Неверно указано Количество" error="минимальное количество для заказа = 8" sqref="M11">
      <formula1>8</formula1>
      <formula2>192</formula2>
    </dataValidation>
    <dataValidation type="decimal" operator="equal" allowBlank="1" showErrorMessage="1" errorTitle="Не нужно менять минимальное количество для заказа:" error="минимальное количество для заказа = 200" sqref="K465:K466 K4540 K4561 K4564">
      <formula1>200</formula1>
    </dataValidation>
    <dataValidation type="decimal" allowBlank="1" showErrorMessage="1" errorTitle="Неверно указано Количество" error="минимальное количество для заказа = 3" sqref="M67">
      <formula1>3</formula1>
      <formula2>38</formula2>
    </dataValidation>
    <dataValidation type="decimal" allowBlank="1" showErrorMessage="1" errorTitle="Неверно указано Количество" error="минимальное количество для заказа = 2" sqref="M252">
      <formula1>2</formula1>
      <formula2>885</formula2>
    </dataValidation>
    <dataValidation type="decimal" allowBlank="1" showErrorMessage="1" errorTitle="Неверно указано Количество" error="минимальное количество для заказа = 3" sqref="M946">
      <formula1>3</formula1>
      <formula2>478</formula2>
    </dataValidation>
    <dataValidation type="decimal" allowBlank="1" showErrorMessage="1" errorTitle="Неверно указано Количество" error="минимальное количество для заказа = 1" sqref="M45">
      <formula1>1</formula1>
      <formula2>59</formula2>
    </dataValidation>
    <dataValidation type="decimal" allowBlank="1" showErrorMessage="1" errorTitle="Неверно указано Количество" error="минимальное количество для заказа = 1" sqref="M29 M242 M526 M3275">
      <formula1>1</formula1>
      <formula2>13</formula2>
    </dataValidation>
    <dataValidation type="decimal" allowBlank="1" showErrorMessage="1" errorTitle="Неверно указано Количество" error="минимальное количество для заказа = 2" sqref="M731">
      <formula1>2</formula1>
      <formula2>46</formula2>
    </dataValidation>
    <dataValidation type="decimal" allowBlank="1" showErrorMessage="1" errorTitle="Неверно указано Количество" error="минимальное количество для заказа = 5" sqref="M3206">
      <formula1>5</formula1>
      <formula2>475</formula2>
    </dataValidation>
    <dataValidation type="decimal" operator="equal" allowBlank="1" showErrorMessage="1" errorTitle="Не нужно менять минимальное количество для заказа:" error="минимальное количество для заказа = 4" sqref="K9:K10 K70 K114 K140 K193 K264 K282 K352:K357 K362 K366 K369:K373 K425 K427 K429 K434 K463 K554 K556 K589 K739:K740 K748 K751 K753 K830 K952:K960 K970 K1292 K1519 K1561 K1563:K1566 K1577:K1580 K1584 K1589:K1593 K1599:K1600 K1604 K1606 K1608 K1620:K1622 K1630:K1633 K1656:K1657 K1689:K1697 K1699:K1705 K1738:K1745 K1783 K1792 K1796 K1801 K1814:K1818 K1820:K1825 K1860:K1871 K2009 K2044 K2049 K2052 K2056:K2057 K2059:K2062 K2064:K2068 K2077:K2081 K2090:K2096 K2116:K2117 K2125 K2155:K2156 K2238:K2245 K2272:K2285 K2287 K2289 K2693:K2694 K2696:K2698 K2773:K2776 K2778:K2780 K2783:K2788 K2790:K2794 K2796:K2798 K2939 K2948:K2949 K3014 K3049:K3053 K3055:K3064 K3086:K3087 K3095:K3097 K3136:K3143 K3156:K3160 K3175 K3177:K3179 K3214:K3217 K3219:K3225 K3227:K3230 K3232:K3235 K3237:K3240 K3294:K3298 K3307:K3310 K3312 K3314:K3318 K3359 K3415 K3562:K3563 K3565:K3566 K3570:K3572 K3574:K3577 K3580:K3586">
      <formula1>4</formula1>
    </dataValidation>
    <dataValidation type="decimal" allowBlank="1" showErrorMessage="1" errorTitle="Неверно указано Количество" error="минимальное количество для заказа = 1" sqref="M28 M226">
      <formula1>1</formula1>
      <formula2>18</formula2>
    </dataValidation>
    <dataValidation type="decimal" allowBlank="1" showErrorMessage="1" errorTitle="Неверно указано Количество" error="минимальное количество для заказа = 4" sqref="M9 M264 M282 M589 M970 M1519 M1608 M1656 M1796 M1863 M2009 M2117 M2278 M2939 M3014 M3415">
      <formula1>4</formula1>
      <formula2>4</formula2>
    </dataValidation>
    <dataValidation type="decimal" allowBlank="1" showErrorMessage="1" errorTitle="Неверно указано Количество" error="минимальное количество для заказа = 100" sqref="M4150">
      <formula1>100</formula1>
      <formula2>2909</formula2>
    </dataValidation>
    <dataValidation type="decimal" operator="greaterThanOrEqual" allowBlank="1" showErrorMessage="1" errorTitle="Нельзя заказать меньше чем :" error="минимальное количество для заказа = 50" sqref="M422 M614 M1192 M1379 M1435 M1437:M1440 M1442:M1444 M1447:M1448 M1451:M1453 M1455 M4333:M4334 M4336:M4337">
      <formula1>50</formula1>
    </dataValidation>
    <dataValidation type="decimal" allowBlank="1" showErrorMessage="1" errorTitle="Неверно указано Количество" error="минимальное количество для заказа = 4" sqref="M10">
      <formula1>4</formula1>
      <formula2>28</formula2>
    </dataValidation>
    <dataValidation type="decimal" allowBlank="1" showErrorMessage="1" errorTitle="Неверно указано Количество" error="минимальное количество для заказа = 4" sqref="M955 M957 M1577 M1600 M1657">
      <formula1>4</formula1>
      <formula2>10</formula2>
    </dataValidation>
    <dataValidation type="decimal" allowBlank="1" showErrorMessage="1" errorTitle="Неверно указано Количество" error="минимальное количество для заказа = 40" sqref="M3466">
      <formula1>40</formula1>
      <formula2>272</formula2>
    </dataValidation>
    <dataValidation type="decimal" operator="equal" allowBlank="1" showErrorMessage="1" errorTitle="Не нужно менять минимальное количество для заказа:" error="минимальное количество для заказа = 8" sqref="K11:K15 K82 K85 K89:K90 K400:K401 K513 K775 K779 K814 K821 K827:K828 K832 K839 K1046 K1197:K1198 K1233 K1297:K1299 K1336:K1338 K3441:K3442 K3446 K3543 K4341:K4347 K4525">
      <formula1>8</formula1>
    </dataValidation>
    <dataValidation type="decimal" allowBlank="1" showErrorMessage="1" errorTitle="Неверно указано Количество" error="минимальное количество для заказа = 8" sqref="M12">
      <formula1>8</formula1>
      <formula2>128</formula2>
    </dataValidation>
    <dataValidation type="decimal" allowBlank="1" showErrorMessage="1" errorTitle="Неверно указано Количество" error="минимальное количество для заказа = 1" sqref="M103">
      <formula1>1</formula1>
      <formula2>100</formula2>
    </dataValidation>
    <dataValidation type="decimal" allowBlank="1" showErrorMessage="1" errorTitle="Неверно указано Количество" error="минимальное количество для заказа = 50" sqref="M615">
      <formula1>50</formula1>
      <formula2>9465</formula2>
    </dataValidation>
    <dataValidation type="decimal" allowBlank="1" showErrorMessage="1" errorTitle="Неверно указано Количество" error="минимальное количество для заказа = 24" sqref="M1141">
      <formula1>24</formula1>
      <formula2>262</formula2>
    </dataValidation>
    <dataValidation type="decimal" allowBlank="1" showErrorMessage="1" errorTitle="Неверно указано Количество" error="минимальное количество для заказа = 3" sqref="M65 M1731">
      <formula1>3</formula1>
      <formula2>453</formula2>
    </dataValidation>
    <dataValidation type="decimal" allowBlank="1" showErrorMessage="1" errorTitle="Неверно указано Количество" error="минимальное количество для заказа = 6" sqref="M1953">
      <formula1>6</formula1>
      <formula2>945</formula2>
    </dataValidation>
    <dataValidation type="decimal" allowBlank="1" showErrorMessage="1" errorTitle="Неверно указано Количество" error="минимальное количество для заказа = 8" sqref="M13">
      <formula1>8</formula1>
      <formula2>224</formula2>
    </dataValidation>
    <dataValidation type="decimal" operator="equal" allowBlank="1" showErrorMessage="1" errorTitle="Не нужно менять минимальное количество для заказа:" error="минимальное количество для заказа = 24" sqref="K33 K98 K112 K391:K392 K402:K403 K415 K456:K458 K493 K495:K496 K532:K534 K561:K564 K570:K581 K618 K622:K624 K639 K644:K649 K664 K699 K701:K708 K744 K746 K764:K765 K786:K787 K795:K796 K805:K806 K817 K842 K871 K873 K917 K1141:K1143 K2482:K2483 K2538:K2540">
      <formula1>24</formula1>
    </dataValidation>
    <dataValidation type="decimal" allowBlank="1" showErrorMessage="1" errorTitle="Неверно указано Количество" error="минимальное количество для заказа = 80" sqref="M3485">
      <formula1>80</formula1>
      <formula2>699</formula2>
    </dataValidation>
    <dataValidation type="decimal" allowBlank="1" showErrorMessage="1" errorTitle="Неверно указано Количество" error="минимальное количество для заказа = 4" sqref="M3086">
      <formula1>4</formula1>
      <formula2>1155</formula2>
    </dataValidation>
    <dataValidation type="decimal" allowBlank="1" showErrorMessage="1" errorTitle="Неверно указано Количество" error="минимальное количество для заказа = 8" sqref="M14">
      <formula1>8</formula1>
      <formula2>64</formula2>
    </dataValidation>
    <dataValidation type="decimal" allowBlank="1" showErrorMessage="1" errorTitle="Неверно указано Количество" error="минимальное количество для заказа = 1" sqref="M51 M545">
      <formula1>1</formula1>
      <formula2>129</formula2>
    </dataValidation>
    <dataValidation type="decimal" allowBlank="1" showErrorMessage="1" errorTitle="Неверно указано Количество" error="минимальное количество для заказа = 30" sqref="M1098">
      <formula1>30</formula1>
      <formula2>1204</formula2>
    </dataValidation>
    <dataValidation type="decimal" allowBlank="1" showErrorMessage="1" errorTitle="Неверно указано Количество" error="минимальное количество для заказа = 25" sqref="M23">
      <formula1>25</formula1>
      <formula2>3696</formula2>
    </dataValidation>
    <dataValidation type="decimal" allowBlank="1" showErrorMessage="1" errorTitle="Неверно указано Количество" error="минимальное количество для заказа = 80" sqref="M4438:M4439">
      <formula1>80</formula1>
      <formula2>90</formula2>
    </dataValidation>
    <dataValidation type="decimal" allowBlank="1" showErrorMessage="1" errorTitle="Неверно указано Количество" error="минимальное количество для заказа = 24" sqref="M703">
      <formula1>24</formula1>
      <formula2>3688</formula2>
    </dataValidation>
    <dataValidation type="decimal" allowBlank="1" showErrorMessage="1" errorTitle="Неверно указано Количество" error="минимальное количество для заказа = 24" sqref="M534">
      <formula1>24</formula1>
      <formula2>273</formula2>
    </dataValidation>
    <dataValidation type="decimal" allowBlank="1" showErrorMessage="1" errorTitle="Неверно указано Количество" error="минимальное количество для заказа = 2" sqref="M21">
      <formula1>2</formula1>
      <formula2>1222</formula2>
    </dataValidation>
    <dataValidation type="decimal" operator="equal" allowBlank="1" showErrorMessage="1" errorTitle="Не нужно менять минимальное количество для заказа:" error="минимальное количество для заказа = 20" sqref="K16 K31:K32 K78 K137:K138 K171 K265 K267 K291 K293 K322 K327 K329 K469 K478:K479 K687 K926 K936 K983:K985 K1010:K1011 K1084 K1087:K1088 K1102 K1111 K1114:K1115 K1119:K1120 K1123:K1124 K1130:K1132 K1150:K1152 K1154:K1158 K1162:K1163 K1167:K1168 K1179:K1183 K1187:K1188 K1191 K1201:K1205 K1208:K1211 K1232 K1270 K1280 K1284:K1286 K1351 K1353:K1354 K1459:K1460 K1466 K1468:K1469 K1473 K1479 K1481:K1483 K1489 K1510:K1512 K1515:K1516 K1526 K1530:K1531 K1546 K2599 K2620:K2623 K2670 K2672 K3091:K3092 K3354:K3356 K3409 K4208 K4221">
      <formula1>20</formula1>
    </dataValidation>
    <dataValidation type="decimal" allowBlank="1" showErrorMessage="1" errorTitle="Неверно указано Количество" error="минимальное количество для заказа = 1" sqref="M144 M919">
      <formula1>1</formula1>
      <formula2>20</formula2>
    </dataValidation>
    <dataValidation type="decimal" allowBlank="1" showErrorMessage="1" errorTitle="Неверно указано Количество" error="минимальное количество для заказа = 20" sqref="M16">
      <formula1>20</formula1>
      <formula2>920</formula2>
    </dataValidation>
    <dataValidation type="decimal" operator="equal" allowBlank="1" showErrorMessage="1" errorTitle="Не нужно менять минимальное количество для заказа:" error="минимальное количество для заказа = 3" sqref="K34 K44 K65 K67 K96 K122 K187 K189:K190 K251 K358:K359 K361 K426 K428 K430:K431 K433 K435:K436 K439 K511 K535 K555 K557 K626:K628 K659 K710:K712 K724 K733 K749:K750 K754 K865 K944:K951 K987 K1135 K1360 K1572 K1610 K1617 K1627 K1644 K1666:K1669 K1713:K1720 K1722:K1726 K1729:K1732 K1734:K1736 K1747 K1827:K1833 K1858 K1874:K1882 K1885 K1887 K1889:K1894 K1897:K1898 K1900:K1911 K1913:K1920 K1925:K1926 K1986:K1989 K2025:K2028 K2031:K2035 K2037:K2042 K2071:K2075 K2083:K2087 K2113:K2114 K2123:K2124 K2138:K2145 K2147:K2149 K2167:K2170 K2178:K2181 K2220:K2223 K2234 K2236 K2247:K2250 K2315:K2320 K2322 K2329:K2333 K2341:K2346 K2497 K2525 K2572:K2573 K2585:K2587 K2589:K2591 K2602 K2607:K2610 K2700:K2703 K2705:K2709 K2711:K2716 K2919 K2951 K2953:K2954 K2980:K2981 K2983:K2984 K3029 K3066:K3070 K3072:K3074 K3099:K3111 K3162:K3165 K3170:K3173 K3242:K3249 K3321:K3322 K3324:K3331 K3333:K3338 K3349:K3350 K3588:K3591 K3593:K3596 K3598 K3601 K3605 K3608 K3610:K3612 K4577">
      <formula1>3</formula1>
    </dataValidation>
    <dataValidation type="decimal" allowBlank="1" showErrorMessage="1" errorTitle="Неверно указано Количество" error="минимальное количество для заказа = 4" sqref="M956">
      <formula1>4</formula1>
      <formula2>299</formula2>
    </dataValidation>
    <dataValidation type="decimal" operator="equal" allowBlank="1" showErrorMessage="1" errorTitle="Не нужно менять минимальное количество для заказа:" error="минимальное количество для заказа = 108" sqref="K601">
      <formula1>108</formula1>
    </dataValidation>
    <dataValidation type="decimal" allowBlank="1" showErrorMessage="1" errorTitle="Неверно указано Количество" error="минимальное количество для заказа = 1" sqref="M158">
      <formula1>1</formula1>
      <formula2>562</formula2>
    </dataValidation>
    <dataValidation type="decimal" operator="equal" allowBlank="1" showErrorMessage="1" errorTitle="Не нужно менять минимальное количество для заказа:" error="минимальное количество для заказа = 2" sqref="K17:K18 K21:K22 K57 K64 K72 K107 K120 K143 K178:K180 K188 K197 K205:K207 K212:K214 K229 K243 K252:K253 K312 K314:K315 K318 K340 K343 K347 K360 K365 K432 K437 K440 K558:K559 K605 K629 K713:K716 K725 K727 K729:K731 K752 K755 K863 K892:K893 K900 K903 K989 K991:K992 K1004:K1007 K1013 K1317 K1319:K1321 K1365 K1556:K1558 K1574 K1587 K1597 K1635:K1637 K1639 K1886 K1888 K1895:K1896 K1922:K1923 K1929 K1931:K1936 K1991:K1993 K2029 K2051 K2104 K2106:K2107 K2109 K2163 K2172:K2175 K2184:K2186 K2188:K2193 K2195:K2197 K2212:K2218 K2227 K2291:K2302 K2325:K2327 K2348:K2350 K2376 K2380:K2381 K2384:K2385 K2390:K2393 K2567:K2568 K2570:K2571 K2574 K2580 K2668 K2718:K2720 K2743 K2916 K2933 K2960 K2987:K2988 K2992 K3010:K3013 K3015:K3018 K3021 K3026 K3031:K3034 K3076:K3084 K3209:K3212 K3358 K3471 K3474 K3559 K3578 K3604 K4571">
      <formula1>2</formula1>
    </dataValidation>
    <dataValidation type="decimal" allowBlank="1" showErrorMessage="1" errorTitle="Неверно указано Количество" error="минимальное количество для заказа = 140" sqref="M4003">
      <formula1>140</formula1>
      <formula2>630</formula2>
    </dataValidation>
    <dataValidation type="decimal" allowBlank="1" showErrorMessage="1" errorTitle="Неверно указано Количество" error="минимальное количество для заказа = 3" sqref="M628 M1617 M1627 M1644 M2234 M2497 M2602 M2919">
      <formula1>3</formula1>
      <formula2>3</formula2>
    </dataValidation>
    <dataValidation type="decimal" allowBlank="1" showErrorMessage="1" errorTitle="Неверно указано Количество" error="минимальное количество для заказа = 12" sqref="M42 M48 M789">
      <formula1>12</formula1>
      <formula2>36</formula2>
    </dataValidation>
    <dataValidation type="decimal" allowBlank="1" showErrorMessage="1" errorTitle="Неверно указано Количество" error="минимальное количество для заказа = 3" sqref="M754">
      <formula1>3</formula1>
      <formula2>729</formula2>
    </dataValidation>
    <dataValidation type="decimal" allowBlank="1" showErrorMessage="1" errorTitle="Неверно указано Количество" error="минимальное количество для заказа = 4" sqref="M3586">
      <formula1>4</formula1>
      <formula2>101</formula2>
    </dataValidation>
    <dataValidation type="decimal" allowBlank="1" showErrorMessage="1" errorTitle="Неверно указано Количество" error="минимальное количество для заказа = 4" sqref="M3359">
      <formula1>4</formula1>
      <formula2>6</formula2>
    </dataValidation>
    <dataValidation type="decimal" allowBlank="1" showErrorMessage="1" errorTitle="Неверно указано Количество" error="минимальное количество для заказа = 12" sqref="M2616">
      <formula1>12</formula1>
      <formula2>3695</formula2>
    </dataValidation>
    <dataValidation type="decimal" allowBlank="1" showErrorMessage="1" errorTitle="Неверно указано Количество" error="минимальное количество для заказа = 2" sqref="M17 M1923">
      <formula1>2</formula1>
      <formula2>3</formula2>
    </dataValidation>
    <dataValidation type="decimal" allowBlank="1" showErrorMessage="1" errorTitle="Неверно указано Количество" error="минимальное количество для заказа = 80" sqref="M4231 M4482 M4500">
      <formula1>80</formula1>
      <formula2>110</formula2>
    </dataValidation>
    <dataValidation type="decimal" allowBlank="1" showErrorMessage="1" errorTitle="Неверно указано Количество" error="минимальное количество для заказа = 10" sqref="M55 M2857">
      <formula1>10</formula1>
      <formula2>760</formula2>
    </dataValidation>
    <dataValidation type="decimal" allowBlank="1" showErrorMessage="1" errorTitle="Неверно указано Количество" error="минимальное количество для заказа = 2" sqref="M18 M629 M2297 M2384">
      <formula1>2</formula1>
      <formula2>4</formula2>
    </dataValidation>
    <dataValidation type="decimal" operator="equal" allowBlank="1" showErrorMessage="1" errorTitle="Не нужно менять минимальное количество для заказа:" error="минимальное количество для заказа = 125" sqref="K266">
      <formula1>125</formula1>
    </dataValidation>
    <dataValidation type="decimal" allowBlank="1" showErrorMessage="1" errorTitle="Неверно указано Количество" error="минимальное количество для заказа = 1" sqref="M40">
      <formula1>1</formula1>
      <formula2>324</formula2>
    </dataValidation>
    <dataValidation type="decimal" operator="equal" allowBlank="1" showErrorMessage="1" errorTitle="Не нужно менять минимальное количество для заказа:" error="минимальное количество для заказа = 1" sqref="K19 K27:K29 K36:K37 K39:K40 K43 K45:K47 K49:K51 K53:K54 K56 K58:K59 K61:K63 K66 K68:K69 K71 K73:K74 K76:K77 K79:K80 K83:K84 K86 K88 K91:K93 K97 K100:K104 K109 K121 K128:K129 K132 K135 K139 K141 K144:K149 K152 K156:K168 K170 K172:K174 K181:K186 K191:K192 K194:K196 K198:K204 K208:K211 K215:K228 K230:K242 K244:K250 K256:K259 K261 K263 K281 K285 K292 K294:K295 K308 K320 K326 K330:K331 K335 K341 K375:K376 K482 K521:K524 K526:K528 K538:K539 K542:K545 K547:K548 K625 K654 K666:K669 K717:K720 K728 K732 K758 K857 K859 K866:K867 K894:K896 K898 K901:K902 K904:K906 K919:K921 K942 K973 K979 K988 K990 K993:K1003 K1036 K1127 K1315 K1380 K1425 K1553 K1595 K1605 K1648:K1651 K1728 K1773 K1807 K1938:K1948 K1994 K1996 K1998:K1999 K2036 K2053 K2098:K2101 K2105 K2108 K2110 K2118:K2119 K2187 K2199:K2210 K2224:K2225 K2229:K2232 K2252:K2255 K2304:K2306 K2308:K2311 K2313 K2323 K2335:K2336 K2339 K2353:K2356 K2358:K2360 K2362 K2366:K2369 K2372:K2374 K2378 K2383 K2387 K2396:K2397 K2400:K2401 K2403:K2407 K2410:K2420 K2422:K2438 K2440:K2442 K2485 K2558 K2569 K2576:K2578 K2582:K2584 K2729 K2781 K2874:K2877 K2911 K2918 K2959 K2978 K2985 K2990:K2991 K2993:K2994 K3126 K3168 K3176 K3198 K3202 K3256 K3261 K3264:K3265 K3267:K3269 K3271 K3273 K3275 K3277:K3278 K3280:K3283 K3323 K3361:K3365 K3554:K3556 K3558 K3564 K3567 K3569 K3599:K3600 K3603 K3606 K3613:K3614 K4348 K4572 K4574:K4576 K4578 K4580:K4586 K4588:K4594">
      <formula1>1</formula1>
    </dataValidation>
    <dataValidation type="decimal" operator="equal" allowBlank="1" showErrorMessage="1" errorTitle="Не нужно менять минимальное количество для заказа:" error="минимальное количество для заказа = 10" sqref="K55 K111 K151 K268:K269 K278:K279 K283 K296 K317 K323:K325 K328 K334 K349:K350 K382 K476:K477 K509 K515:K518 K886 K925 K927:K934 K938 K962 K965:K968 K1015:K1030 K1045 K1051:K1054 K1134 K1235 K1265 K1273:K1275 K1304:K1305 K1312:K1313 K1341:K1342 K1356 K1368 K1371 K1414 K1467 K1475 K1485 K1491 K1493 K1495 K1497 K1505 K1507 K1513 K1522 K1524 K1527 K1533 K1535 K1537:K1538 K1548 K1653 K1672:K1675 K1752:K1761 K1769 K1977:K1983 K2128:K2131 K2446:K2447 K2463 K2603 K2749:K2750 K2752:K2763 K2829:K2862 K2864:K2865 K2867:K2872 K2883:K2889 K2970:K2975 K3005:K3007 K3022:K3023 K3038:K3040 K3305 K3395 K3803">
      <formula1>10</formula1>
    </dataValidation>
    <dataValidation type="decimal" allowBlank="1" showErrorMessage="1" errorTitle="Неверно указано Количество" error="минимальное количество для заказа = 10" sqref="M2128">
      <formula1>10</formula1>
      <formula2>12</formula2>
    </dataValidation>
    <dataValidation type="decimal" allowBlank="1" showErrorMessage="1" errorTitle="Неверно указано Количество" error="минимальное количество для заказа = 16" sqref="M1229">
      <formula1>16</formula1>
      <formula2>3664</formula2>
    </dataValidation>
    <dataValidation type="decimal" operator="greaterThanOrEqual" allowBlank="1" showErrorMessage="1" errorTitle="Нельзя заказать меньше чем :" error="минимальное количество для заказа = 15" sqref="M512 M642 M1228">
      <formula1>15</formula1>
    </dataValidation>
    <dataValidation type="decimal" allowBlank="1" showErrorMessage="1" errorTitle="Неверно указано Количество" error="минимальное количество для заказа = 1" sqref="M49 M261">
      <formula1>1</formula1>
      <formula2>88</formula2>
    </dataValidation>
    <dataValidation type="decimal" allowBlank="1" showErrorMessage="1" errorTitle="Неверно указано Количество" error="минимальное количество для заказа = 3" sqref="M712">
      <formula1>3</formula1>
      <formula2>538</formula2>
    </dataValidation>
    <dataValidation type="decimal" allowBlank="1" showErrorMessage="1" errorTitle="Неверно указано Количество" error="минимальное количество для заказа = 7" sqref="M2498">
      <formula1>7</formula1>
      <formula2>50</formula2>
    </dataValidation>
    <dataValidation type="decimal" operator="greaterThanOrEqual" allowBlank="1" showErrorMessage="1" errorTitle="Нельзя заказать меньше чем :" error="минимальное количество для заказа = 3" sqref="M44 M361 M426 M428 M430:M431 M433 M435:M436 M511 M555 M557 M711 M724 M733 M750 M950:M951 M987 M1135 M1610 M1666 M1669 M1876:M1879 M1881:M1882 M1887 M1890 M1892:M1894 M1897 M1900 M1904 M1907:M1908 M1913 M1916 M1986 M1989 M2025:M2028 M2035 M2071 M2073 M2083:M2087 M2248 M2329:M2330 M2700:M2701 M2703 M2705:M2709 M2711:M2712 M2714:M2716 M2951 M2953 M2980 M2984 M3067 M3073 M3099 M3105:M3109 M3111 M3163 M3165 M3242 M3245:M3248 M3321:M3322 M3324:M3325 M3327:M3330 M3333:M3338 M3588 M3590:M3591 M3608 M4577">
      <formula1>3</formula1>
    </dataValidation>
    <dataValidation type="decimal" allowBlank="1" showErrorMessage="1" errorTitle="Неверно указано Количество" error="минимальное количество для заказа = 12" sqref="M404">
      <formula1>12</formula1>
      <formula2>1521</formula2>
    </dataValidation>
    <dataValidation type="decimal" allowBlank="1" showErrorMessage="1" errorTitle="Неверно указано Количество" error="минимальное количество для заказа = 1" sqref="M43 M2414">
      <formula1>1</formula1>
      <formula2>199</formula2>
    </dataValidation>
    <dataValidation type="decimal" allowBlank="1" showErrorMessage="1" errorTitle="Неверно указано Количество" error="минимальное количество для заказа = 25" sqref="M1041">
      <formula1>25</formula1>
      <formula2>213</formula2>
    </dataValidation>
    <dataValidation type="decimal" allowBlank="1" showErrorMessage="1" errorTitle="Неверно указано Количество" error="минимальное количество для заказа = 80" sqref="M4365">
      <formula1>80</formula1>
      <formula2>6610</formula2>
    </dataValidation>
    <dataValidation type="decimal" allowBlank="1" showErrorMessage="1" errorTitle="Неверно указано Количество" error="минимальное количество для заказа = 240" sqref="M3787">
      <formula1>240</formula1>
      <formula2>1058</formula2>
    </dataValidation>
    <dataValidation type="decimal" allowBlank="1" showErrorMessage="1" errorTitle="Неверно указано Количество" error="минимальное количество для заказа = 1" sqref="M19 M61 M666 M988 M2422">
      <formula1>1</formula1>
      <formula2>6</formula2>
    </dataValidation>
    <dataValidation type="decimal" allowBlank="1" showErrorMessage="1" errorTitle="Неверно указано Количество" error="минимальное количество для заказа = 16" sqref="M30">
      <formula1>16</formula1>
      <formula2>4677</formula2>
    </dataValidation>
    <dataValidation type="decimal" operator="equal" allowBlank="1" showErrorMessage="1" errorTitle="Не нужно менять минимальное количество для заказа:" error="минимальное количество для заказа = 5" sqref="K20 K35 K254:K255 K299 K363:K364 K368 K408:K409 K510 K551:K553 K736:K738 K855 K981 K1047:K1050 K1055 K1289:K1291 K1333 K1348 K1372 K1375 K1541 K1543 K1568 K1612 K1616 K1625:K1626 K1678:K1683 K1786:K1789 K1848:K1857 K1962:K1974 K2013:K2016 K2019:K2023 K2045:K2048 K2151:K2152 K2159:K2162 K2164:K2165 K2259:K2269 K2286 K2288 K2462 K2527 K2531:K2532 K2765:K2771 K2962:K2964 K2966:K2967 K2998:K2999 K3001 K3128:K3134 K3145:K3153 K3155 K3181:K3191 K3193:K3196 K3199 K3201 K3203:K3204 K3206:K3207 K3286:K3292 K3300:K3302">
      <formula1>5</formula1>
    </dataValidation>
    <dataValidation type="decimal" allowBlank="1" showErrorMessage="1" errorTitle="Неверно указано Количество" error="минимальное количество для заказа = 1" sqref="M167 M231 M256 M1728">
      <formula1>1</formula1>
      <formula2>28</formula2>
    </dataValidation>
    <dataValidation type="decimal" allowBlank="1" showErrorMessage="1" errorTitle="Неверно указано Количество" error="минимальное количество для заказа = 1" sqref="M56 M528 M2105 M2108 M2110">
      <formula1>1</formula1>
      <formula2>30</formula2>
    </dataValidation>
    <dataValidation type="decimal" allowBlank="1" showErrorMessage="1" errorTitle="Неверно указано Количество" error="минимальное количество для заказа = 5" sqref="M20 M35 M299 M981 M1348 M1372 M1616 M1625 M2462 M3199">
      <formula1>5</formula1>
      <formula2>5</formula2>
    </dataValidation>
    <dataValidation type="decimal" allowBlank="1" showErrorMessage="1" errorTitle="Неверно указано Количество" error="минимальное количество для заказа = 20" sqref="M3354">
      <formula1>20</formula1>
      <formula2>171</formula2>
    </dataValidation>
    <dataValidation type="decimal" allowBlank="1" showErrorMessage="1" errorTitle="Неверно указано Количество" error="минимальное количество для заказа = 3" sqref="M439">
      <formula1>3</formula1>
      <formula2>391</formula2>
    </dataValidation>
    <dataValidation type="decimal" allowBlank="1" showErrorMessage="1" errorTitle="Неверно указано Количество" error="минимальное количество для заказа = 1" sqref="M47 M521">
      <formula1>1</formula1>
      <formula2>63</formula2>
    </dataValidation>
    <dataValidation type="decimal" allowBlank="1" showErrorMessage="1" errorTitle="Неверно указано Количество" error="минимальное количество для заказа = 24" sqref="M33">
      <formula1>24</formula1>
      <formula2>1032</formula2>
    </dataValidation>
    <dataValidation type="decimal" allowBlank="1" showErrorMessage="1" errorTitle="Неверно указано Количество" error="минимальное количество для заказа = 12" sqref="M26">
      <formula1>12</formula1>
      <formula2>144</formula2>
    </dataValidation>
    <dataValidation type="decimal" allowBlank="1" showErrorMessage="1" errorTitle="Неверно указано Количество" error="минимальное количество для заказа = 6" sqref="M798">
      <formula1>6</formula1>
      <formula2>125</formula2>
    </dataValidation>
    <dataValidation type="decimal" allowBlank="1" showErrorMessage="1" errorTitle="Неверно указано Количество" error="минимальное количество для заказа = 2" sqref="M22">
      <formula1>2</formula1>
      <formula2>1027</formula2>
    </dataValidation>
    <dataValidation type="decimal" allowBlank="1" showErrorMessage="1" errorTitle="Неверно указано Количество" error="минимальное количество для заказа = 16" sqref="M980">
      <formula1>16</formula1>
      <formula2>68</formula2>
    </dataValidation>
    <dataValidation type="decimal" allowBlank="1" showErrorMessage="1" errorTitle="Неверно указано Количество" error="минимальное количество для заказа = 2" sqref="M558">
      <formula1>2</formula1>
      <formula2>1262</formula2>
    </dataValidation>
    <dataValidation type="decimal" allowBlank="1" showErrorMessage="1" errorTitle="Неверно указано Количество" error="минимальное количество для заказа = 1" sqref="M191">
      <formula1>1</formula1>
      <formula2>139</formula2>
    </dataValidation>
    <dataValidation type="decimal" allowBlank="1" showErrorMessage="1" errorTitle="Неверно указано Количество" error="минимальное количество для заказа = 250" sqref="M276">
      <formula1>250</formula1>
      <formula2>2593</formula2>
    </dataValidation>
    <dataValidation type="decimal" allowBlank="1" showErrorMessage="1" errorTitle="Неверно указано Количество" error="минимальное количество для заказа = 12" sqref="M60 M665 M689">
      <formula1>12</formula1>
      <formula2>120</formula2>
    </dataValidation>
    <dataValidation type="decimal" allowBlank="1" showErrorMessage="1" errorTitle="Неверно указано Количество" error="минимальное количество для заказа = 64" sqref="M2655">
      <formula1>64</formula1>
      <formula2>1605</formula2>
    </dataValidation>
    <dataValidation type="decimal" operator="equal" allowBlank="1" showErrorMessage="1" errorTitle="Не нужно менять минимальное количество для заказа:" error="минимальное количество для заказа = 30" sqref="K38 K175:K176 K313 K316 K473:K474 K583:K587 K608 K742 K1037:K1040 K1057:K1061 K1063 K1069 K1074:K1080 K1082 K1097:K1101 K1104:K1106 K1277 K1347 K1349 K1400:K1401 K1403:K1404 K1406:K1407 K1409:K1410 K1412 K1417 K1419:K1420 K1422:K1423 K1427:K1430 K1462:K1463 K1477 K1487 K1500:K1501 K1528 K3391:K3393 K3459 K3461:K3462 K3476 K3621 K3623:K3627 K3630:K3632 K3635 K3637:K3639 K3642 K3645:K3647 K3649:K3652 K3654:K3657 K3659:K3660 K3996">
      <formula1>30</formula1>
    </dataValidation>
    <dataValidation type="decimal" allowBlank="1" showErrorMessage="1" errorTitle="Неверно указано Количество" error="минимальное количество для заказа = 32" sqref="M288">
      <formula1>32</formula1>
      <formula2>65</formula2>
    </dataValidation>
    <dataValidation type="decimal" operator="equal" allowBlank="1" showErrorMessage="1" errorTitle="Не нужно менять минимальное количество для заказа:" error="минимальное количество для заказа = 25" sqref="K23:K24 K118 K270 K507 K852 K885 K1009 K1012 K1041:K1043 K1062 K1128:K1129 K1145:K1146 K1384">
      <formula1>25</formula1>
    </dataValidation>
    <dataValidation type="decimal" allowBlank="1" showErrorMessage="1" errorTitle="Неверно указано Количество" error="минимальное количество для заказа = 7" sqref="M3255">
      <formula1>7</formula1>
      <formula2>222</formula2>
    </dataValidation>
    <dataValidation type="decimal" allowBlank="1" showErrorMessage="1" errorTitle="Неверно указано Количество" error="минимальное количество для заказа = 24" sqref="M806">
      <formula1>24</formula1>
      <formula2>166</formula2>
    </dataValidation>
    <dataValidation type="decimal" allowBlank="1" showErrorMessage="1" errorTitle="Неверно указано Количество" error="минимальное количество для заказа = 1" sqref="M63 M66">
      <formula1>1</formula1>
      <formula2>120</formula2>
    </dataValidation>
    <dataValidation type="decimal" allowBlank="1" showErrorMessage="1" errorTitle="Неверно указано Количество" error="минимальное количество для заказа = 1" sqref="M50 M54 M69 M92 M128 M168 M183 M204 M219 M221 M225 M240 M248 M258 M527 M542 M625 M654 M857 M942 M973 M979 M1036 M1315 M1380 M1425 M1595 M1605 M1773 M1807 M1998 M2036 M2053 M2118:M2119 M2224:M2225 M2313 M2323 M2369 M2383 M2416 M2430 M2442 M2485 M2558 M2582:M2584 M2729 M2781 M2911 M2918 M2959 M2978 M2985 M3126 M3176 M3256 M3261 M3268:M3269 M3283 M3323 M3558 M3564 M3567 M3569 M3599:M3600 M3603 M3606 M3613:M3614 M4572 M4574:M4576 M4578 M4586">
      <formula1>1</formula1>
      <formula2>1</formula2>
    </dataValidation>
    <dataValidation type="decimal" allowBlank="1" showErrorMessage="1" errorTitle="Неверно указано Количество" error="минимальное количество для заказа = 80" sqref="M3420">
      <formula1>80</formula1>
      <formula2>1919</formula2>
    </dataValidation>
    <dataValidation type="decimal" allowBlank="1" showErrorMessage="1" errorTitle="Неверно указано Количество" error="минимальное количество для заказа = 25" sqref="M24">
      <formula1>25</formula1>
      <formula2>400</formula2>
    </dataValidation>
    <dataValidation type="decimal" allowBlank="1" showErrorMessage="1" errorTitle="Неверно указано Количество" error="минимальное количество для заказа = 12" sqref="M443 M771 M843 M881 M910 M2457 M2459 M2466 M2468 M2825 M4522">
      <formula1>12</formula1>
      <formula2>12</formula2>
    </dataValidation>
    <dataValidation type="decimal" allowBlank="1" showErrorMessage="1" errorTitle="Неверно указано Количество" error="минимальное количество для заказа = 16" sqref="M2917">
      <formula1>16</formula1>
      <formula2>344</formula2>
    </dataValidation>
    <dataValidation type="decimal" allowBlank="1" showErrorMessage="1" errorTitle="Неверно указано Количество" error="минимальное количество для заказа = 3" sqref="M1668">
      <formula1>3</formula1>
      <formula2>240</formula2>
    </dataValidation>
    <dataValidation type="decimal" allowBlank="1" showErrorMessage="1" errorTitle="Неверно указано Количество" error="минимальное количество для заказа = 5" sqref="M409">
      <formula1>5</formula1>
      <formula2>60</formula2>
    </dataValidation>
    <dataValidation type="decimal" allowBlank="1" showErrorMessage="1" errorTitle="Неверно указано Количество" error="минимальное количество для заказа = 10" sqref="M1672">
      <formula1>10</formula1>
      <formula2>133</formula2>
    </dataValidation>
    <dataValidation type="decimal" allowBlank="1" showErrorMessage="1" errorTitle="Неверно указано Количество" error="минимальное количество для заказа = 1" sqref="M59">
      <formula1>1</formula1>
      <formula2>203</formula2>
    </dataValidation>
    <dataValidation type="decimal" allowBlank="1" showErrorMessage="1" errorTitle="Неверно указано Количество" error="минимальное количество для заказа = 10" sqref="M1019">
      <formula1>10</formula1>
      <formula2>380</formula2>
    </dataValidation>
    <dataValidation type="decimal" allowBlank="1" showErrorMessage="1" errorTitle="Неверно указано Количество" error="минимальное количество для заказа = 100" sqref="M4147">
      <formula1>100</formula1>
      <formula2>3275</formula2>
    </dataValidation>
    <dataValidation type="decimal" allowBlank="1" showErrorMessage="1" errorTitle="Неверно указано Количество" error="минимальное количество для заказа = 3" sqref="M1919">
      <formula1>3</formula1>
      <formula2>108</formula2>
    </dataValidation>
    <dataValidation type="decimal" operator="equal" allowBlank="1" showErrorMessage="1" errorTitle="Не нужно менять минимальное количество для заказа:" error="минимальное количество для заказа = 12" sqref="K26 K42 K48 K60 K116 K126 K130:K131 K133 K393:K394 K404:K405 K443:K445 K447:K453 K459:K460 K471 K481 K483:K486 K530:K531 K651:K653 K655:K657 K665 K672:K674 K689:K690 K745 K767:K768 K771:K773 K780 K782 K789 K794 K799:K800 K808:K810 K812 K819 K826 K831 K834 K836 K838 K843 K846 K849 K854 K879 K881:K883 K888 K910:K911 K913:K916 K940:K941 K971:K972 K974:K977 K1172:K1174 K1236 K2449:K2461 K2465:K2474 K2612:K2617 K2801:K2822 K2824:K2827 K3437 K4522:K4523">
      <formula1>12</formula1>
    </dataValidation>
    <dataValidation type="decimal" allowBlank="1" showErrorMessage="1" errorTitle="Неверно указано Количество" error="минимальное количество для заказа = 3" sqref="M358">
      <formula1>3</formula1>
      <formula2>20</formula2>
    </dataValidation>
    <dataValidation type="decimal" allowBlank="1" showErrorMessage="1" errorTitle="Неверно указано Количество" error="минимальное количество для заказа = 1" sqref="M27 M224 M2578">
      <formula1>1</formula1>
      <formula2>14</formula2>
    </dataValidation>
    <dataValidation type="decimal" operator="equal" allowBlank="1" showErrorMessage="1" errorTitle="Не нужно менять минимальное количество для заказа:" error="минимальное количество для заказа = 16" sqref="K30 K41 K939 K980 K1215:K1224 K1226:K1227 K1229 K1240:K1248 K1251:K1258 K2605 K2625:K2628 K2657 K2907:K2910 K2912:K2915 K2917">
      <formula1>16</formula1>
    </dataValidation>
    <dataValidation type="decimal" allowBlank="1" showErrorMessage="1" errorTitle="Неверно указано Количество" error="минимальное количество для заказа = 80" sqref="M339">
      <formula1>80</formula1>
      <formula2>310</formula2>
    </dataValidation>
    <dataValidation type="decimal" allowBlank="1" showErrorMessage="1" errorTitle="Неверно указано Количество" error="минимальное количество для заказа = 48" sqref="M396">
      <formula1>48</formula1>
      <formula2>3692</formula2>
    </dataValidation>
    <dataValidation type="decimal" allowBlank="1" showErrorMessage="1" errorTitle="Неверно указано Количество" error="минимальное количество для заказа = 20" sqref="M1210">
      <formula1>20</formula1>
      <formula2>1410</formula2>
    </dataValidation>
    <dataValidation type="decimal" allowBlank="1" showErrorMessage="1" errorTitle="Неверно указано Количество" error="минимальное количество для заказа = 20" sqref="M31">
      <formula1>20</formula1>
      <formula2>420</formula2>
    </dataValidation>
    <dataValidation type="decimal" allowBlank="1" showErrorMessage="1" errorTitle="Неверно указано Количество" error="минимальное количество для заказа = 20" sqref="M32 M267">
      <formula1>20</formula1>
      <formula2>120</formula2>
    </dataValidation>
    <dataValidation type="decimal" operator="equal" allowBlank="1" showErrorMessage="1" errorTitle="Не нужно менять минимальное количество для заказа:" error="минимальное количество для заказа = 140" sqref="K274 K3912:K3917 K3919:K3924 K3926:K3930 K3942:K3945 K3947:K3950 K4002:K4005 K4007:K4012 K4015 K4018 K4020:K4023 K4052:K4057 K4059:K4064 K4067:K4071 K4073:K4076 K4079 K4081:K4086">
      <formula1>140</formula1>
    </dataValidation>
    <dataValidation type="decimal" allowBlank="1" showErrorMessage="1" errorTitle="Неверно указано Количество" error="минимальное количество для заказа = 3" sqref="M34 M1360">
      <formula1>3</formula1>
      <formula2>30</formula2>
    </dataValidation>
    <dataValidation type="decimal" allowBlank="1" showErrorMessage="1" errorTitle="Неверно указано Количество" error="минимальное количество для заказа = 30" sqref="M1477">
      <formula1>30</formula1>
      <formula2>689</formula2>
    </dataValidation>
    <dataValidation type="decimal" allowBlank="1" showErrorMessage="1" errorTitle="Неверно указано Количество" error="минимальное количество для заказа = 1" sqref="M36 M182 M249 M326 M2404 M2874">
      <formula1>1</formula1>
      <formula2>5</formula2>
    </dataValidation>
    <dataValidation type="decimal" allowBlank="1" showErrorMessage="1" errorTitle="Неверно указано Количество" error="минимальное количество для заказа = 150" sqref="M333">
      <formula1>150</formula1>
      <formula2>420</formula2>
    </dataValidation>
    <dataValidation type="decimal" allowBlank="1" showErrorMessage="1" errorTitle="Неверно указано Количество" error="минимальное количество для заказа = 80" sqref="M4372">
      <formula1>80</formula1>
      <formula2>9540</formula2>
    </dataValidation>
    <dataValidation type="decimal" allowBlank="1" showErrorMessage="1" errorTitle="Неверно указано Количество" error="минимальное количество для заказа = 30" sqref="M3639">
      <formula1>30</formula1>
      <formula2>555</formula2>
    </dataValidation>
    <dataValidation type="decimal" allowBlank="1" showErrorMessage="1" errorTitle="Неверно указано Количество" error="минимальное количество для заказа = 6" sqref="M2746">
      <formula1>6</formula1>
      <formula2>366</formula2>
    </dataValidation>
    <dataValidation type="decimal" allowBlank="1" showErrorMessage="1" errorTitle="Неверно указано Количество" error="минимальное количество для заказа = 1" sqref="M37 M91 M132 M135 M220 M2877 M3265 M3273">
      <formula1>1</formula1>
      <formula2>3</formula2>
    </dataValidation>
    <dataValidation type="decimal" allowBlank="1" showErrorMessage="1" errorTitle="Неверно указано Количество" error="минимальное количество для заказа = 5" sqref="M363">
      <formula1>5</formula1>
      <formula2>11</formula2>
    </dataValidation>
    <dataValidation type="decimal" allowBlank="1" showErrorMessage="1" errorTitle="Неверно указано Количество" error="минимальное количество для заказа = 80" sqref="M4390">
      <formula1>80</formula1>
      <formula2>2040</formula2>
    </dataValidation>
    <dataValidation type="decimal" allowBlank="1" showErrorMessage="1" errorTitle="Неверно указано Количество" error="минимальное количество для заказа = 30" sqref="M38">
      <formula1>30</formula1>
      <formula2>107</formula2>
    </dataValidation>
    <dataValidation type="decimal" operator="greaterThanOrEqual" allowBlank="1" showErrorMessage="1" errorTitle="Нельзя заказать меньше чем :" error="минимальное количество для заказа = 1" sqref="M39 M129 M152 M376 M522 M524 M538:M539 M717:M720 M728 M732 M867 M901 M1127 M1553 M1648:M1651 M2098 M2400:M2401 M2875:M2876 M2990:M2991 M2993:M2994 M3271 M3364:M3365 M4348 M4584:M4585">
      <formula1>1</formula1>
    </dataValidation>
    <dataValidation type="decimal" allowBlank="1" showErrorMessage="1" errorTitle="Неверно указано Количество" error="минимальное количество для заказа = 16" sqref="M41">
      <formula1>16</formula1>
      <formula2>164</formula2>
    </dataValidation>
    <dataValidation type="decimal" operator="equal" allowBlank="1" showErrorMessage="1" errorTitle="Не нужно менять минимальное количество для заказа:" error="минимальное количество для заказа = 150" sqref="K124 K280 K332:K333 K3954 K3965 K3973:K3974 K3984:K3985 K3991 K4026">
      <formula1>150</formula1>
    </dataValidation>
    <dataValidation type="decimal" allowBlank="1" showErrorMessage="1" errorTitle="Неверно указано Количество" error="минимальное количество для заказа = 1" sqref="M53">
      <formula1>1</formula1>
      <formula2>163</formula2>
    </dataValidation>
    <dataValidation type="decimal" allowBlank="1" showErrorMessage="1" errorTitle="Неверно указано Количество" error="минимальное количество для заказа = 2" sqref="M57 M229">
      <formula1>2</formula1>
      <formula2>9</formula2>
    </dataValidation>
    <dataValidation type="decimal" allowBlank="1" showErrorMessage="1" errorTitle="Неверно указано Количество" error="минимальное количество для заказа = 240" sqref="M3699 M3774 M3785">
      <formula1>240</formula1>
      <formula2>240</formula2>
    </dataValidation>
    <dataValidation type="decimal" allowBlank="1" showErrorMessage="1" errorTitle="Неверно указано Количество" error="минимальное количество для заказа = 24" sqref="M664">
      <formula1>24</formula1>
      <formula2>84</formula2>
    </dataValidation>
    <dataValidation type="decimal" allowBlank="1" showErrorMessage="1" errorTitle="Неверно указано Количество" error="минимальное количество для заказа = 1" sqref="M201">
      <formula1>1</formula1>
      <formula2>47</formula2>
    </dataValidation>
    <dataValidation type="decimal" allowBlank="1" showErrorMessage="1" errorTitle="Неверно указано Количество" error="минимальное количество для заказа = 3" sqref="M3110">
      <formula1>3</formula1>
      <formula2>15</formula2>
    </dataValidation>
    <dataValidation type="decimal" allowBlank="1" showErrorMessage="1" errorTitle="Неверно указано Количество" error="минимальное количество для заказа = 1" sqref="M58 M100 M859 M990 M993:M999">
      <formula1>1</formula1>
      <formula2>8</formula2>
    </dataValidation>
    <dataValidation type="decimal" allowBlank="1" showErrorMessage="1" errorTitle="Неверно указано Количество" error="минимальное количество для заказа = 250" sqref="M271">
      <formula1>250</formula1>
      <formula2>6625</formula2>
    </dataValidation>
    <dataValidation type="decimal" allowBlank="1" showErrorMessage="1" errorTitle="Неверно указано Количество" error="минимальное количество для заказа = 40" sqref="M3546">
      <formula1>40</formula1>
      <formula2>1888</formula2>
    </dataValidation>
    <dataValidation type="decimal" allowBlank="1" showErrorMessage="1" errorTitle="Неверно указано Количество" error="минимальное количество для заказа = 1" sqref="M62 M79 M93 M170 M198 M320 M482 M1000:M1003">
      <formula1>1</formula1>
      <formula2>4</formula2>
    </dataValidation>
    <dataValidation type="decimal" allowBlank="1" showErrorMessage="1" errorTitle="Неверно указано Количество" error="минимальное количество для заказа = 2" sqref="M64">
      <formula1>2</formula1>
      <formula2>884</formula2>
    </dataValidation>
    <dataValidation type="decimal" allowBlank="1" showErrorMessage="1" errorTitle="Неверно указано Количество" error="минимальное количество для заказа = 1" sqref="M68">
      <formula1>1</formula1>
      <formula2>19</formula2>
    </dataValidation>
    <dataValidation type="decimal" allowBlank="1" showErrorMessage="1" errorTitle="Неверно указано Количество" error="минимальное количество для заказа = 1" sqref="M245">
      <formula1>1</formula1>
      <formula2>239</formula2>
    </dataValidation>
    <dataValidation type="decimal" allowBlank="1" showErrorMessage="1" errorTitle="Неверно указано Количество" error="минимальное количество для заказа = 80" sqref="M4404">
      <formula1>80</formula1>
      <formula2>2690</formula2>
    </dataValidation>
    <dataValidation type="decimal" allowBlank="1" showErrorMessage="1" errorTitle="Неверно указано Количество" error="минимальное количество для заказа = 4" sqref="M70">
      <formula1>4</formula1>
      <formula2>19</formula2>
    </dataValidation>
    <dataValidation type="decimal" allowBlank="1" showErrorMessage="1" errorTitle="Неверно указано Количество" error="минимальное количество для заказа = 1" sqref="M71 M146">
      <formula1>1</formula1>
      <formula2>38</formula2>
    </dataValidation>
    <dataValidation type="decimal" allowBlank="1" showErrorMessage="1" errorTitle="Неверно указано Количество" error="минимальное количество для заказа = 20" sqref="M1191">
      <formula1>20</formula1>
      <formula2>2874</formula2>
    </dataValidation>
    <dataValidation type="decimal" allowBlank="1" showErrorMessage="1" errorTitle="Неверно указано Количество" error="минимальное количество для заказа = 20" sqref="M687">
      <formula1>20</formula1>
      <formula2>3216</formula2>
    </dataValidation>
    <dataValidation type="decimal" allowBlank="1" showErrorMessage="1" errorTitle="Неверно указано Количество" error="минимальное количество для заказа = 2" sqref="M72 M1013 M1587 M1597 M2051 M2163 M2197 M2668 M2743 M2916 M2933 M2960 M3021 M3358 M3578 M3604 M4571">
      <formula1>2</formula1>
      <formula2>2</formula2>
    </dataValidation>
    <dataValidation type="decimal" allowBlank="1" showErrorMessage="1" errorTitle="Неверно указано Количество" error="минимальное количество для заказа = 120" sqref="M275">
      <formula1>120</formula1>
      <formula2>120</formula2>
    </dataValidation>
    <dataValidation type="decimal" allowBlank="1" showErrorMessage="1" errorTitle="Неверно указано Количество" error="минимальное количество для заказа = 1" sqref="M73 M239">
      <formula1>1</formula1>
      <formula2>45</formula2>
    </dataValidation>
    <dataValidation type="decimal" allowBlank="1" showErrorMessage="1" errorTitle="Неверно указано Количество" error="минимальное количество для заказа = 1" sqref="M294">
      <formula1>1</formula1>
      <formula2>135</formula2>
    </dataValidation>
    <dataValidation type="decimal" allowBlank="1" showErrorMessage="1" errorTitle="Неверно указано Количество" error="минимальное количество для заказа = 1" sqref="M74">
      <formula1>1</formula1>
      <formula2>34</formula2>
    </dataValidation>
    <dataValidation type="decimal" allowBlank="1" showErrorMessage="1" errorTitle="Неверно указано Количество" error="минимальное количество для заказа = 14" sqref="M1033">
      <formula1>14</formula1>
      <formula2>1020</formula2>
    </dataValidation>
    <dataValidation type="decimal" allowBlank="1" showErrorMessage="1" errorTitle="Неверно указано Количество" error="минимальное количество для заказа = 100" sqref="M4137">
      <formula1>100</formula1>
      <formula2>2530</formula2>
    </dataValidation>
    <dataValidation type="decimal" allowBlank="1" showErrorMessage="1" errorTitle="Неверно указано Количество" error="минимальное количество для заказа = 1" sqref="M76">
      <formula1>1</formula1>
      <formula2>16</formula2>
    </dataValidation>
    <dataValidation type="decimal" allowBlank="1" showErrorMessage="1" errorTitle="Неверно указано Количество" error="минимальное количество для заказа = 16" sqref="M1217">
      <formula1>16</formula1>
      <formula2>4572</formula2>
    </dataValidation>
    <dataValidation type="decimal" allowBlank="1" showErrorMessage="1" errorTitle="Неверно указано Количество" error="минимальное количество для заказа = 1" sqref="M548">
      <formula1>1</formula1>
      <formula2>234</formula2>
    </dataValidation>
    <dataValidation type="decimal" allowBlank="1" showErrorMessage="1" errorTitle="Неверно указано Количество" error="минимальное количество для заказа = 10" sqref="M2889">
      <formula1>10</formula1>
      <formula2>617</formula2>
    </dataValidation>
    <dataValidation type="decimal" allowBlank="1" showErrorMessage="1" errorTitle="Неверно указано Количество" error="минимальное количество для заказа = 1" sqref="M77">
      <formula1>1</formula1>
      <formula2>588</formula2>
    </dataValidation>
    <dataValidation type="decimal" allowBlank="1" showErrorMessage="1" errorTitle="Неверно указано Количество" error="минимальное количество для заказа = 2" sqref="M892">
      <formula1>2</formula1>
      <formula2>1708</formula2>
    </dataValidation>
    <dataValidation type="decimal" allowBlank="1" showErrorMessage="1" errorTitle="Неверно указано Количество" error="минимальное количество для заказа = 20" sqref="M78">
      <formula1>20</formula1>
      <formula2>790</formula2>
    </dataValidation>
    <dataValidation type="decimal" allowBlank="1" showErrorMessage="1" errorTitle="Неверно указано Количество" error="минимальное количество для заказа = 2" sqref="M188">
      <formula1>2</formula1>
      <formula2>40</formula2>
    </dataValidation>
    <dataValidation type="decimal" allowBlank="1" showErrorMessage="1" errorTitle="Неверно указано Количество" error="минимальное количество для заказа = 1" sqref="M80">
      <formula1>1</formula1>
      <formula2>230</formula2>
    </dataValidation>
    <dataValidation type="decimal" operator="greaterThanOrEqual" allowBlank="1" showErrorMessage="1" errorTitle="Нельзя заказать меньше чем :" error="минимальное количество для заказа = 8" sqref="M82 M400 M513 M779 M827:M828 M832 M1336:M1338 M4341:M4342 M4345:M4347">
      <formula1>8</formula1>
    </dataValidation>
    <dataValidation type="decimal" allowBlank="1" showErrorMessage="1" errorTitle="Неверно указано Количество" error="минимальное количество для заказа = 1" sqref="M83">
      <formula1>1</formula1>
      <formula2>197</formula2>
    </dataValidation>
    <dataValidation type="decimal" allowBlank="1" showErrorMessage="1" errorTitle="Неверно указано Количество" error="минимальное количество для заказа = 5" sqref="M1049">
      <formula1>5</formula1>
      <formula2>613</formula2>
    </dataValidation>
    <dataValidation type="decimal" allowBlank="1" showErrorMessage="1" errorTitle="Неверно указано Количество" error="минимальное количество для заказа = 10" sqref="M517">
      <formula1>10</formula1>
      <formula2>525</formula2>
    </dataValidation>
    <dataValidation type="decimal" allowBlank="1" showErrorMessage="1" errorTitle="Неверно указано Количество" error="минимальное количество для заказа = 1" sqref="M84">
      <formula1>1</formula1>
      <formula2>29</formula2>
    </dataValidation>
    <dataValidation type="decimal" allowBlank="1" showErrorMessage="1" errorTitle="Неверно указано Количество" error="минимальное количество для заказа = 140" sqref="M4005">
      <formula1>140</formula1>
      <formula2>2330</formula2>
    </dataValidation>
    <dataValidation type="decimal" allowBlank="1" showErrorMessage="1" errorTitle="Неверно указано Количество" error="минимальное количество для заказа = 8" sqref="M85">
      <formula1>8</formula1>
      <formula2>261</formula2>
    </dataValidation>
    <dataValidation type="decimal" allowBlank="1" showErrorMessage="1" errorTitle="Неверно указано Количество" error="минимальное количество для заказа = 48" sqref="M4257">
      <formula1>48</formula1>
      <formula2>8513</formula2>
    </dataValidation>
    <dataValidation type="decimal" allowBlank="1" showErrorMessage="1" errorTitle="Неверно указано Количество" error="минимальное количество для заказа = 8" sqref="M821">
      <formula1>8</formula1>
      <formula2>1064</formula2>
    </dataValidation>
    <dataValidation type="decimal" allowBlank="1" showErrorMessage="1" errorTitle="Неверно указано Количество" error="минимальное количество для заказа = 1" sqref="M86">
      <formula1>1</formula1>
      <formula2>82</formula2>
    </dataValidation>
    <dataValidation type="decimal" allowBlank="1" showErrorMessage="1" errorTitle="Неверно указано Количество" error="минимальное количество для заказа = 7" sqref="M3257">
      <formula1>7</formula1>
      <formula2>183</formula2>
    </dataValidation>
    <dataValidation type="decimal" allowBlank="1" showErrorMessage="1" errorTitle="Неверно указано Количество" error="минимальное количество для заказа = 1" sqref="M88">
      <formula1>1</formula1>
      <formula2>400</formula2>
    </dataValidation>
    <dataValidation type="decimal" operator="greaterThanOrEqual" allowBlank="1" showErrorMessage="1" errorTitle="Нельзя заказать меньше чем :" error="минимальное количество для заказа = 30" sqref="M474 M583:M587 M742 M1037:M1040 M1057:M1061 M1063 M1406:M1407 M1410 M1420 M1427:M1430 M1462:M1463 M1487 M3645:M3646 M3649">
      <formula1>30</formula1>
    </dataValidation>
    <dataValidation type="decimal" allowBlank="1" showErrorMessage="1" errorTitle="Неверно указано Количество" error="минимальное количество для заказа = 8" sqref="M89:M90">
      <formula1>8</formula1>
      <formula2>48</formula2>
    </dataValidation>
    <dataValidation type="decimal" allowBlank="1" showErrorMessage="1" errorTitle="Неверно указано Количество" error="минимальное количество для заказа = 3" sqref="M659">
      <formula1>3</formula1>
      <formula2>906</formula2>
    </dataValidation>
    <dataValidation type="decimal" operator="equal" allowBlank="1" showErrorMessage="1" errorTitle="Не нужно менять минимальное количество для заказа:" error="минимальное количество для заказа = 6" sqref="K95 K438 K461:K462 K567:K569 K747 K777 K798 K802 K823:K824 K858 K876 K1362 K1582 K1602 K1646 K1659:K1661 K1685:K1686 K1775:K1782 K1784 K1793:K1795 K1797:K1800 K1802:K1806 K1808:K1812 K1835:K1836 K1838:K1841 K1843:K1846 K1953:K1959 K2010 K2133:K2136 K2507 K2509 K2511:K2512 K2514 K2516:K2517 K2519:K2520 K2522:K2523 K2529 K2534 K2536 K2544 K2546 K2554:K2557 K2559 K2561:K2562 K2564 K2731:K2738 K2740:K2742 K2744 K2746:K2747 K2957:K2958 K3042:K3046 K3114 K3341:K3346 K3475 K4294">
      <formula1>6</formula1>
    </dataValidation>
    <dataValidation type="decimal" allowBlank="1" showErrorMessage="1" errorTitle="Неверно указано Количество" error="минимальное количество для заказа = 6" sqref="M1794">
      <formula1>6</formula1>
      <formula2>376</formula2>
    </dataValidation>
    <dataValidation type="decimal" allowBlank="1" showErrorMessage="1" errorTitle="Неверно указано Количество" error="минимальное количество для заказа = 6" sqref="M95 M2512 M2516 M2529">
      <formula1>6</formula1>
      <formula2>24</formula2>
    </dataValidation>
    <dataValidation type="decimal" allowBlank="1" showErrorMessage="1" errorTitle="Неверно указано Количество" error="минимальное количество для заказа = 24" sqref="M708">
      <formula1>24</formula1>
      <formula2>1800</formula2>
    </dataValidation>
    <dataValidation type="decimal" allowBlank="1" showErrorMessage="1" errorTitle="Неверно указано Количество" error="минимальное количество для заказа = 3" sqref="M96 M2587 M3103">
      <formula1>3</formula1>
      <formula2>5</formula2>
    </dataValidation>
    <dataValidation type="decimal" allowBlank="1" showErrorMessage="1" errorTitle="Неверно указано Количество" error="минимальное количество для заказа = 1" sqref="M237">
      <formula1>1</formula1>
      <formula2>87</formula2>
    </dataValidation>
    <dataValidation type="decimal" allowBlank="1" showErrorMessage="1" errorTitle="Неверно указано Количество" error="минимальное количество для заказа = 1" sqref="M97 M184 M2429">
      <formula1>1</formula1>
      <formula2>48</formula2>
    </dataValidation>
    <dataValidation type="decimal" allowBlank="1" showErrorMessage="1" errorTitle="Неверно указано Количество" error="минимальное количество для заказа = 24" sqref="M98">
      <formula1>24</formula1>
      <formula2>48</formula2>
    </dataValidation>
    <dataValidation type="decimal" allowBlank="1" showErrorMessage="1" errorTitle="Неверно указано Количество" error="минимальное количество для заказа = 5" sqref="M2264">
      <formula1>5</formula1>
      <formula2>74</formula2>
    </dataValidation>
    <dataValidation type="decimal" operator="equal" allowBlank="1" showErrorMessage="1" errorTitle="Не нужно менять минимальное количество для заказа:" error="минимальное количество для заказа = 180" sqref="K595">
      <formula1>180</formula1>
    </dataValidation>
    <dataValidation type="decimal" allowBlank="1" showErrorMessage="1" errorTitle="Неверно указано Количество" error="минимальное количество для заказа = 4" sqref="M1580 M3582">
      <formula1>4</formula1>
      <formula2>8</formula2>
    </dataValidation>
    <dataValidation type="decimal" operator="equal" allowBlank="1" showErrorMessage="1" errorTitle="Не нужно менять минимальное количество для заказа:" error="минимальное количество для заказа = 40" sqref="K99 K321 K683 K685:K686 K1067:K1068 K1070:K1071 K1109:K1110 K1112:K1113 K1116:K1118 K1122 K1386 K1388:K1389 K1391 K2477:K2480 K2594 K2630 K2674:K2688 K3117 K3119 K3121:K3122 K3451 K3453 K3464 K3466 K3478:K3479 K3542 K3544:K3546 K3619 K3795 K3800 K3977">
      <formula1>40</formula1>
    </dataValidation>
    <dataValidation type="decimal" allowBlank="1" showErrorMessage="1" errorTitle="Неверно указано Количество" error="минимальное количество для заказа = 2" sqref="M730">
      <formula1>2</formula1>
      <formula2>147</formula2>
    </dataValidation>
    <dataValidation type="decimal" allowBlank="1" showErrorMessage="1" errorTitle="Неверно указано Количество" error="минимальное количество для заказа = 2" sqref="M1991">
      <formula1>2</formula1>
      <formula2>470</formula2>
    </dataValidation>
    <dataValidation type="decimal" allowBlank="1" showErrorMessage="1" errorTitle="Неверно указано Количество" error="минимальное количество для заказа = 2" sqref="M714">
      <formula1>2</formula1>
      <formula2>2237</formula2>
    </dataValidation>
    <dataValidation type="decimal" allowBlank="1" showErrorMessage="1" errorTitle="Неверно указано Количество" error="минимальное количество для заказа = 40" sqref="M99">
      <formula1>40</formula1>
      <formula2>50</formula2>
    </dataValidation>
    <dataValidation type="decimal" allowBlank="1" showErrorMessage="1" errorTitle="Неверно указано Количество" error="минимальное количество для заказа = 3" sqref="M1874 M2170">
      <formula1>3</formula1>
      <formula2>86</formula2>
    </dataValidation>
    <dataValidation type="decimal" allowBlank="1" showErrorMessage="1" errorTitle="Неверно указано Количество" error="минимальное количество для заказа = 1" sqref="M101 M2309">
      <formula1>1</formula1>
      <formula2>216</formula2>
    </dataValidation>
    <dataValidation type="decimal" allowBlank="1" showErrorMessage="1" errorTitle="Неверно указано Количество" error="минимальное количество для заказа = 18" sqref="M937">
      <formula1>18</formula1>
      <formula2>25</formula2>
    </dataValidation>
    <dataValidation type="decimal" allowBlank="1" showErrorMessage="1" errorTitle="Неверно указано Количество" error="минимальное количество для заказа = 1" sqref="M102">
      <formula1>1</formula1>
      <formula2>211</formula2>
    </dataValidation>
    <dataValidation type="decimal" allowBlank="1" showErrorMessage="1" errorTitle="Неверно указано Количество" error="минимальное количество для заказа = 1" sqref="M194 M202 M234">
      <formula1>1</formula1>
      <formula2>11</formula2>
    </dataValidation>
    <dataValidation type="decimal" allowBlank="1" showErrorMessage="1" errorTitle="Неверно указано Количество" error="минимальное количество для заказа = 1" sqref="M104">
      <formula1>1</formula1>
      <formula2>326</formula2>
    </dataValidation>
    <dataValidation type="decimal" allowBlank="1" showErrorMessage="1" errorTitle="Неверно указано Количество" error="минимальное количество для заказа = 2" sqref="M989 M991:M992">
      <formula1>2</formula1>
      <formula2>8</formula2>
    </dataValidation>
    <dataValidation type="decimal" allowBlank="1" showErrorMessage="1" errorTitle="Неверно указано Количество" error="минимальное количество для заказа = 4" sqref="M2793">
      <formula1>4</formula1>
      <formula2>380</formula2>
    </dataValidation>
    <dataValidation type="decimal" allowBlank="1" showErrorMessage="1" errorTitle="Неверно указано Количество" error="минимальное количество для заказа = 10" sqref="M962">
      <formula1>10</formula1>
      <formula2>2084</formula2>
    </dataValidation>
    <dataValidation type="decimal" allowBlank="1" showErrorMessage="1" errorTitle="Неверно указано Количество" error="минимальное количество для заказа = 1" sqref="M199 M227 M2374 M3264">
      <formula1>1</formula1>
      <formula2>42</formula2>
    </dataValidation>
    <dataValidation type="decimal" allowBlank="1" showErrorMessage="1" errorTitle="Неверно указано Количество" error="минимальное количество для заказа = 240" sqref="M3886">
      <formula1>240</formula1>
      <formula2>6967</formula2>
    </dataValidation>
    <dataValidation type="decimal" allowBlank="1" showErrorMessage="1" errorTitle="Неверно указано Количество" error="минимальное количество для заказа = 12" sqref="M2801">
      <formula1>12</formula1>
      <formula2>379</formula2>
    </dataValidation>
    <dataValidation type="decimal" allowBlank="1" showErrorMessage="1" errorTitle="Неверно указано Количество" error="минимальное количество для заказа = 1" sqref="M147">
      <formula1>1</formula1>
      <formula2>200</formula2>
    </dataValidation>
    <dataValidation type="decimal" allowBlank="1" showErrorMessage="1" errorTitle="Неверно указано Количество" error="минимальное количество для заказа = 24" sqref="M403">
      <formula1>24</formula1>
      <formula2>8879</formula2>
    </dataValidation>
    <dataValidation type="decimal" allowBlank="1" showErrorMessage="1" errorTitle="Неверно указано Количество" error="минимальное количество для заказа = 4" sqref="M3570">
      <formula1>4</formula1>
      <formula2>969</formula2>
    </dataValidation>
    <dataValidation type="decimal" allowBlank="1" showErrorMessage="1" errorTitle="Неверно указано Количество" error="минимальное количество для заказа = 16" sqref="M2912">
      <formula1>16</formula1>
      <formula2>538</formula2>
    </dataValidation>
    <dataValidation type="decimal" allowBlank="1" showErrorMessage="1" errorTitle="Неверно указано Количество" error="минимальное количество для заказа = 2" sqref="M107 M197 M243">
      <formula1>2</formula1>
      <formula2>10</formula2>
    </dataValidation>
    <dataValidation type="decimal" allowBlank="1" showErrorMessage="1" errorTitle="Неверно указано Количество" error="минимальное количество для заказа = 3" sqref="M190">
      <formula1>3</formula1>
      <formula2>321</formula2>
    </dataValidation>
    <dataValidation type="decimal" allowBlank="1" showErrorMessage="1" errorTitle="Неверно указано Количество" error="минимальное количество для заказа = 6" sqref="M438">
      <formula1>6</formula1>
      <formula2>1127</formula2>
    </dataValidation>
    <dataValidation type="decimal" allowBlank="1" showErrorMessage="1" errorTitle="Неверно указано Количество" error="минимальное количество для заказа = 1" sqref="M109 M203 M232 M238 M1994">
      <formula1>1</formula1>
      <formula2>50</formula2>
    </dataValidation>
    <dataValidation type="decimal" allowBlank="1" showErrorMessage="1" errorTitle="Неверно указано Количество" error="минимальное количество для заказа = 1" sqref="M920">
      <formula1>1</formula1>
      <formula2>610</formula2>
    </dataValidation>
    <dataValidation type="decimal" allowBlank="1" showErrorMessage="1" errorTitle="Неверно указано Количество" error="минимальное количество для заказа = 100" sqref="M4127">
      <formula1>100</formula1>
      <formula2>2635</formula2>
    </dataValidation>
    <dataValidation type="decimal" allowBlank="1" showErrorMessage="1" errorTitle="Неверно указано Количество" error="минимальное количество для заказа = 10" sqref="M111">
      <formula1>10</formula1>
      <formula2>15</formula2>
    </dataValidation>
    <dataValidation type="decimal" allowBlank="1" showErrorMessage="1" errorTitle="Неверно указано Количество" error="минимальное количество для заказа = 24" sqref="M112">
      <formula1>24</formula1>
      <formula2>5423</formula2>
    </dataValidation>
    <dataValidation type="decimal" allowBlank="1" showErrorMessage="1" errorTitle="Неверно указано Количество" error="минимальное количество для заказа = 12" sqref="M916">
      <formula1>12</formula1>
      <formula2>4522</formula2>
    </dataValidation>
    <dataValidation type="decimal" allowBlank="1" showErrorMessage="1" errorTitle="Неверно указано Количество" error="минимальное количество для заказа = 15" sqref="M2663">
      <formula1>15</formula1>
      <formula2>329</formula2>
    </dataValidation>
    <dataValidation type="decimal" allowBlank="1" showErrorMessage="1" errorTitle="Неверно указано Количество" error="минимальное количество для заказа = 4" sqref="M114">
      <formula1>4</formula1>
      <formula2>2281</formula2>
    </dataValidation>
    <dataValidation type="decimal" allowBlank="1" showErrorMessage="1" errorTitle="Неверно указано Количество" error="минимальное количество для заказа = 12" sqref="M116">
      <formula1>12</formula1>
      <formula2>720</formula2>
    </dataValidation>
    <dataValidation type="decimal" allowBlank="1" showErrorMessage="1" errorTitle="Неверно указано Количество" error="минимальное количество для заказа = 12" sqref="M653">
      <formula1>12</formula1>
      <formula2>4500</formula2>
    </dataValidation>
    <dataValidation type="decimal" allowBlank="1" showErrorMessage="1" errorTitle="Неверно указано Количество" error="минимальное количество для заказа = 15" sqref="M2932">
      <formula1>15</formula1>
      <formula2>647</formula2>
    </dataValidation>
    <dataValidation type="decimal" allowBlank="1" showErrorMessage="1" errorTitle="Неверно указано Количество" error="минимальное количество для заказа = 4" sqref="M1578">
      <formula1>4</formula1>
      <formula2>79</formula2>
    </dataValidation>
    <dataValidation type="decimal" allowBlank="1" showErrorMessage="1" errorTitle="Неверно указано Количество" error="минимальное количество для заказа = 20" sqref="M469">
      <formula1>20</formula1>
      <formula2>24</formula2>
    </dataValidation>
    <dataValidation type="decimal" allowBlank="1" showErrorMessage="1" errorTitle="Неверно указано Количество" error="минимальное количество для заказа = 80" sqref="M284">
      <formula1>80</formula1>
      <formula2>360</formula2>
    </dataValidation>
    <dataValidation type="decimal" allowBlank="1" showErrorMessage="1" errorTitle="Неверно указано Количество" error="минимальное количество для заказа = 25" sqref="M118">
      <formula1>25</formula1>
      <formula2>220</formula2>
    </dataValidation>
    <dataValidation type="decimal" allowBlank="1" showErrorMessage="1" errorTitle="Неверно указано Количество" error="минимальное количество для заказа = 3" sqref="M122 M189">
      <formula1>3</formula1>
      <formula2>111</formula2>
    </dataValidation>
    <dataValidation type="decimal" allowBlank="1" showErrorMessage="1" errorTitle="Неверно указано Количество" error="минимальное количество для заказа = 2" sqref="M120">
      <formula1>2</formula1>
      <formula2>120</formula2>
    </dataValidation>
    <dataValidation type="decimal" allowBlank="1" showErrorMessage="1" errorTitle="Неверно указано Количество" error="минимальное количество для заказа = 1" sqref="M121 M233">
      <formula1>1</formula1>
      <formula2>22</formula2>
    </dataValidation>
    <dataValidation type="decimal" allowBlank="1" showErrorMessage="1" errorTitle="Неверно указано Количество" error="минимальное количество для заказа = 150" sqref="M124">
      <formula1>150</formula1>
      <formula2>564</formula2>
    </dataValidation>
    <dataValidation type="decimal" allowBlank="1" showErrorMessage="1" errorTitle="Неверно указано Количество" error="минимальное количество для заказа = 250" sqref="M3868">
      <formula1>250</formula1>
      <formula2>13866</formula2>
    </dataValidation>
    <dataValidation type="decimal" allowBlank="1" showErrorMessage="1" errorTitle="Неверно указано Количество" error="минимальное количество для заказа = 240" sqref="M3788">
      <formula1>240</formula1>
      <formula2>3100</formula2>
    </dataValidation>
    <dataValidation type="decimal" operator="equal" allowBlank="1" showErrorMessage="1" errorTitle="Не нужно менять минимальное количество для заказа:" error="минимальное количество для заказа = 72" sqref="K125 K418:K421 K423 K635:K637">
      <formula1>72</formula1>
    </dataValidation>
    <dataValidation type="decimal" allowBlank="1" showErrorMessage="1" errorTitle="Неверно указано Количество" error="минимальное количество для заказа = 100" sqref="M4196">
      <formula1>100</formula1>
      <formula2>6345</formula2>
    </dataValidation>
    <dataValidation type="decimal" allowBlank="1" showErrorMessage="1" errorTitle="Неверно указано Количество" error="минимальное количество для заказа = 250" sqref="M3936">
      <formula1>250</formula1>
      <formula2>15245</formula2>
    </dataValidation>
    <dataValidation type="decimal" allowBlank="1" showErrorMessage="1" errorTitle="Неверно указано Количество" error="минимальное количество для заказа = 2" sqref="M2570">
      <formula1>2</formula1>
      <formula2>611</formula2>
    </dataValidation>
    <dataValidation type="decimal" allowBlank="1" showErrorMessage="1" errorTitle="Неверно указано Количество" error="минимальное количество для заказа = 6" sqref="M802">
      <formula1>6</formula1>
      <formula2>2744</formula2>
    </dataValidation>
    <dataValidation type="decimal" allowBlank="1" showErrorMessage="1" errorTitle="Неверно указано Количество" error="минимальное количество для заказа = 72" sqref="M125">
      <formula1>72</formula1>
      <formula2>3196</formula2>
    </dataValidation>
    <dataValidation type="decimal" allowBlank="1" showErrorMessage="1" errorTitle="Неверно указано Количество" error="минимальное количество для заказа = 1" sqref="M2306">
      <formula1>1</formula1>
      <formula2>251</formula2>
    </dataValidation>
    <dataValidation type="decimal" allowBlank="1" showErrorMessage="1" errorTitle="Неверно указано Количество" error="минимальное количество для заказа = 1" sqref="M145">
      <formula1>1</formula1>
      <formula2>53</formula2>
    </dataValidation>
    <dataValidation type="decimal" allowBlank="1" showErrorMessage="1" errorTitle="Неверно указано Количество" error="минимальное количество для заказа = 12" sqref="M126">
      <formula1>12</formula1>
      <formula2>204</formula2>
    </dataValidation>
    <dataValidation type="decimal" operator="equal" allowBlank="1" showErrorMessage="1" errorTitle="Не нужно менять минимальное количество для заказа:" error="минимальное количество для заказа = 50" sqref="K127 K422 K614:K615 K619 K1192 K1379 K1393:K1396 K1435:K1440 K1442:K1444 K1447:K1448 K1450:K1455 K3384:K3386 K3388 K3396 K4272:K4276 K4283:K4288 K4298:K4302 K4304:K4313 K4330:K4331 K4333:K4337">
      <formula1>50</formula1>
    </dataValidation>
    <dataValidation type="decimal" allowBlank="1" showErrorMessage="1" errorTitle="Неверно указано Количество" error="минимальное количество для заказа = 50" sqref="M127">
      <formula1>50</formula1>
      <formula2>250</formula2>
    </dataValidation>
    <dataValidation type="decimal" allowBlank="1" showErrorMessage="1" errorTitle="Неверно указано Количество" error="минимальное количество для заказа = 1" sqref="M195 M285 M523 M1996 M2397 M2418 M2435 M3280">
      <formula1>1</formula1>
      <formula2>2</formula2>
    </dataValidation>
    <dataValidation type="decimal" allowBlank="1" showErrorMessage="1" errorTitle="Неверно указано Количество" error="минимальное количество для заказа = 12" sqref="M130">
      <formula1>12</formula1>
      <formula2>16</formula2>
    </dataValidation>
    <dataValidation type="decimal" allowBlank="1" showErrorMessage="1" errorTitle="Неверно указано Количество" error="минимальное количество для заказа = 12" sqref="M131">
      <formula1>12</formula1>
      <formula2>3362</formula2>
    </dataValidation>
    <dataValidation type="decimal" allowBlank="1" showErrorMessage="1" errorTitle="Неверно указано Количество" error="минимальное количество для заказа = 24" sqref="M645">
      <formula1>24</formula1>
      <formula2>2660</formula2>
    </dataValidation>
    <dataValidation type="decimal" allowBlank="1" showErrorMessage="1" errorTitle="Неверно указано Количество" error="минимальное количество для заказа = 32" sqref="M287">
      <formula1>32</formula1>
      <formula2>750</formula2>
    </dataValidation>
    <dataValidation type="decimal" allowBlank="1" showErrorMessage="1" errorTitle="Неверно указано Количество" error="минимальное количество для заказа = 30" sqref="M3655">
      <formula1>30</formula1>
      <formula2>2607</formula2>
    </dataValidation>
    <dataValidation type="decimal" allowBlank="1" showErrorMessage="1" errorTitle="Неверно указано Количество" error="минимальное количество для заказа = 12" sqref="M133 M913">
      <formula1>12</formula1>
      <formula2>72</formula2>
    </dataValidation>
    <dataValidation type="decimal" operator="greaterThanOrEqual" allowBlank="1" showErrorMessage="1" errorTitle="Нельзя заказать меньше чем :" error="минимальное количество для заказа = 100" sqref="M153 M633 M4117 M4189 M4206 M4209:M4210">
      <formula1>100</formula1>
    </dataValidation>
    <dataValidation type="decimal" allowBlank="1" showErrorMessage="1" errorTitle="Неверно указано Количество" error="минимальное количество для заказа = 20" sqref="M137">
      <formula1>20</formula1>
      <formula2>508</formula2>
    </dataValidation>
    <dataValidation type="decimal" allowBlank="1" showErrorMessage="1" errorTitle="Неверно указано Количество" error="минимальное количество для заказа = 48" sqref="M3522">
      <formula1>48</formula1>
      <formula2>2432</formula2>
    </dataValidation>
    <dataValidation type="decimal" allowBlank="1" showErrorMessage="1" errorTitle="Неверно указано Количество" error="минимальное количество для заказа = 10" sqref="M516">
      <formula1>10</formula1>
      <formula2>300</formula2>
    </dataValidation>
    <dataValidation type="decimal" allowBlank="1" showErrorMessage="1" errorTitle="Неверно указано Количество" error="минимальное количество для заказа = 250" sqref="M3747">
      <formula1>250</formula1>
      <formula2>15600</formula2>
    </dataValidation>
    <dataValidation type="decimal" allowBlank="1" showErrorMessage="1" errorTitle="Неверно указано Количество" error="минимальное количество для заказа = 20" sqref="M138">
      <formula1>20</formula1>
      <formula2>1476</formula2>
    </dataValidation>
    <dataValidation type="decimal" allowBlank="1" showErrorMessage="1" errorTitle="Неверно указано Количество" error="минимальное количество для заказа = 1" sqref="M139">
      <formula1>1</formula1>
      <formula2>1259</formula2>
    </dataValidation>
    <dataValidation type="decimal" allowBlank="1" showErrorMessage="1" errorTitle="Неверно указано Количество" error="минимальное количество для заказа = 10" sqref="M1028">
      <formula1>10</formula1>
      <formula2>253</formula2>
    </dataValidation>
    <dataValidation type="decimal" allowBlank="1" showErrorMessage="1" errorTitle="Неверно указано Количество" error="минимальное количество для заказа = 4" sqref="M1871">
      <formula1>4</formula1>
      <formula2>439</formula2>
    </dataValidation>
    <dataValidation type="decimal" allowBlank="1" showErrorMessage="1" errorTitle="Неверно указано Количество" error="минимальное количество для заказа = 4" sqref="M140 M1783 M3217 M3220">
      <formula1>4</formula1>
      <formula2>12</formula2>
    </dataValidation>
    <dataValidation type="decimal" allowBlank="1" showErrorMessage="1" errorTitle="Неверно указано Количество" error="минимальное количество для заказа = 1" sqref="M902">
      <formula1>1</formula1>
      <formula2>215</formula2>
    </dataValidation>
    <dataValidation type="decimal" allowBlank="1" showErrorMessage="1" errorTitle="Неверно указано Количество" error="минимальное количество для заказа = 1" sqref="M141">
      <formula1>1</formula1>
      <formula2>112</formula2>
    </dataValidation>
    <dataValidation type="decimal" allowBlank="1" showErrorMessage="1" errorTitle="Неверно указано Количество" error="минимальное количество для заказа = 160" sqref="M3978">
      <formula1>160</formula1>
      <formula2>380</formula2>
    </dataValidation>
    <dataValidation type="decimal" allowBlank="1" showErrorMessage="1" errorTitle="Неверно указано Количество" error="минимальное количество для заказа = 2" sqref="M143">
      <formula1>2</formula1>
      <formula2>65</formula2>
    </dataValidation>
    <dataValidation type="decimal" allowBlank="1" showErrorMessage="1" errorTitle="Неверно указано Количество" error="минимальное количество для заказа = 1" sqref="M895">
      <formula1>1</formula1>
      <formula2>897</formula2>
    </dataValidation>
    <dataValidation type="decimal" allowBlank="1" showErrorMessage="1" errorTitle="Неверно указано Количество" error="минимальное количество для заказа = 1" sqref="M148">
      <formula1>1</formula1>
      <formula2>168</formula2>
    </dataValidation>
    <dataValidation type="decimal" allowBlank="1" showErrorMessage="1" errorTitle="Неверно указано Количество" error="минимальное количество для заказа = 7" sqref="M2881">
      <formula1>7</formula1>
      <formula2>636</formula2>
    </dataValidation>
    <dataValidation type="decimal" allowBlank="1" showErrorMessage="1" errorTitle="Неверно указано Количество" error="минимальное количество для заказа = 1" sqref="M161 M2359">
      <formula1>1</formula1>
      <formula2>471</formula2>
    </dataValidation>
    <dataValidation type="decimal" allowBlank="1" showErrorMessage="1" errorTitle="Неверно указано Количество" error="минимальное количество для заказа = 1" sqref="M149 M218">
      <formula1>1</formula1>
      <formula2>93</formula2>
    </dataValidation>
    <dataValidation type="decimal" allowBlank="1" showErrorMessage="1" errorTitle="Неверно указано Количество" error="минимальное количество для заказа = 160" sqref="M4048">
      <formula1>160</formula1>
      <formula2>14300</formula2>
    </dataValidation>
    <dataValidation type="decimal" allowBlank="1" showErrorMessage="1" errorTitle="Неверно указано Количество" error="минимальное количество для заказа = 250" sqref="M3873">
      <formula1>250</formula1>
      <formula2>16925</formula2>
    </dataValidation>
    <dataValidation type="decimal" allowBlank="1" showErrorMessage="1" errorTitle="Неверно указано Количество" error="минимальное количество для заказа = 12" sqref="M471">
      <formula1>12</formula1>
      <formula2>3646</formula2>
    </dataValidation>
    <dataValidation type="decimal" allowBlank="1" showErrorMessage="1" errorTitle="Неверно указано Количество" error="минимальное количество для заказа = 10" sqref="M151 M279 M283">
      <formula1>10</formula1>
      <formula2>90</formula2>
    </dataValidation>
    <dataValidation type="decimal" allowBlank="1" showErrorMessage="1" errorTitle="Неверно указано Количество" error="минимальное количество для заказа = 250" sqref="M3784">
      <formula1>250</formula1>
      <formula2>3117</formula2>
    </dataValidation>
    <dataValidation type="decimal" operator="equal" allowBlank="1" showErrorMessage="1" errorTitle="Не нужно менять минимальное количество для заказа:" error="минимальное количество для заказа = 100" sqref="K153 K297 K467 K633 K4105:K4109 K4111:K4120 K4122:K4134 K4137:K4147 K4149:K4163 K4170:K4176 K4178:K4181 K4183 K4185:K4187 K4189:K4192 K4194:K4197 K4199 K4202:K4204 K4206:K4207 K4209:K4215 K4217 K4220 K4222:K4224 K4226:K4227 K4229:K4230 K4539 K4562">
      <formula1>100</formula1>
    </dataValidation>
    <dataValidation type="decimal" allowBlank="1" showErrorMessage="1" errorTitle="Неверно указано Количество" error="минимальное количество для заказа = 1" sqref="M186 M3267">
      <formula1>1</formula1>
      <formula2>21</formula2>
    </dataValidation>
    <dataValidation type="decimal" allowBlank="1" showErrorMessage="1" errorTitle="Неверно указано Количество" error="минимальное количество для заказа = 10" sqref="M1051">
      <formula1>10</formula1>
      <formula2>2372</formula2>
    </dataValidation>
    <dataValidation type="decimal" allowBlank="1" showErrorMessage="1" errorTitle="Неверно указано Количество" error="минимальное количество для заказа = 20" sqref="M983">
      <formula1>20</formula1>
      <formula2>142</formula2>
    </dataValidation>
    <dataValidation type="decimal" allowBlank="1" showErrorMessage="1" errorTitle="Неверно указано Количество" error="минимальное количество для заказа = 2" sqref="M2109">
      <formula1>2</formula1>
      <formula2>320</formula2>
    </dataValidation>
    <dataValidation type="decimal" allowBlank="1" showErrorMessage="1" errorTitle="Неверно указано Количество" error="минимальное количество для заказа = 1" sqref="M156 M247">
      <formula1>1</formula1>
      <formula2>136</formula2>
    </dataValidation>
    <dataValidation type="decimal" allowBlank="1" showErrorMessage="1" errorTitle="Неверно указано Количество" error="минимальное количество для заказа = 80" sqref="M4460">
      <formula1>80</formula1>
      <formula2>1419</formula2>
    </dataValidation>
    <dataValidation type="decimal" allowBlank="1" showErrorMessage="1" errorTitle="Неверно указано Количество" error="минимальное количество для заказа = 1" sqref="M157">
      <formula1>1</formula1>
      <formula2>179</formula2>
    </dataValidation>
    <dataValidation type="decimal" allowBlank="1" showErrorMessage="1" errorTitle="Неверно указано Количество" error="минимальное количество для заказа = 1" sqref="M159">
      <formula1>1</formula1>
      <formula2>531</formula2>
    </dataValidation>
    <dataValidation type="decimal" allowBlank="1" showErrorMessage="1" errorTitle="Неверно указано Количество" error="минимальное количество для заказа = 1" sqref="M160">
      <formula1>1</formula1>
      <formula2>442</formula2>
    </dataValidation>
    <dataValidation type="decimal" allowBlank="1" showErrorMessage="1" errorTitle="Неверно указано Количество" error="минимальное количество для заказа = 1" sqref="M162 M165 M1999">
      <formula1>1</formula1>
      <formula2>75</formula2>
    </dataValidation>
    <dataValidation type="decimal" allowBlank="1" showErrorMessage="1" errorTitle="Неверно указано Количество" error="минимальное количество для заказа = 7" sqref="M891">
      <formula1>7</formula1>
      <formula2>859</formula2>
    </dataValidation>
    <dataValidation type="decimal" allowBlank="1" showErrorMessage="1" errorTitle="Неверно указано Количество" error="минимальное количество для заказа = 1" sqref="M163 M3278">
      <formula1>1</formula1>
      <formula2>98</formula2>
    </dataValidation>
    <dataValidation type="decimal" allowBlank="1" showErrorMessage="1" errorTitle="Неверно указано Количество" error="минимальное количество для заказа = 80" sqref="M4440">
      <formula1>80</formula1>
      <formula2>220</formula2>
    </dataValidation>
    <dataValidation type="decimal" allowBlank="1" showErrorMessage="1" errorTitle="Неверно указано Количество" error="минимальное количество для заказа = 3" sqref="M3162">
      <formula1>3</formula1>
      <formula2>423</formula2>
    </dataValidation>
    <dataValidation type="decimal" allowBlank="1" showErrorMessage="1" errorTitle="Неверно указано Количество" error="минимальное количество для заказа = 1" sqref="M164 M1944">
      <formula1>1</formula1>
      <formula2>125</formula2>
    </dataValidation>
    <dataValidation type="decimal" allowBlank="1" showErrorMessage="1" errorTitle="Неверно указано Количество" error="минимальное количество для заказа = 1" sqref="M166">
      <formula1>1</formula1>
      <formula2>77</formula2>
    </dataValidation>
    <dataValidation type="decimal" allowBlank="1" showErrorMessage="1" errorTitle="Неверно указано Количество" error="минимальное количество для заказа = 20" sqref="M171">
      <formula1>20</formula1>
      <formula2>56</formula2>
    </dataValidation>
    <dataValidation type="decimal" allowBlank="1" showErrorMessage="1" errorTitle="Неверно указано Количество" error="минимальное количество для заказа = 3" sqref="M710 M1736">
      <formula1>3</formula1>
      <formula2>436</formula2>
    </dataValidation>
    <dataValidation type="decimal" allowBlank="1" showErrorMessage="1" errorTitle="Неверно указано Количество" error="минимальное количество для заказа = 1" sqref="M223 M3202">
      <formula1>1</formula1>
      <formula2>17</formula2>
    </dataValidation>
    <dataValidation type="decimal" allowBlank="1" showErrorMessage="1" errorTitle="Неверно указано Количество" error="минимальное количество для заказа = 1" sqref="M172">
      <formula1>1</formula1>
      <formula2>780</formula2>
    </dataValidation>
    <dataValidation type="decimal" allowBlank="1" showErrorMessage="1" errorTitle="Неверно указано Количество" error="минимальное количество для заказа = 1" sqref="M173">
      <formula1>1</formula1>
      <formula2>130</formula2>
    </dataValidation>
    <dataValidation type="decimal" allowBlank="1" showErrorMessage="1" errorTitle="Неверно указано Количество" error="минимальное количество для заказа = 1" sqref="M174">
      <formula1>1</formula1>
      <formula2>76</formula2>
    </dataValidation>
    <dataValidation type="decimal" allowBlank="1" showErrorMessage="1" errorTitle="Неверно указано Количество" error="минимальное количество для заказа = 10" sqref="M2130">
      <formula1>10</formula1>
      <formula2>837</formula2>
    </dataValidation>
    <dataValidation type="decimal" allowBlank="1" showErrorMessage="1" errorTitle="Неверно указано Количество" error="минимальное количество для заказа = 12" sqref="M849">
      <formula1>12</formula1>
      <formula2>953</formula2>
    </dataValidation>
    <dataValidation type="decimal" allowBlank="1" showErrorMessage="1" errorTitle="Неверно указано Количество" error="минимальное количество для заказа = 5" sqref="M2527">
      <formula1>5</formula1>
      <formula2>766</formula2>
    </dataValidation>
    <dataValidation type="decimal" allowBlank="1" showErrorMessage="1" errorTitle="Неверно указано Количество" error="минимальное количество для заказа = 10" sqref="M476">
      <formula1>10</formula1>
      <formula2>125</formula2>
    </dataValidation>
    <dataValidation type="decimal" allowBlank="1" showErrorMessage="1" errorTitle="Неверно указано Количество" error="минимальное количество для заказа = 30" sqref="M175 M3459">
      <formula1>30</formula1>
      <formula2>60</formula2>
    </dataValidation>
    <dataValidation type="decimal" allowBlank="1" showErrorMessage="1" errorTitle="Неверно указано Количество" error="минимальное количество для заказа = 3" sqref="M2573">
      <formula1>3</formula1>
      <formula2>633</formula2>
    </dataValidation>
    <dataValidation type="decimal" allowBlank="1" showErrorMessage="1" errorTitle="Неверно указано Количество" error="минимальное количество для заказа = 16" sqref="M939">
      <formula1>16</formula1>
      <formula2>525</formula2>
    </dataValidation>
    <dataValidation type="decimal" allowBlank="1" showErrorMessage="1" errorTitle="Неверно указано Количество" error="минимальное количество для заказа = 30" sqref="M176 M608 M1069 M1400 M1528 M3621 M3996">
      <formula1>30</formula1>
      <formula2>30</formula2>
    </dataValidation>
    <dataValidation type="decimal" allowBlank="1" showErrorMessage="1" errorTitle="Неверно указано Количество" error="минимальное количество для заказа = 24" sqref="M701">
      <formula1>24</formula1>
      <formula2>240</formula2>
    </dataValidation>
    <dataValidation type="decimal" allowBlank="1" showErrorMessage="1" errorTitle="Неверно указано Количество" error="минимальное количество для заказа = 2" sqref="M178">
      <formula1>2</formula1>
      <formula2>58</formula2>
    </dataValidation>
    <dataValidation type="decimal" allowBlank="1" showErrorMessage="1" errorTitle="Неверно указано Количество" error="минимальное количество для заказа = 80" sqref="M4448">
      <formula1>80</formula1>
      <formula2>2140</formula2>
    </dataValidation>
    <dataValidation type="decimal" allowBlank="1" showErrorMessage="1" errorTitle="Неверно указано Количество" error="минимальное количество для заказа = 36" sqref="M386">
      <formula1>36</formula1>
      <formula2>529</formula2>
    </dataValidation>
    <dataValidation type="decimal" allowBlank="1" showErrorMessage="1" errorTitle="Неверно указано Количество" error="минимальное количество для заказа = 2" sqref="M179 M3076">
      <formula1>2</formula1>
      <formula2>43</formula2>
    </dataValidation>
    <dataValidation type="decimal" allowBlank="1" showErrorMessage="1" errorTitle="Неверно указано Количество" error="минимальное количество для заказа = 2" sqref="M180">
      <formula1>2</formula1>
      <formula2>26</formula2>
    </dataValidation>
    <dataValidation type="decimal" allowBlank="1" showErrorMessage="1" errorTitle="Неверно указано Количество" error="минимальное количество для заказа = 100" sqref="M4123">
      <formula1>100</formula1>
      <formula2>10400</formula2>
    </dataValidation>
    <dataValidation type="decimal" allowBlank="1" showErrorMessage="1" errorTitle="Неверно указано Количество" error="минимальное количество для заказа = 1" sqref="M181 M2431">
      <formula1>1</formula1>
      <formula2>46</formula2>
    </dataValidation>
    <dataValidation type="decimal" allowBlank="1" showErrorMessage="1" errorTitle="Неверно указано Количество" error="минимальное количество для заказа = 24" sqref="M704">
      <formula1>24</formula1>
      <formula2>108</formula2>
    </dataValidation>
    <dataValidation type="decimal" allowBlank="1" showErrorMessage="1" errorTitle="Неверно указано Количество" error="минимальное количество для заказа = 1" sqref="M185">
      <formula1>1</formula1>
      <formula2>128</formula2>
    </dataValidation>
    <dataValidation type="decimal" allowBlank="1" showErrorMessage="1" errorTitle="Неверно указано Количество" error="минимальное количество для заказа = 3" sqref="M187 M2141">
      <formula1>3</formula1>
      <formula2>144</formula2>
    </dataValidation>
    <dataValidation type="decimal" allowBlank="1" showErrorMessage="1" errorTitle="Неверно указано Количество" error="минимальное количество для заказа = 6" sqref="M568 M858 M2557">
      <formula1>6</formula1>
      <formula2>10</formula2>
    </dataValidation>
    <dataValidation type="decimal" allowBlank="1" showErrorMessage="1" errorTitle="Неверно указано Количество" error="минимальное количество для заказа = 72" sqref="M635">
      <formula1>72</formula1>
      <formula2>7648</formula2>
    </dataValidation>
    <dataValidation type="decimal" allowBlank="1" showErrorMessage="1" errorTitle="Неверно указано Количество" error="минимальное количество для заказа = 30" sqref="M1423">
      <formula1>30</formula1>
      <formula2>1570</formula2>
    </dataValidation>
    <dataValidation type="decimal" allowBlank="1" showErrorMessage="1" errorTitle="Неверно указано Количество" error="минимальное количество для заказа = 1" sqref="M192 M3198">
      <formula1>1</formula1>
      <formula2>12</formula2>
    </dataValidation>
    <dataValidation type="decimal" allowBlank="1" showErrorMessage="1" errorTitle="Неверно указано Количество" error="минимальное количество для заказа = 100" sqref="M4174">
      <formula1>100</formula1>
      <formula2>1635</formula2>
    </dataValidation>
    <dataValidation type="decimal" allowBlank="1" showErrorMessage="1" errorTitle="Неверно указано Количество" error="минимальное количество для заказа = 1" sqref="M667">
      <formula1>1</formula1>
      <formula2>1774</formula2>
    </dataValidation>
    <dataValidation type="decimal" allowBlank="1" showErrorMessage="1" errorTitle="Неверно указано Количество" error="минимальное количество для заказа = 4" sqref="M193">
      <formula1>4</formula1>
      <formula2>196</formula2>
    </dataValidation>
    <dataValidation type="decimal" allowBlank="1" showErrorMessage="1" errorTitle="Неверно указано Количество" error="минимальное количество для заказа = 1" sqref="M196">
      <formula1>1</formula1>
      <formula2>104</formula2>
    </dataValidation>
    <dataValidation type="decimal" allowBlank="1" showErrorMessage="1" errorTitle="Неверно указано Количество" error="минимальное количество для заказа = 24" sqref="M649">
      <formula1>24</formula1>
      <formula2>3574</formula2>
    </dataValidation>
    <dataValidation type="decimal" allowBlank="1" showErrorMessage="1" errorTitle="Неверно указано Количество" error="минимальное количество для заказа = 80" sqref="M4449">
      <formula1>80</formula1>
      <formula2>850</formula2>
    </dataValidation>
    <dataValidation type="decimal" allowBlank="1" showErrorMessage="1" errorTitle="Неверно указано Количество" error="минимальное количество для заказа = 1" sqref="M200 M295">
      <formula1>1</formula1>
      <formula2>15</formula2>
    </dataValidation>
    <dataValidation type="decimal" allowBlank="1" showErrorMessage="1" errorTitle="Неверно указано Количество" error="минимальное количество для заказа = 10" sqref="M325 M349 M932">
      <formula1>10</formula1>
      <formula2>40</formula2>
    </dataValidation>
    <dataValidation type="decimal" allowBlank="1" showErrorMessage="1" errorTitle="Неверно указано Количество" error="минимальное количество для заказа = 2" sqref="M205">
      <formula1>2</formula1>
      <formula2>223</formula2>
    </dataValidation>
    <dataValidation type="decimal" allowBlank="1" showErrorMessage="1" errorTitle="Неверно указано Количество" error="минимальное количество для заказа = 20" sqref="M1181">
      <formula1>20</formula1>
      <formula2>1973</formula2>
    </dataValidation>
    <dataValidation type="decimal" allowBlank="1" showErrorMessage="1" errorTitle="Неверно указано Количество" error="минимальное количество для заказа = 4" sqref="M355:M356 M370 M372">
      <formula1>4</formula1>
      <formula2>80</formula2>
    </dataValidation>
    <dataValidation type="decimal" allowBlank="1" showErrorMessage="1" errorTitle="Неверно указано Количество" error="минимальное количество для заказа = 2" sqref="M206">
      <formula1>2</formula1>
      <formula2>36</formula2>
    </dataValidation>
    <dataValidation type="decimal" allowBlank="1" showErrorMessage="1" errorTitle="Неверно указано Количество" error="минимальное количество для заказа = 1" sqref="M906">
      <formula1>1</formula1>
      <formula2>1023</formula2>
    </dataValidation>
    <dataValidation type="decimal" allowBlank="1" showErrorMessage="1" errorTitle="Неверно указано Количество" error="минимальное количество для заказа = 2" sqref="M207">
      <formula1>2</formula1>
      <formula2>322</formula2>
    </dataValidation>
    <dataValidation type="decimal" allowBlank="1" showErrorMessage="1" errorTitle="Неверно указано Количество" error="минимальное количество для заказа = 1" sqref="M208">
      <formula1>1</formula1>
      <formula2>617</formula2>
    </dataValidation>
    <dataValidation type="decimal" allowBlank="1" showErrorMessage="1" errorTitle="Неверно указано Количество" error="минимальное количество для заказа = 1" sqref="M209">
      <formula1>1</formula1>
      <formula2>241</formula2>
    </dataValidation>
    <dataValidation type="decimal" allowBlank="1" showErrorMessage="1" errorTitle="Неверно указано Количество" error="минимальное количество для заказа = 48" sqref="M4261">
      <formula1>48</formula1>
      <formula2>2364</formula2>
    </dataValidation>
    <dataValidation type="decimal" allowBlank="1" showErrorMessage="1" errorTitle="Неверно указано Количество" error="минимальное количество для заказа = 7" sqref="M2488">
      <formula1>7</formula1>
      <formula2>94</formula2>
    </dataValidation>
    <dataValidation type="decimal" operator="greaterThanOrEqual" allowBlank="1" showErrorMessage="1" errorTitle="Нельзя заказать меньше чем :" error="минимальное количество для заказа = 216" sqref="M695">
      <formula1>216</formula1>
    </dataValidation>
    <dataValidation type="decimal" allowBlank="1" showErrorMessage="1" errorTitle="Неверно указано Количество" error="минимальное количество для заказа = 1" sqref="M210">
      <formula1>1</formula1>
      <formula2>540</formula2>
    </dataValidation>
    <dataValidation type="decimal" allowBlank="1" showErrorMessage="1" errorTitle="Неверно указано Количество" error="минимальное количество для заказа = 1" sqref="M211">
      <formula1>1</formula1>
      <formula2>510</formula2>
    </dataValidation>
    <dataValidation type="decimal" allowBlank="1" showErrorMessage="1" errorTitle="Неверно указано Количество" error="минимальное количество для заказа = 2" sqref="M1896">
      <formula1>2</formula1>
      <formula2>276</formula2>
    </dataValidation>
    <dataValidation type="decimal" allowBlank="1" showErrorMessage="1" errorTitle="Неверно указано Количество" error="минимальное количество для заказа = 12" sqref="M451">
      <formula1>12</formula1>
      <formula2>240</formula2>
    </dataValidation>
    <dataValidation type="decimal" allowBlank="1" showErrorMessage="1" errorTitle="Неверно указано Количество" error="минимальное количество для заказа = 12" sqref="M911">
      <formula1>12</formula1>
      <formula2>914</formula2>
    </dataValidation>
    <dataValidation type="decimal" allowBlank="1" showErrorMessage="1" errorTitle="Неверно указано Количество" error="минимальное количество для заказа = 4" sqref="M958">
      <formula1>4</formula1>
      <formula2>816</formula2>
    </dataValidation>
    <dataValidation type="decimal" allowBlank="1" showErrorMessage="1" errorTitle="Неверно указано Количество" error="минимальное количество для заказа = 2" sqref="M212">
      <formula1>2</formula1>
      <formula2>111</formula2>
    </dataValidation>
    <dataValidation type="decimal" allowBlank="1" showErrorMessage="1" errorTitle="Неверно указано Количество" error="минимальное количество для заказа = 2" sqref="M213">
      <formula1>2</formula1>
      <formula2>355</formula2>
    </dataValidation>
    <dataValidation type="decimal" allowBlank="1" showErrorMessage="1" errorTitle="Неверно указано Количество" error="минимальное количество для заказа = 2" sqref="M214">
      <formula1>2</formula1>
      <formula2>91</formula2>
    </dataValidation>
    <dataValidation type="decimal" allowBlank="1" showErrorMessage="1" errorTitle="Неверно указано Количество" error="минимальное количество для заказа = 1" sqref="M215">
      <formula1>1</formula1>
      <formula2>44</formula2>
    </dataValidation>
    <dataValidation type="decimal" operator="greaterThanOrEqual" allowBlank="1" showErrorMessage="1" errorTitle="Нельзя заказать меньше чем :" error="минимальное количество для заказа = 180" sqref="M595">
      <formula1>180</formula1>
    </dataValidation>
    <dataValidation type="decimal" allowBlank="1" showErrorMessage="1" errorTitle="Неверно указано Количество" error="минимальное количество для заказа = 1" sqref="M216 M2255">
      <formula1>1</formula1>
      <formula2>177</formula2>
    </dataValidation>
    <dataValidation type="decimal" allowBlank="1" showErrorMessage="1" errorTitle="Неверно указано Количество" error="минимальное количество для заказа = 2" sqref="M315 M3210">
      <formula1>2</formula1>
      <formula2>404</formula2>
    </dataValidation>
    <dataValidation type="decimal" allowBlank="1" showErrorMessage="1" errorTitle="Неверно указано Количество" error="минимальное количество для заказа = 1" sqref="M217 M1939">
      <formula1>1</formula1>
      <formula2>188</formula2>
    </dataValidation>
    <dataValidation type="decimal" allowBlank="1" showErrorMessage="1" errorTitle="Неверно указано Количество" error="минимальное количество для заказа = 6" sqref="M3044">
      <formula1>6</formula1>
      <formula2>559</formula2>
    </dataValidation>
    <dataValidation type="decimal" allowBlank="1" showErrorMessage="1" errorTitle="Неверно указано Количество" error="минимальное количество для заказа = 1" sqref="M222 M1940">
      <formula1>1</formula1>
      <formula2>52</formula2>
    </dataValidation>
    <dataValidation type="decimal" allowBlank="1" showErrorMessage="1" errorTitle="Неверно указано Количество" error="минимальное количество для заказа = 1" sqref="M228 M866">
      <formula1>1</formula1>
      <formula2>43</formula2>
    </dataValidation>
    <dataValidation type="decimal" allowBlank="1" showErrorMessage="1" errorTitle="Неверно указано Количество" error="минимальное количество для заказа = 30" sqref="M1104">
      <formula1>30</formula1>
      <formula2>253</formula2>
    </dataValidation>
    <dataValidation type="decimal" allowBlank="1" showErrorMessage="1" errorTitle="Неверно указано Количество" error="минимальное количество для заказа = 1" sqref="M898">
      <formula1>1</formula1>
      <formula2>264</formula2>
    </dataValidation>
    <dataValidation type="decimal" allowBlank="1" showErrorMessage="1" errorTitle="Неверно указано Количество" error="минимальное количество для заказа = 1" sqref="M230 M250">
      <formula1>1</formula1>
      <formula2>147</formula2>
    </dataValidation>
    <dataValidation type="decimal" allowBlank="1" showErrorMessage="1" errorTitle="Неверно указано Количество" error="минимальное количество для заказа = 1" sqref="M235">
      <formula1>1</formula1>
      <formula2>86</formula2>
    </dataValidation>
    <dataValidation type="decimal" allowBlank="1" showErrorMessage="1" errorTitle="Неверно указано Количество" error="минимальное количество для заказа = 1" sqref="M236">
      <formula1>1</formula1>
      <formula2>37</formula2>
    </dataValidation>
    <dataValidation type="decimal" allowBlank="1" showErrorMessage="1" errorTitle="Неверно указано Количество" error="минимальное количество для заказа = 50" sqref="M4298">
      <formula1>50</formula1>
      <formula2>1560</formula2>
    </dataValidation>
    <dataValidation type="decimal" allowBlank="1" showErrorMessage="1" errorTitle="Неверно указано Количество" error="минимальное количество для заказа = 1" sqref="M668">
      <formula1>1</formula1>
      <formula2>3931</formula2>
    </dataValidation>
    <dataValidation type="decimal" allowBlank="1" showErrorMessage="1" errorTitle="Неверно указано Количество" error="минимальное количество для заказа = 1" sqref="M241">
      <formula1>1</formula1>
      <formula2>31</formula2>
    </dataValidation>
    <dataValidation type="decimal" allowBlank="1" showErrorMessage="1" errorTitle="Неверно указано Количество" error="минимальное количество для заказа = 2" sqref="M2175">
      <formula1>2</formula1>
      <formula2>342</formula2>
    </dataValidation>
    <dataValidation type="decimal" allowBlank="1" showErrorMessage="1" errorTitle="Неверно указано Количество" error="минимальное количество для заказа = 1" sqref="M244 M2100">
      <formula1>1</formula1>
      <formula2>146</formula2>
    </dataValidation>
    <dataValidation type="decimal" allowBlank="1" showErrorMessage="1" errorTitle="Неверно указано Количество" error="минимальное количество для заказа = 1" sqref="M246">
      <formula1>1</formula1>
      <formula2>81</formula2>
    </dataValidation>
    <dataValidation type="decimal" allowBlank="1" showErrorMessage="1" errorTitle="Неверно указано Количество" error="минимальное количество для заказа = 2" sqref="M2216">
      <formula1>2</formula1>
      <formula2>205</formula2>
    </dataValidation>
    <dataValidation type="decimal" allowBlank="1" showErrorMessage="1" errorTitle="Неверно указано Количество" error="минимальное количество для заказа = 10" sqref="M933">
      <formula1>10</formula1>
      <formula2>38</formula2>
    </dataValidation>
    <dataValidation type="decimal" allowBlank="1" showErrorMessage="1" errorTitle="Неверно указано Количество" error="минимальное количество для заказа = 48" sqref="M399">
      <formula1>48</formula1>
      <formula2>4050</formula2>
    </dataValidation>
    <dataValidation type="decimal" operator="greaterThanOrEqual" allowBlank="1" showErrorMessage="1" errorTitle="Нельзя заказать меньше чем :" error="минимальное количество для заказа = 4" sqref="M354 M357 M362 M366 M425 M427 M429 M434 M463 M554 M556 M739 M748 M751 M753 M960 M1561 M1563:M1566 M1590 M1592:M1593 M1606 M1631 M1689:M1690 M1694 M1697 M1699 M1702 M1704 M1815 M1818 M1820 M1822 M1824:M1825 M2044 M2059:M2062 M2064 M2077:M2081 M2091:M2094 M2245 M2273:M2275 M2281 M2283 M2285 M2289 M2693:M2694 M2696:M2698 M2774 M2949 M3049 M3052 M3095:M3097 M3158:M3160 M3175 M3179 M3215 M3222 M3224 M3228:M3230 M3232:M3235 M3240 M3294:M3297 M3307:M3310 M3315 M3318 M3562 M3571:M3572 M3574 M3583">
      <formula1>4</formula1>
    </dataValidation>
    <dataValidation type="decimal" allowBlank="1" showErrorMessage="1" errorTitle="Неверно указано Количество" error="минимальное количество для заказа = 6" sqref="M2135">
      <formula1>6</formula1>
      <formula2>247</formula2>
    </dataValidation>
    <dataValidation type="decimal" allowBlank="1" showErrorMessage="1" errorTitle="Неверно указано Количество" error="минимальное количество для заказа = 3" sqref="M251">
      <formula1>3</formula1>
      <formula2>80</formula2>
    </dataValidation>
    <dataValidation type="decimal" allowBlank="1" showErrorMessage="1" errorTitle="Неверно указано Количество" error="минимальное количество для заказа = 12" sqref="M530">
      <formula1>12</formula1>
      <formula2>208</formula2>
    </dataValidation>
    <dataValidation type="decimal" allowBlank="1" showErrorMessage="1" errorTitle="Неверно указано Количество" error="минимальное количество для заказа = 2" sqref="M253 M314">
      <formula1>2</formula1>
      <formula2>144</formula2>
    </dataValidation>
    <dataValidation type="decimal" allowBlank="1" showErrorMessage="1" errorTitle="Неверно указано Количество" error="минимальное количество для заказа = 80" sqref="M4369 M4437">
      <formula1>80</formula1>
      <formula2>2850</formula2>
    </dataValidation>
    <dataValidation type="decimal" allowBlank="1" showErrorMessage="1" errorTitle="Неверно указано Количество" error="минимальное количество для заказа = 48" sqref="M3503">
      <formula1>48</formula1>
      <formula2>7191</formula2>
    </dataValidation>
    <dataValidation type="decimal" allowBlank="1" showErrorMessage="1" errorTitle="Неверно указано Количество" error="минимальное количество для заказа = 2" sqref="M1006">
      <formula1>2</formula1>
      <formula2>344</formula2>
    </dataValidation>
    <dataValidation type="decimal" allowBlank="1" showErrorMessage="1" errorTitle="Неверно указано Количество" error="минимальное количество для заказа = 5" sqref="M254">
      <formula1>5</formula1>
      <formula2>261</formula2>
    </dataValidation>
    <dataValidation type="decimal" allowBlank="1" showErrorMessage="1" errorTitle="Неверно указано Количество" error="минимальное количество для заказа = 5" sqref="M2263">
      <formula1>5</formula1>
      <formula2>236</formula2>
    </dataValidation>
    <dataValidation type="decimal" allowBlank="1" showErrorMessage="1" errorTitle="Неверно указано Количество" error="минимальное количество для заказа = 3" sqref="M948">
      <formula1>3</formula1>
      <formula2>512</formula2>
    </dataValidation>
    <dataValidation type="decimal" allowBlank="1" showErrorMessage="1" errorTitle="Неверно указано Количество" error="минимальное количество для заказа = 80" sqref="M4463">
      <formula1>80</formula1>
      <formula2>4200</formula2>
    </dataValidation>
    <dataValidation type="decimal" allowBlank="1" showErrorMessage="1" errorTitle="Неверно указано Количество" error="минимальное количество для заказа = 5" sqref="M255">
      <formula1>5</formula1>
      <formula2>852</formula2>
    </dataValidation>
    <dataValidation type="decimal" allowBlank="1" showErrorMessage="1" errorTitle="Неверно указано Количество" error="минимальное количество для заказа = 240" sqref="M3901">
      <formula1>240</formula1>
      <formula2>4678</formula2>
    </dataValidation>
    <dataValidation type="decimal" allowBlank="1" showErrorMessage="1" errorTitle="Неверно указано Количество" error="минимальное количество для заказа = 20" sqref="M2620">
      <formula1>20</formula1>
      <formula2>1744</formula2>
    </dataValidation>
    <dataValidation type="decimal" allowBlank="1" showErrorMessage="1" errorTitle="Неверно указано Количество" error="минимальное количество для заказа = 6" sqref="M2519">
      <formula1>6</formula1>
      <formula2>262</formula2>
    </dataValidation>
    <dataValidation type="decimal" allowBlank="1" showErrorMessage="1" errorTitle="Неверно указано Количество" error="минимальное количество для заказа = 1" sqref="M257">
      <formula1>1</formula1>
      <formula2>201</formula2>
    </dataValidation>
    <dataValidation type="decimal" allowBlank="1" showErrorMessage="1" errorTitle="Неверно указано Количество" error="минимальное количество для заказа = 15" sqref="M2664">
      <formula1>15</formula1>
      <formula2>123</formula2>
    </dataValidation>
    <dataValidation type="decimal" allowBlank="1" showErrorMessage="1" errorTitle="Неверно указано Количество" error="минимальное количество для заказа = 1" sqref="M259 M375 M758">
      <formula1>1</formula1>
      <formula2>9</formula2>
    </dataValidation>
    <dataValidation type="decimal" allowBlank="1" showErrorMessage="1" errorTitle="Неверно указано Количество" error="минимальное количество для заказа = 1" sqref="M263">
      <formula1>1</formula1>
      <formula2>1342</formula2>
    </dataValidation>
    <dataValidation type="decimal" allowBlank="1" showErrorMessage="1" errorTitle="Неверно указано Количество" error="минимальное количество для заказа = 20" sqref="M265 M322 M329 M1087">
      <formula1>20</formula1>
      <formula2>40</formula2>
    </dataValidation>
    <dataValidation type="decimal" allowBlank="1" showErrorMessage="1" errorTitle="Неверно указано Количество" error="минимальное количество для заказа = 3" sqref="M3244">
      <formula1>3</formula1>
      <formula2>310</formula2>
    </dataValidation>
    <dataValidation type="decimal" allowBlank="1" showErrorMessage="1" errorTitle="Неверно указано Количество" error="минимальное количество для заказа = 2" sqref="M1556">
      <formula1>2</formula1>
      <formula2>513</formula2>
    </dataValidation>
    <dataValidation type="decimal" allowBlank="1" showErrorMessage="1" errorTitle="Неверно указано Количество" error="минимальное количество для заказа = 125" sqref="M266">
      <formula1>125</formula1>
      <formula2>125</formula2>
    </dataValidation>
    <dataValidation type="decimal" allowBlank="1" showErrorMessage="1" errorTitle="Неверно указано Количество" error="минимальное количество для заказа = 10" sqref="M966 M2861">
      <formula1>10</formula1>
      <formula2>430</formula2>
    </dataValidation>
    <dataValidation type="decimal" operator="greaterThanOrEqual" allowBlank="1" showErrorMessage="1" errorTitle="Нельзя заказать меньше чем :" error="минимальное количество для заказа = 250" sqref="M3665 M3705 M3722 M3729 M3744 M3761:M3762 M3765 M3790 M3812:M3815 M3817 M3826 M3833 M3835 M3842 M3847:M3850 M3855 M3858:M3859 M3867 M3869 M3871 M3877 M3882 M3893 M3897">
      <formula1>250</formula1>
    </dataValidation>
    <dataValidation type="decimal" allowBlank="1" showErrorMessage="1" errorTitle="Неверно указано Количество" error="минимальное количество для заказа = 10" sqref="M268">
      <formula1>10</formula1>
      <formula2>2780</formula2>
    </dataValidation>
    <dataValidation type="decimal" allowBlank="1" showErrorMessage="1" errorTitle="Неверно указано Количество" error="минимальное количество для заказа = 12" sqref="M481">
      <formula1>12</formula1>
      <formula2>1198</formula2>
    </dataValidation>
    <dataValidation type="decimal" allowBlank="1" showErrorMessage="1" errorTitle="Неверно указано Количество" error="минимальное количество для заказа = 10" sqref="M269">
      <formula1>10</formula1>
      <formula2>1190</formula2>
    </dataValidation>
    <dataValidation type="decimal" allowBlank="1" showErrorMessage="1" errorTitle="Неверно указано Количество" error="минимальное количество для заказа = 48" sqref="M3431">
      <formula1>48</formula1>
      <formula2>3937</formula2>
    </dataValidation>
    <dataValidation type="decimal" allowBlank="1" showErrorMessage="1" errorTitle="Неверно указано Количество" error="минимальное количество для заказа = 25" sqref="M270">
      <formula1>25</formula1>
      <formula2>45</formula2>
    </dataValidation>
    <dataValidation type="decimal" allowBlank="1" showErrorMessage="1" errorTitle="Неверно указано Количество" error="минимальное количество для заказа = 3" sqref="M944">
      <formula1>3</formula1>
      <formula2>902</formula2>
    </dataValidation>
    <dataValidation type="decimal" allowBlank="1" showErrorMessage="1" errorTitle="Неверно указано Количество" error="минимальное количество для заказа = 20" sqref="M291">
      <formula1>20</formula1>
      <formula2>540</formula2>
    </dataValidation>
    <dataValidation type="decimal" operator="equal" allowBlank="1" showErrorMessage="1" errorTitle="Не нужно менять минимальное количество для заказа:" error="минимальное количество для заказа = 250" sqref="K271:K272 K276:K277 K3665 K3693:K3694 K3697:K3698 K3701 K3703 K3705 K3713:K3714 K3719:K3722 K3727:K3731 K3733:K3744 K3747:K3752 K3760:K3762 K3765 K3784 K3790 K3793:K3794 K3798:K3799 K3807:K3808 K3811:K3815 K3817 K3826 K3830 K3833 K3835 K3837:K3844 K3847:K3861 K3867:K3869 K3871:K3882 K3885 K3889 K3891:K3897 K3932:K3936 K3938">
      <formula1>250</formula1>
    </dataValidation>
    <dataValidation type="decimal" allowBlank="1" showErrorMessage="1" errorTitle="Неверно указано Количество" error="минимальное количество для заказа = 160" sqref="M4045">
      <formula1>160</formula1>
      <formula2>8700</formula2>
    </dataValidation>
    <dataValidation type="decimal" allowBlank="1" showErrorMessage="1" errorTitle="Неверно указано Количество" error="минимальное количество для заказа = 250" sqref="M272">
      <formula1>250</formula1>
      <formula2>1725</formula2>
    </dataValidation>
    <dataValidation type="decimal" operator="equal" allowBlank="1" showErrorMessage="1" errorTitle="Не нужно менять минимальное количество для заказа:" error="минимальное количество для заказа = 80" sqref="K273 K284 K300:K307 K309:K311 K319 K336:K339 K411 K700 K1090:K1092 K3369 K3407:K3408 K3410:K3411 K3413:K3414 K3416:K3417 K3419:K3420 K3422:K3425 K3483:K3489 K3491:K3495 K3497:K3499 K3506:K3507 K4099 K4101:K4103 K4165:K4169 K4231 K4349 K4352:K4367 K4369:K4382 K4384:K4396 K4398:K4410 K4413:K4420 K4422:K4427 K4429:K4435 K4437:K4449 K4451:K4461 K4463:K4474 K4476:K4484 K4486:K4497 K4499:K4500 K4502:K4509 K4511:K4512 K4514:K4520 K4529:K4530 K4532:K4534">
      <formula1>80</formula1>
    </dataValidation>
    <dataValidation type="decimal" allowBlank="1" showErrorMessage="1" errorTitle="Неверно указано Количество" error="минимальное количество для заказа = 8" sqref="M1299">
      <formula1>8</formula1>
      <formula2>1908</formula2>
    </dataValidation>
    <dataValidation type="decimal" allowBlank="1" showErrorMessage="1" errorTitle="Неверно указано Количество" error="минимальное количество для заказа = 80" sqref="M273 M301:M302 M307 M319 M3494 M4349 M4497 M4533:M4534">
      <formula1>80</formula1>
      <formula2>80</formula2>
    </dataValidation>
    <dataValidation type="decimal" allowBlank="1" showErrorMessage="1" errorTitle="Неверно указано Количество" error="минимальное количество для заказа = 12" sqref="M2472">
      <formula1>12</formula1>
      <formula2>651</formula2>
    </dataValidation>
    <dataValidation type="decimal" allowBlank="1" showErrorMessage="1" errorTitle="Неверно указано Количество" error="минимальное количество для заказа = 140" sqref="M274">
      <formula1>140</formula1>
      <formula2>810</formula2>
    </dataValidation>
    <dataValidation type="decimal" operator="equal" allowBlank="1" showErrorMessage="1" errorTitle="Не нужно менять минимальное количество для заказа:" error="минимальное количество для заказа = 120" sqref="K275 K4090:K4095">
      <formula1>120</formula1>
    </dataValidation>
    <dataValidation type="decimal" allowBlank="1" showErrorMessage="1" errorTitle="Неверно указано Количество" error="минимальное количество для заказа = 5" sqref="M368">
      <formula1>5</formula1>
      <formula2>80</formula2>
    </dataValidation>
    <dataValidation type="decimal" allowBlank="1" showErrorMessage="1" errorTitle="Неверно указано Количество" error="минимальное количество для заказа = 250" sqref="M277">
      <formula1>250</formula1>
      <formula2>2687</formula2>
    </dataValidation>
    <dataValidation type="decimal" allowBlank="1" showErrorMessage="1" errorTitle="Неверно указано Количество" error="минимальное количество для заказа = 36" sqref="M610">
      <formula1>36</formula1>
      <formula2>324</formula2>
    </dataValidation>
    <dataValidation type="decimal" allowBlank="1" showErrorMessage="1" errorTitle="Неверно указано Количество" error="минимальное количество для заказа = 10" sqref="M278 M328">
      <formula1>10</formula1>
      <formula2>50</formula2>
    </dataValidation>
    <dataValidation type="decimal" allowBlank="1" showErrorMessage="1" errorTitle="Неверно указано Количество" error="минимальное количество для заказа = 150" sqref="M280">
      <formula1>150</formula1>
      <formula2>150</formula2>
    </dataValidation>
    <dataValidation type="decimal" allowBlank="1" showErrorMessage="1" errorTitle="Неверно указано Количество" error="минимальное количество для заказа = 1" sqref="M281">
      <formula1>1</formula1>
      <formula2>405</formula2>
    </dataValidation>
    <dataValidation type="decimal" allowBlank="1" showErrorMessage="1" errorTitle="Неверно указано Количество" error="минимальное количество для заказа = 24" sqref="M705">
      <formula1>24</formula1>
      <formula2>572</formula2>
    </dataValidation>
    <dataValidation type="decimal" operator="equal" allowBlank="1" showErrorMessage="1" errorTitle="Не нужно менять минимальное количество для заказа:" error="минимальное количество для заказа = 32" sqref="K286:K290 K3456 K3465 K3467:K3468 K3470 K3472:K3473">
      <formula1>32</formula1>
    </dataValidation>
    <dataValidation type="decimal" allowBlank="1" showErrorMessage="1" errorTitle="Неверно указано Количество" error="минимальное количество для заказа = 4" sqref="M952">
      <formula1>4</formula1>
      <formula2>155</formula2>
    </dataValidation>
    <dataValidation type="decimal" allowBlank="1" showErrorMessage="1" errorTitle="Неверно указано Количество" error="минимальное количество для заказа = 12" sqref="M2456">
      <formula1>12</formula1>
      <formula2>862</formula2>
    </dataValidation>
    <dataValidation type="decimal" allowBlank="1" showErrorMessage="1" errorTitle="Неверно указано Количество" error="минимальное количество для заказа = 32" sqref="M286">
      <formula1>32</formula1>
      <formula2>82</formula2>
    </dataValidation>
    <dataValidation type="decimal" allowBlank="1" showErrorMessage="1" errorTitle="Неверно указано Количество" error="минимальное количество для заказа = 32" sqref="M289">
      <formula1>32</formula1>
      <formula2>635</formula2>
    </dataValidation>
    <dataValidation type="decimal" allowBlank="1" showErrorMessage="1" errorTitle="Неверно указано Количество" error="минимальное количество для заказа = 32" sqref="M290">
      <formula1>32</formula1>
      <formula2>978</formula2>
    </dataValidation>
    <dataValidation type="decimal" allowBlank="1" showErrorMessage="1" errorTitle="Неверно указано Количество" error="минимальное количество для заказа = 6" sqref="M824">
      <formula1>6</formula1>
      <formula2>792</formula2>
    </dataValidation>
    <dataValidation type="decimal" allowBlank="1" showErrorMessage="1" errorTitle="Неверно указано Количество" error="минимальное количество для заказа = 20" sqref="M293 M1102 M1152 M1286 M1351 M1466 M1512">
      <formula1>20</formula1>
      <formula2>20</formula2>
    </dataValidation>
    <dataValidation type="decimal" allowBlank="1" showErrorMessage="1" errorTitle="Неверно указано Количество" error="минимальное количество для заказа = 24" sqref="M391">
      <formula1>24</formula1>
      <formula2>360</formula2>
    </dataValidation>
    <dataValidation type="decimal" allowBlank="1" showErrorMessage="1" errorTitle="Неверно указано Количество" error="минимальное количество для заказа = 10" sqref="M296">
      <formula1>10</formula1>
      <formula2>150</formula2>
    </dataValidation>
    <dataValidation type="decimal" allowBlank="1" showErrorMessage="1" errorTitle="Неверно указано Количество" error="минимальное количество для заказа = 100" sqref="M4173">
      <formula1>100</formula1>
      <formula2>3300</formula2>
    </dataValidation>
    <dataValidation type="decimal" allowBlank="1" showErrorMessage="1" errorTitle="Неверно указано Количество" error="минимальное количество для заказа = 100" sqref="M297">
      <formula1>100</formula1>
      <formula2>700</formula2>
    </dataValidation>
    <dataValidation type="decimal" allowBlank="1" showErrorMessage="1" errorTitle="Неверно указано Количество" error="минимальное количество для заказа = 2" sqref="M1007">
      <formula1>2</formula1>
      <formula2>352</formula2>
    </dataValidation>
    <dataValidation type="decimal" allowBlank="1" showErrorMessage="1" errorTitle="Неверно указано Количество" error="минимальное количество для заказа = 48" sqref="M4256">
      <formula1>48</formula1>
      <formula2>2112</formula2>
    </dataValidation>
    <dataValidation type="decimal" operator="equal" allowBlank="1" showErrorMessage="1" errorTitle="Не нужно менять минимальное количество для заказа:" error="минимальное количество для заказа = 60" sqref="K298 K617 K1093:K1095 K1108 K1121 K2656 K4563">
      <formula1>60</formula1>
    </dataValidation>
    <dataValidation type="decimal" allowBlank="1" showErrorMessage="1" errorTitle="Неверно указано Количество" error="минимальное количество для заказа = 60" sqref="M298">
      <formula1>60</formula1>
      <formula2>2915</formula2>
    </dataValidation>
    <dataValidation type="decimal" allowBlank="1" showErrorMessage="1" errorTitle="Неверно указано Количество" error="минимальное количество для заказа = 80" sqref="M300 M336 M4504">
      <formula1>80</formula1>
      <formula2>160</formula2>
    </dataValidation>
    <dataValidation type="decimal" allowBlank="1" showErrorMessage="1" errorTitle="Неверно указано Количество" error="минимальное количество для заказа = 12" sqref="M831">
      <formula1>12</formula1>
      <formula2>871</formula2>
    </dataValidation>
    <dataValidation type="decimal" operator="equal" allowBlank="1" showErrorMessage="1" errorTitle="Не нужно менять минимальное количество для заказа:" error="минимальное количество для заказа = 9" sqref="K566 K1344">
      <formula1>9</formula1>
    </dataValidation>
    <dataValidation type="decimal" allowBlank="1" showErrorMessage="1" errorTitle="Неверно указано Количество" error="минимальное количество для заказа = 80" sqref="M303">
      <formula1>80</formula1>
      <formula2>368</formula2>
    </dataValidation>
    <dataValidation type="decimal" allowBlank="1" showErrorMessage="1" errorTitle="Неверно указано Количество" error="минимальное количество для заказа = 7" sqref="M2489 M2493 M2543">
      <formula1>7</formula1>
      <formula2>17</formula2>
    </dataValidation>
    <dataValidation type="decimal" allowBlank="1" showErrorMessage="1" errorTitle="Неверно указано Количество" error="минимальное количество для заказа = 80" sqref="M304 M4520">
      <formula1>80</formula1>
      <formula2>240</formula2>
    </dataValidation>
    <dataValidation type="decimal" allowBlank="1" showErrorMessage="1" errorTitle="Неверно указано Количество" error="минимальное количество для заказа = 80" sqref="M305">
      <formula1>80</formula1>
      <formula2>560</formula2>
    </dataValidation>
    <dataValidation type="decimal" allowBlank="1" showErrorMessage="1" errorTitle="Неверно указано Количество" error="минимальное количество для заказа = 3" sqref="M749">
      <formula1>3</formula1>
      <formula2>178</formula2>
    </dataValidation>
    <dataValidation type="decimal" allowBlank="1" showErrorMessage="1" errorTitle="Неверно указано Количество" error="минимальное количество для заказа = 140" sqref="M4002">
      <formula1>140</formula1>
      <formula2>1540</formula2>
    </dataValidation>
    <dataValidation type="decimal" allowBlank="1" showErrorMessage="1" errorTitle="Неверно указано Количество" error="минимальное количество для заказа = 80" sqref="M306 M309">
      <formula1>80</formula1>
      <formula2>2800</formula2>
    </dataValidation>
    <dataValidation type="decimal" allowBlank="1" showErrorMessage="1" errorTitle="Неверно указано Количество" error="минимальное количество для заказа = 250" sqref="M3880">
      <formula1>250</formula1>
      <formula2>1050</formula2>
    </dataValidation>
    <dataValidation type="decimal" allowBlank="1" showErrorMessage="1" errorTitle="Неверно указано Количество" error="минимальное количество для заказа = 2" sqref="M893">
      <formula1>2</formula1>
      <formula2>1553</formula2>
    </dataValidation>
    <dataValidation type="decimal" allowBlank="1" showErrorMessage="1" errorTitle="Неверно указано Количество" error="минимальное количество для заказа = 1" sqref="M308 M905">
      <formula1>1</formula1>
      <formula2>90</formula2>
    </dataValidation>
    <dataValidation type="decimal" allowBlank="1" showErrorMessage="1" errorTitle="Неверно указано Количество" error="минимальное количество для заказа = 36" sqref="M502">
      <formula1>36</formula1>
      <formula2>1692</formula2>
    </dataValidation>
    <dataValidation type="decimal" allowBlank="1" showErrorMessage="1" errorTitle="Неверно указано Количество" error="минимальное количество для заказа = 140" sqref="M4056">
      <formula1>140</formula1>
      <formula2>1798</formula2>
    </dataValidation>
    <dataValidation type="decimal" allowBlank="1" showErrorMessage="1" errorTitle="Неверно указано Количество" error="минимальное количество для заказа = 80" sqref="M310:M311 M4484">
      <formula1>80</formula1>
      <formula2>640</formula2>
    </dataValidation>
    <dataValidation type="decimal" allowBlank="1" showErrorMessage="1" errorTitle="Неверно указано Количество" error="минимальное количество для заказа = 100" sqref="M4199">
      <formula1>100</formula1>
      <formula2>8910</formula2>
    </dataValidation>
    <dataValidation type="decimal" allowBlank="1" showErrorMessage="1" errorTitle="Неверно указано Количество" error="минимальное количество для заказа = 32" sqref="M3467">
      <formula1>32</formula1>
      <formula2>1115</formula2>
    </dataValidation>
    <dataValidation type="decimal" allowBlank="1" showErrorMessage="1" errorTitle="Неверно указано Количество" error="минимальное количество для заказа = 2" sqref="M605">
      <formula1>2</formula1>
      <formula2>3957</formula2>
    </dataValidation>
    <dataValidation type="decimal" allowBlank="1" showErrorMessage="1" errorTitle="Неверно указано Количество" error="минимальное количество для заказа = 2" sqref="M312">
      <formula1>2</formula1>
      <formula2>510</formula2>
    </dataValidation>
    <dataValidation type="decimal" allowBlank="1" showErrorMessage="1" errorTitle="Неверно указано Количество" error="минимальное количество для заказа = 30" sqref="M313">
      <formula1>30</formula1>
      <formula2>55</formula2>
    </dataValidation>
    <dataValidation type="decimal" allowBlank="1" showErrorMessage="1" errorTitle="Неверно указано Количество" error="минимальное количество для заказа = 30" sqref="M316">
      <formula1>30</formula1>
      <formula2>614</formula2>
    </dataValidation>
    <dataValidation type="decimal" allowBlank="1" showErrorMessage="1" errorTitle="Неверно указано Количество" error="минимальное количество для заказа = 4" sqref="M3565">
      <formula1>4</formula1>
      <formula2>651</formula2>
    </dataValidation>
    <dataValidation type="decimal" allowBlank="1" showErrorMessage="1" errorTitle="Неверно указано Количество" error="минимальное количество для заказа = 6" sqref="M3341">
      <formula1>6</formula1>
      <formula2>455</formula2>
    </dataValidation>
    <dataValidation type="decimal" allowBlank="1" showErrorMessage="1" errorTitle="Неверно указано Количество" error="минимальное количество для заказа = 1" sqref="M896">
      <formula1>1</formula1>
      <formula2>1402</formula2>
    </dataValidation>
    <dataValidation type="decimal" operator="greaterThanOrEqual" allowBlank="1" showErrorMessage="1" errorTitle="Нельзя заказать меньше чем :" error="минимальное количество для заказа = 10" sqref="M317 M477 M509 M886 M925 M927:M930 M934 M938 M965 M968 M1015:M1018 M1020:M1027 M1029:M1030 M1045 M1052:M1054 M1134 M1304:M1305 M1312:M1313 M1485 M1491 M1495 M1522 M1524 M1527 M1535 M1537:M1538 M1548 M1673 M1675 M1752:M1756 M1758:M1759 M1761 M2129 M2131 M2447 M2756 M2762:M2763 M2837 M2839 M2842:M2843 M2845 M2847:M2848 M2851:M2852 M2858 M2862 M2868 M2872 M2885 M2887 M2971:M2972 M2975 M3022:M3023">
      <formula1>10</formula1>
    </dataValidation>
    <dataValidation type="decimal" allowBlank="1" showErrorMessage="1" errorTitle="Неверно указано Количество" error="минимальное количество для заказа = 2" sqref="M318 M1365">
      <formula1>2</formula1>
      <formula2>52</formula2>
    </dataValidation>
    <dataValidation type="decimal" allowBlank="1" showErrorMessage="1" errorTitle="Неверно указано Количество" error="минимальное количество для заказа = 2" sqref="M903">
      <formula1>2</formula1>
      <formula2>42</formula2>
    </dataValidation>
    <dataValidation type="decimal" operator="equal" allowBlank="1" showErrorMessage="1" errorTitle="Не нужно менять минимальное количество для заказа:" error="минимальное количество для заказа = 15" sqref="K512 K642 K1228 K1325:K1326 K1464 K1642 K2663:K2665 K2921:K2932 K2934:K2938 K2940:K2944 K4025">
      <formula1>15</formula1>
    </dataValidation>
    <dataValidation type="decimal" allowBlank="1" showErrorMessage="1" errorTitle="Неверно указано Количество" error="минимальное количество для заказа = 1" sqref="M4589">
      <formula1>1</formula1>
      <formula2>2110</formula2>
    </dataValidation>
    <dataValidation type="decimal" allowBlank="1" showErrorMessage="1" errorTitle="Неверно указано Количество" error="минимальное количество для заказа = 14" sqref="M505">
      <formula1>14</formula1>
      <formula2>56</formula2>
    </dataValidation>
    <dataValidation type="decimal" allowBlank="1" showErrorMessage="1" errorTitle="Неверно указано Количество" error="минимальное количество для заказа = 40" sqref="M321">
      <formula1>40</formula1>
      <formula2>240</formula2>
    </dataValidation>
    <dataValidation type="decimal" allowBlank="1" showErrorMessage="1" errorTitle="Неверно указано Количество" error="минимальное количество для заказа = 240" sqref="M3831">
      <formula1>240</formula1>
      <formula2>2785</formula2>
    </dataValidation>
    <dataValidation type="decimal" allowBlank="1" showErrorMessage="1" errorTitle="Неверно указано Количество" error="минимальное количество для заказа = 250" sqref="M3719">
      <formula1>250</formula1>
      <formula2>11620</formula2>
    </dataValidation>
    <dataValidation type="decimal" allowBlank="1" showErrorMessage="1" errorTitle="Неверно указано Количество" error="минимальное количество для заказа = 10" sqref="M323 M334 M1265 M1356 M1368 M1414 M2973">
      <formula1>10</formula1>
      <formula2>20</formula2>
    </dataValidation>
    <dataValidation type="decimal" allowBlank="1" showErrorMessage="1" errorTitle="Неверно указано Количество" error="минимальное количество для заказа = 10" sqref="M324 M350 M1467 M1513 M2603 M3395 M3803">
      <formula1>10</formula1>
      <formula2>10</formula2>
    </dataValidation>
    <dataValidation type="decimal" allowBlank="1" showErrorMessage="1" errorTitle="Неверно указано Количество" error="минимальное количество для заказа = 12" sqref="M657">
      <formula1>12</formula1>
      <formula2>355</formula2>
    </dataValidation>
    <dataValidation type="decimal" allowBlank="1" showErrorMessage="1" errorTitle="Неверно указано Количество" error="минимальное количество для заказа = 20" sqref="M1270">
      <formula1>20</formula1>
      <formula2>401</formula2>
    </dataValidation>
    <dataValidation type="decimal" allowBlank="1" showErrorMessage="1" errorTitle="Неверно указано Количество" error="минимальное количество для заказа = 20" sqref="M327">
      <formula1>20</formula1>
      <formula2>14930</formula2>
    </dataValidation>
    <dataValidation type="decimal" allowBlank="1" showErrorMessage="1" errorTitle="Неверно указано Количество" error="минимальное количество для заказа = 24" sqref="M699">
      <formula1>24</formula1>
      <formula2>419</formula2>
    </dataValidation>
    <dataValidation type="decimal" allowBlank="1" showErrorMessage="1" errorTitle="Неверно указано Количество" error="минимальное количество для заказа = 1" sqref="M331">
      <formula1>1</formula1>
      <formula2>40</formula2>
    </dataValidation>
    <dataValidation type="decimal" allowBlank="1" showErrorMessage="1" errorTitle="Неверно указано Количество" error="минимальное количество для заказа = 150" sqref="M332">
      <formula1>150</formula1>
      <formula2>1130</formula2>
    </dataValidation>
    <dataValidation type="decimal" allowBlank="1" showErrorMessage="1" errorTitle="Неверно указано Количество" error="минимальное количество для заказа = 80" sqref="M337">
      <formula1>80</formula1>
      <formula2>150</formula2>
    </dataValidation>
    <dataValidation type="decimal" allowBlank="1" showErrorMessage="1" errorTitle="Неверно указано Количество" error="минимальное количество для заказа = 80" sqref="M338 M4464">
      <formula1>80</formula1>
      <formula2>320</formula2>
    </dataValidation>
    <dataValidation type="decimal" operator="greaterThanOrEqual" allowBlank="1" showErrorMessage="1" errorTitle="Нельзя заказать меньше чем :" error="минимальное количество для заказа = 2" sqref="M340 M360 M365 M432 M437 M559 M725 M727 M752 M755 M1317 M1319:M1321 M1888 M1895 M1931 M1933:M1935 M2029 M2718:M2720 M2987:M2988 M3016 M3018 M3031:M3034 M3077 M3209 M3211:M3212">
      <formula1>2</formula1>
    </dataValidation>
    <dataValidation type="decimal" allowBlank="1" showErrorMessage="1" errorTitle="Неверно указано Количество" error="минимальное количество для заказа = 1" sqref="M341 M2432 M3361">
      <formula1>1</formula1>
      <formula2>80</formula2>
    </dataValidation>
    <dataValidation type="decimal" operator="equal" allowBlank="1" showErrorMessage="1" errorTitle="Не нужно менять минимальное количество для заказа:" error="минимальное количество для заказа = 48" sqref="K342 K396:K399 K414 K416 K603 K620 K661 K676 K792 K1261:K1263 K3428:K3434 K3436 K3438:K3439 K3443:K3444 K3501:K3504 K3510:K3517 K3520:K3522 K3525:K3529 K3531:K3540 K3548:K3551 K4244 K4246:K4249 K4251:K4257 K4259:K4270 K4277:K4282 K4290:K4291 K4293 K4295 K4315:K4322 K4324:K4327 K4338 K4536">
      <formula1>48</formula1>
    </dataValidation>
    <dataValidation type="decimal" allowBlank="1" showErrorMessage="1" errorTitle="Неверно указано Количество" error="минимальное количество для заказа = 48" sqref="M342">
      <formula1>48</formula1>
      <formula2>7200</formula2>
    </dataValidation>
    <dataValidation type="decimal" allowBlank="1" showErrorMessage="1" errorTitle="Неверно указано Количество" error="минимальное количество для заказа = 16" sqref="M2627">
      <formula1>16</formula1>
      <formula2>1888</formula2>
    </dataValidation>
    <dataValidation type="decimal" allowBlank="1" showErrorMessage="1" errorTitle="Неверно указано Количество" error="минимальное количество для заказа = 36" sqref="M503">
      <formula1>36</formula1>
      <formula2>1008</formula2>
    </dataValidation>
    <dataValidation type="decimal" allowBlank="1" showErrorMessage="1" errorTitle="Неверно указано Количество" error="минимальное количество для заказа = 2" sqref="M343">
      <formula1>2</formula1>
      <formula2>6</formula2>
    </dataValidation>
    <dataValidation type="decimal" allowBlank="1" showErrorMessage="1" errorTitle="Неверно указано Количество" error="минимальное количество для заказа = 2" sqref="M347">
      <formula1>2</formula1>
      <formula2>31</formula2>
    </dataValidation>
    <dataValidation type="decimal" allowBlank="1" showErrorMessage="1" errorTitle="Неверно указано Количество" error="минимальное количество для заказа = 36" sqref="M680">
      <formula1>36</formula1>
      <formula2>171</formula2>
    </dataValidation>
    <dataValidation type="decimal" allowBlank="1" showErrorMessage="1" errorTitle="Неверно указано Количество" error="минимальное количество для заказа = 4" sqref="M352:M353 M369 M371 M373">
      <formula1>4</formula1>
      <formula2>40</formula2>
    </dataValidation>
    <dataValidation type="decimal" operator="greaterThanOrEqual" allowBlank="1" showErrorMessage="1" errorTitle="Нельзя заказать меньше чем :" error="минимальное количество для заказа = 6" sqref="M461:M462 M747 M777 M1776:M1781 M1784 M1795 M1797:M1800 M1802:M1804 M1811 M1835:M1836 M1839:M1841 M1843:M1844 M1846 M1954:M1959 M2010 M2511 M2744 M2747 M2957:M2958 M3043 M3045">
      <formula1>6</formula1>
    </dataValidation>
    <dataValidation type="decimal" allowBlank="1" showErrorMessage="1" errorTitle="Неверно указано Количество" error="минимальное количество для заказа = 1" sqref="M544">
      <formula1>1</formula1>
      <formula2>54</formula2>
    </dataValidation>
    <dataValidation type="decimal" allowBlank="1" showErrorMessage="1" errorTitle="Неверно указано Количество" error="минимальное количество для заказа = 3" sqref="M359 M2572 M3100 M3589">
      <formula1>3</formula1>
      <formula2>8</formula2>
    </dataValidation>
    <dataValidation type="decimal" allowBlank="1" showErrorMessage="1" errorTitle="Неверно указано Количество" error="минимальное количество для заказа = 5" sqref="M364">
      <formula1>5</formula1>
      <formula2>97</formula2>
    </dataValidation>
    <dataValidation type="decimal" allowBlank="1" showErrorMessage="1" errorTitle="Неверно указано Количество" error="минимальное количество для заказа = 10" sqref="M382 M1475">
      <formula1>10</formula1>
      <formula2>18</formula2>
    </dataValidation>
    <dataValidation type="decimal" operator="equal" allowBlank="1" showErrorMessage="1" errorTitle="Не нужно менять минимальное количество для заказа:" error="минимальное количество для заказа = 36" sqref="K384:K390 K395 K489:K492 K499:K500 K502:K503 K610 K680">
      <formula1>36</formula1>
    </dataValidation>
    <dataValidation type="decimal" operator="greaterThanOrEqual" allowBlank="1" showErrorMessage="1" errorTitle="Нельзя заказать меньше чем :" error="минимальное количество для заказа = 36" sqref="M384 M389 M489:M492">
      <formula1>36</formula1>
    </dataValidation>
    <dataValidation type="decimal" allowBlank="1" showErrorMessage="1" errorTitle="Неверно указано Количество" error="минимальное количество для заказа = 36" sqref="M385">
      <formula1>36</formula1>
      <formula2>1459</formula2>
    </dataValidation>
    <dataValidation type="decimal" allowBlank="1" showErrorMessage="1" errorTitle="Неверно указано Количество" error="минимальное количество для заказа = 36" sqref="M387">
      <formula1>36</formula1>
      <formula2>3841</formula2>
    </dataValidation>
    <dataValidation type="decimal" allowBlank="1" showErrorMessage="1" errorTitle="Неверно указано Количество" error="минимальное количество для заказа = 36" sqref="M388">
      <formula1>36</formula1>
      <formula2>6800</formula2>
    </dataValidation>
    <dataValidation type="decimal" allowBlank="1" showErrorMessage="1" errorTitle="Неверно указано Количество" error="минимальное количество для заказа = 140" sqref="M4071">
      <formula1>140</formula1>
      <formula2>2380</formula2>
    </dataValidation>
    <dataValidation type="decimal" allowBlank="1" showErrorMessage="1" errorTitle="Неверно указано Количество" error="минимальное количество для заказа = 36" sqref="M390">
      <formula1>36</formula1>
      <formula2>1158</formula2>
    </dataValidation>
    <dataValidation type="decimal" allowBlank="1" showErrorMessage="1" errorTitle="Неверно указано Количество" error="минимальное количество для заказа = 5" sqref="M1047">
      <formula1>5</formula1>
      <formula2>617</formula2>
    </dataValidation>
    <dataValidation type="decimal" allowBlank="1" showErrorMessage="1" errorTitle="Неверно указано Количество" error="минимальное количество для заказа = 5" sqref="M1048">
      <formula1>5</formula1>
      <formula2>653</formula2>
    </dataValidation>
    <dataValidation type="decimal" allowBlank="1" showErrorMessage="1" errorTitle="Неверно указано Количество" error="минимальное количество для заказа = 3" sqref="M2586">
      <formula1>3</formula1>
      <formula2>139</formula2>
    </dataValidation>
    <dataValidation type="decimal" operator="greaterThanOrEqual" allowBlank="1" showErrorMessage="1" errorTitle="Нельзя заказать меньше чем :" error="минимальное количество для заказа = 24" sqref="M392 M402 M415 M456:M458 M493 M495 M532 M561 M563:M564 M570:M572 M576:M581 M622:M624 M639 M786:M787 M796 M805 M817 M2483">
      <formula1>24</formula1>
    </dataValidation>
    <dataValidation type="decimal" allowBlank="1" showErrorMessage="1" errorTitle="Неверно указано Количество" error="минимальное количество для заказа = 3" sqref="M945">
      <formula1>3</formula1>
      <formula2>488</formula2>
    </dataValidation>
    <dataValidation type="decimal" operator="greaterThanOrEqual" allowBlank="1" showErrorMessage="1" errorTitle="Нельзя заказать меньше чем :" error="минимальное количество для заказа = 12" sqref="M393:M394 M444:M445 M447:M450 M452:M453 M459:M460 M483:M486 M672:M674 M745 M767:M768 M800 M808:M809 M812 M819 M834 M836 M854 M879 M882:M883 M888 M915 M940:M941 M974:M977 M2452 M2806:M2807 M2809 M2812:M2813 M2817 M2821">
      <formula1>12</formula1>
    </dataValidation>
    <dataValidation type="decimal" allowBlank="1" showErrorMessage="1" errorTitle="Неверно указано Количество" error="минимальное количество для заказа = 36" sqref="M395">
      <formula1>36</formula1>
      <formula2>791</formula2>
    </dataValidation>
    <dataValidation type="decimal" allowBlank="1" showErrorMessage="1" errorTitle="Неверно указано Количество" error="минимальное количество для заказа = 7" sqref="M2500">
      <formula1>7</formula1>
      <formula2>912</formula2>
    </dataValidation>
    <dataValidation type="decimal" allowBlank="1" showErrorMessage="1" errorTitle="Неверно указано Количество" error="минимальное количество для заказа = 48" sqref="M397">
      <formula1>48</formula1>
      <formula2>1194</formula2>
    </dataValidation>
    <dataValidation type="decimal" allowBlank="1" showErrorMessage="1" errorTitle="Неверно указано Количество" error="минимальное количество для заказа = 80" sqref="M4466">
      <formula1>80</formula1>
      <formula2>1959</formula2>
    </dataValidation>
    <dataValidation type="decimal" allowBlank="1" showErrorMessage="1" errorTitle="Неверно указано Количество" error="минимальное количество для заказа = 10" sqref="M967">
      <formula1>10</formula1>
      <formula2>100</formula2>
    </dataValidation>
    <dataValidation type="decimal" allowBlank="1" showErrorMessage="1" errorTitle="Неверно указано Количество" error="минимальное количество для заказа = 10" sqref="M2855">
      <formula1>10</formula1>
      <formula2>872</formula2>
    </dataValidation>
    <dataValidation type="decimal" allowBlank="1" showErrorMessage="1" errorTitle="Неверно указано Количество" error="минимальное количество для заказа = 5" sqref="M1965">
      <formula1>5</formula1>
      <formula2>83</formula2>
    </dataValidation>
    <dataValidation type="decimal" allowBlank="1" showErrorMessage="1" errorTitle="Неверно указано Количество" error="минимальное количество для заказа = 48" sqref="M398">
      <formula1>48</formula1>
      <formula2>2178</formula2>
    </dataValidation>
    <dataValidation type="decimal" allowBlank="1" showErrorMessage="1" errorTitle="Неверно указано Количество" error="минимальное количество для заказа = 12" sqref="M810">
      <formula1>12</formula1>
      <formula2>176</formula2>
    </dataValidation>
    <dataValidation type="decimal" allowBlank="1" showErrorMessage="1" errorTitle="Неверно указано Количество" error="минимальное количество для заказа = 240" sqref="M3884">
      <formula1>240</formula1>
      <formula2>4560</formula2>
    </dataValidation>
    <dataValidation type="decimal" allowBlank="1" showErrorMessage="1" errorTitle="Неверно указано Количество" error="минимальное количество для заказа = 8" sqref="M401">
      <formula1>8</formula1>
      <formula2>4796</formula2>
    </dataValidation>
    <dataValidation type="decimal" allowBlank="1" showErrorMessage="1" errorTitle="Неверно указано Количество" error="минимальное количество для заказа = 4" sqref="M3061">
      <formula1>4</formula1>
      <formula2>664</formula2>
    </dataValidation>
    <dataValidation type="decimal" allowBlank="1" showErrorMessage="1" errorTitle="Неверно указано Количество" error="минимальное количество для заказа = 60" sqref="M1095">
      <formula1>60</formula1>
      <formula2>576</formula2>
    </dataValidation>
    <dataValidation type="decimal" allowBlank="1" showErrorMessage="1" errorTitle="Неверно указано Количество" error="минимальное количество для заказа = 12" sqref="M405">
      <formula1>12</formula1>
      <formula2>8399</formula2>
    </dataValidation>
    <dataValidation type="decimal" allowBlank="1" showErrorMessage="1" errorTitle="Неверно указано Количество" error="минимальное количество для заказа = 5" sqref="M408">
      <formula1>5</formula1>
      <formula2>19</formula2>
    </dataValidation>
    <dataValidation type="decimal" operator="greaterThanOrEqual" allowBlank="1" showErrorMessage="1" errorTitle="Нельзя заказать меньше чем :" error="минимальное количество для заказа = 80" sqref="M411 M700 M1092 M3483 M3486:M3489 M3506:M3507 M4399 M4401 M4408 M4410 M4416:M4418 M4422 M4424:M4425 M4430:M4431 M4508 M4514:M4515">
      <formula1>80</formula1>
    </dataValidation>
    <dataValidation type="decimal" allowBlank="1" showErrorMessage="1" errorTitle="Неверно указано Количество" error="минимальное количество для заказа = 20" sqref="M1088">
      <formula1>20</formula1>
      <formula2>1100</formula2>
    </dataValidation>
    <dataValidation type="decimal" operator="greaterThanOrEqual" allowBlank="1" showErrorMessage="1" errorTitle="Нельзя заказать меньше чем :" error="минимальное количество для заказа = 48" sqref="M414 M416 M603 M620 M676 M792 M1262:M1263 M3504 M3510:M3512 M3514:M3516 M3520:M3521 M3525:M3529 M3548:M3549 M4315 M4318 M4321:M4322 M4324:M4325 M4327">
      <formula1>48</formula1>
    </dataValidation>
    <dataValidation type="decimal" operator="greaterThanOrEqual" allowBlank="1" showErrorMessage="1" errorTitle="Нельзя заказать меньше чем :" error="минимальное количество для заказа = 72" sqref="M418:M421 M423 M637">
      <formula1>72</formula1>
    </dataValidation>
    <dataValidation type="decimal" allowBlank="1" showErrorMessage="1" errorTitle="Неверно указано Количество" error="минимальное количество для заказа = 10" sqref="M931">
      <formula1>10</formula1>
      <formula2>962</formula2>
    </dataValidation>
    <dataValidation type="decimal" allowBlank="1" showErrorMessage="1" errorTitle="Неверно указано Количество" error="минимальное количество для заказа = 2" sqref="M440">
      <formula1>2</formula1>
      <formula2>844</formula2>
    </dataValidation>
    <dataValidation type="decimal" allowBlank="1" showErrorMessage="1" errorTitle="Неверно указано Количество" error="минимальное количество для заказа = 240" sqref="M3677">
      <formula1>240</formula1>
      <formula2>17031</formula2>
    </dataValidation>
    <dataValidation type="decimal" allowBlank="1" showErrorMessage="1" errorTitle="Неверно указано Количество" error="минимальное количество для заказа = 2" sqref="M729">
      <formula1>2</formula1>
      <formula2>72</formula2>
    </dataValidation>
    <dataValidation type="decimal" operator="greaterThanOrEqual" allowBlank="1" showErrorMessage="1" errorTitle="Нельзя заказать меньше чем :" error="минимальное количество для заказа = 200" sqref="M465">
      <formula1>200</formula1>
    </dataValidation>
    <dataValidation type="decimal" allowBlank="1" showErrorMessage="1" errorTitle="Неверно указано Количество" error="минимальное количество для заказа = 3" sqref="M2342">
      <formula1>3</formula1>
      <formula2>21</formula2>
    </dataValidation>
    <dataValidation type="decimal" allowBlank="1" showErrorMessage="1" errorTitle="Неверно указано Количество" error="минимальное количество для заказа = 20" sqref="M1188">
      <formula1>20</formula1>
      <formula2>3560</formula2>
    </dataValidation>
    <dataValidation type="decimal" allowBlank="1" showErrorMessage="1" errorTitle="Неверно указано Количество" error="минимальное количество для заказа = 24" sqref="M765">
      <formula1>24</formula1>
      <formula2>3753</formula2>
    </dataValidation>
    <dataValidation type="decimal" allowBlank="1" showErrorMessage="1" errorTitle="Неверно указано Количество" error="минимальное количество для заказа = 200" sqref="M466">
      <formula1>200</formula1>
      <formula2>3131</formula2>
    </dataValidation>
    <dataValidation type="decimal" allowBlank="1" showErrorMessage="1" errorTitle="Неверно указано Количество" error="минимальное количество для заказа = 48" sqref="M3444">
      <formula1>48</formula1>
      <formula2>2180</formula2>
    </dataValidation>
    <dataValidation type="decimal" allowBlank="1" showErrorMessage="1" errorTitle="Неверно указано Количество" error="минимальное количество для заказа = 100" sqref="M467">
      <formula1>100</formula1>
      <formula2>4669</formula2>
    </dataValidation>
    <dataValidation type="decimal" allowBlank="1" showErrorMessage="1" errorTitle="Неверно указано Количество" error="минимальное количество для заказа = 1" sqref="M547">
      <formula1>1</formula1>
      <formula2>390</formula2>
    </dataValidation>
    <dataValidation type="decimal" allowBlank="1" showErrorMessage="1" errorTitle="Неверно указано Количество" error="минимальное количество для заказа = 30" sqref="M473">
      <formula1>30</formula1>
      <formula2>8000</formula2>
    </dataValidation>
    <dataValidation type="decimal" operator="equal" allowBlank="1" showErrorMessage="1" errorTitle="Не нужно менять минимальное количество для заказа:" error="минимальное количество для заказа = 7" sqref="K890:K891 K1176 K1330 K1707:K1709 K1764:K1768 K1770:K1772 K1837 K1842 K2003:K2007 K2486:K2495 K2498:K2504 K2543 K2548 K2550:K2551 K2723:K2728 K2751 K2879:K2881 K2891:K2895 K2897:K2904 K3252:K3253 K3255 K3257:K3258">
      <formula1>7</formula1>
    </dataValidation>
    <dataValidation type="decimal" operator="greaterThanOrEqual" allowBlank="1" showErrorMessage="1" errorTitle="Нельзя заказать меньше чем :" error="минимальное количество для заказа = 20" sqref="M478 M984:M985 M1010:M1011 M1111 M1114:M1115 M1119 M1123 M1130:M1132 M1150 M1201:M1204 M1459:M1460 M1468:M1469 M1479 M1481:M1482 M1489 M1526 M1530:M1531 M3091 M3355">
      <formula1>20</formula1>
    </dataValidation>
    <dataValidation type="decimal" allowBlank="1" showErrorMessage="1" errorTitle="Неверно указано Количество" error="минимальное количество для заказа = 20" sqref="M479">
      <formula1>20</formula1>
      <formula2>294</formula2>
    </dataValidation>
    <dataValidation type="decimal" allowBlank="1" showErrorMessage="1" errorTitle="Неверно указано Количество" error="минимальное количество для заказа = 24" sqref="M496">
      <formula1>24</formula1>
      <formula2>72</formula2>
    </dataValidation>
    <dataValidation type="decimal" allowBlank="1" showErrorMessage="1" errorTitle="Неверно указано Количество" error="минимальное количество для заказа = 36" sqref="M499">
      <formula1>36</formula1>
      <formula2>1152</formula2>
    </dataValidation>
    <dataValidation type="decimal" allowBlank="1" showErrorMessage="1" errorTitle="Неверно указано Количество" error="минимальное количество для заказа = 36" sqref="M500">
      <formula1>36</formula1>
      <formula2>108</formula2>
    </dataValidation>
    <dataValidation type="decimal" allowBlank="1" showErrorMessage="1" errorTitle="Неверно указано Количество" error="минимальное количество для заказа = 50" sqref="M4288">
      <formula1>50</formula1>
      <formula2>1355</formula2>
    </dataValidation>
    <dataValidation type="decimal" allowBlank="1" showErrorMessage="1" errorTitle="Неверно указано Количество" error="минимальное количество для заказа = 1" sqref="M2426">
      <formula1>1</formula1>
      <formula2>473</formula2>
    </dataValidation>
    <dataValidation type="decimal" operator="equal" allowBlank="1" showErrorMessage="1" errorTitle="Не нужно менять минимальное количество для заказа:" error="минимальное количество для заказа = 14" sqref="K505 K853 K1032:K1034">
      <formula1>14</formula1>
    </dataValidation>
    <dataValidation type="decimal" operator="greaterThanOrEqual" allowBlank="1" showErrorMessage="1" errorTitle="Нельзя заказать меньше чем :" error="минимальное количество для заказа = 25" sqref="M507 M852 M885 M1012 M1042:M1043 M1062 M1128:M1129">
      <formula1>25</formula1>
    </dataValidation>
    <dataValidation type="decimal" allowBlank="1" showErrorMessage="1" errorTitle="Неверно указано Количество" error="минимальное количество для заказа = 4" sqref="M953 M1740">
      <formula1>4</formula1>
      <formula2>263</formula2>
    </dataValidation>
    <dataValidation type="decimal" allowBlank="1" showErrorMessage="1" errorTitle="Неверно указано Количество" error="минимальное количество для заказа = 7" sqref="M2501">
      <formula1>7</formula1>
      <formula2>345</formula2>
    </dataValidation>
    <dataValidation type="decimal" operator="equal" allowBlank="1" showErrorMessage="1" errorTitle="Не нужно менять минимальное количество для заказа:" error="минимальное количество для заказа = 18" sqref="K508 K937 K2601">
      <formula1>18</formula1>
    </dataValidation>
    <dataValidation type="decimal" allowBlank="1" showErrorMessage="1" errorTitle="Неверно указано Количество" error="минимальное количество для заказа = 12" sqref="M780">
      <formula1>12</formula1>
      <formula2>236</formula2>
    </dataValidation>
    <dataValidation type="decimal" operator="greaterThanOrEqual" allowBlank="1" showErrorMessage="1" errorTitle="Нельзя заказать меньше чем :" error="минимальное количество для заказа = 18" sqref="M508">
      <formula1>18</formula1>
    </dataValidation>
    <dataValidation type="decimal" allowBlank="1" showErrorMessage="1" errorTitle="Неверно указано Количество" error="минимальное количество для заказа = 200" sqref="M4561">
      <formula1>200</formula1>
      <formula2>200</formula2>
    </dataValidation>
    <dataValidation type="decimal" allowBlank="1" showErrorMessage="1" errorTitle="Неверно указано Количество" error="минимальное количество для заказа = 3" sqref="M2981">
      <formula1>3</formula1>
      <formula2>31</formula2>
    </dataValidation>
    <dataValidation type="decimal" operator="greaterThanOrEqual" allowBlank="1" showErrorMessage="1" errorTitle="Нельзя заказать меньше чем :" error="минимальное количество для заказа = 5" sqref="M510 M552:M553 M736:M737 M1612 M1626 M1678:M1683 M1849:M1853 M1855 M1968 M2013:M2016 M2023 M2045:M2048 M2265:M2266 M2268 M2765 M2962 M2964 M2966:M2967 M3001 M3147 M3149:M3153 M3181:M3184 M3186 M3189 M3191 M3194 M3196 M3201 M3291">
      <formula1>5</formula1>
    </dataValidation>
    <dataValidation type="decimal" allowBlank="1" showErrorMessage="1" errorTitle="Неверно указано Количество" error="минимальное количество для заказа = 6" sqref="M567">
      <formula1>6</formula1>
      <formula2>98</formula2>
    </dataValidation>
    <dataValidation type="decimal" allowBlank="1" showErrorMessage="1" errorTitle="Неверно указано Количество" error="минимальное количество для заказа = 30" sqref="M3635">
      <formula1>30</formula1>
      <formula2>1155</formula2>
    </dataValidation>
    <dataValidation type="decimal" allowBlank="1" showErrorMessage="1" errorTitle="Неверно указано Количество" error="минимальное количество для заказа = 10" sqref="M515">
      <formula1>10</formula1>
      <formula2>805</formula2>
    </dataValidation>
    <dataValidation type="decimal" allowBlank="1" showErrorMessage="1" errorTitle="Неверно указано Количество" error="минимальное количество для заказа = 4" sqref="M2125">
      <formula1>4</formula1>
      <formula2>178</formula2>
    </dataValidation>
    <dataValidation type="decimal" allowBlank="1" showErrorMessage="1" errorTitle="Неверно указано Количество" error="минимальное количество для заказа = 10" sqref="M518">
      <formula1>10</formula1>
      <formula2>1319</formula2>
    </dataValidation>
    <dataValidation type="decimal" allowBlank="1" showErrorMessage="1" errorTitle="Неверно указано Количество" error="минимальное количество для заказа = 12" sqref="M531">
      <formula1>12</formula1>
      <formula2>3264</formula2>
    </dataValidation>
    <dataValidation type="decimal" allowBlank="1" showErrorMessage="1" errorTitle="Неверно указано Количество" error="минимальное количество для заказа = 24" sqref="M533">
      <formula1>24</formula1>
      <formula2>1817</formula2>
    </dataValidation>
    <dataValidation type="decimal" allowBlank="1" showErrorMessage="1" errorTitle="Неверно указано Количество" error="минимальное количество для заказа = 3" sqref="M535 M2249">
      <formula1>3</formula1>
      <formula2>332</formula2>
    </dataValidation>
    <dataValidation type="decimal" allowBlank="1" showErrorMessage="1" errorTitle="Неверно указано Количество" error="минимальное количество для заказа = 1" sqref="M543 M2304">
      <formula1>1</formula1>
      <formula2>190</formula2>
    </dataValidation>
    <dataValidation type="decimal" allowBlank="1" showErrorMessage="1" errorTitle="Неверно указано Количество" error="минимальное количество для заказа = 5" sqref="M551">
      <formula1>5</formula1>
      <formula2>119</formula2>
    </dataValidation>
    <dataValidation type="decimal" allowBlank="1" showErrorMessage="1" errorTitle="Неверно указано Количество" error="минимальное количество для заказа = 20" sqref="M926">
      <formula1>20</formula1>
      <formula2>688</formula2>
    </dataValidation>
    <dataValidation type="decimal" allowBlank="1" showErrorMessage="1" errorTitle="Неверно указано Количество" error="минимальное количество для заказа = 250" sqref="M3938">
      <formula1>250</formula1>
      <formula2>4178</formula2>
    </dataValidation>
    <dataValidation type="decimal" allowBlank="1" showErrorMessage="1" errorTitle="Неверно указано Количество" error="минимальное количество для заказа = 250" sqref="M3697">
      <formula1>250</formula1>
      <formula2>753</formula2>
    </dataValidation>
    <dataValidation type="decimal" allowBlank="1" showErrorMessage="1" errorTitle="Неверно указано Количество" error="минимальное количество для заказа = 8" sqref="M839">
      <formula1>8</formula1>
      <formula2>29</formula2>
    </dataValidation>
    <dataValidation type="decimal" allowBlank="1" showErrorMessage="1" errorTitle="Неверно указано Количество" error="минимальное количество для заказа = 140" sqref="M4081">
      <formula1>140</formula1>
      <formula2>4470</formula2>
    </dataValidation>
    <dataValidation type="decimal" allowBlank="1" showErrorMessage="1" errorTitle="Неверно указано Количество" error="минимальное количество для заказа = 5" sqref="M1290">
      <formula1>5</formula1>
      <formula2>30</formula2>
    </dataValidation>
    <dataValidation type="decimal" allowBlank="1" showErrorMessage="1" errorTitle="Неверно указано Количество" error="минимальное количество для заказа = 24" sqref="M562">
      <formula1>24</formula1>
      <formula2>97</formula2>
    </dataValidation>
    <dataValidation type="decimal" allowBlank="1" showErrorMessage="1" errorTitle="Неверно указано Количество" error="минимальное количество для заказа = 108" sqref="M601">
      <formula1>108</formula1>
      <formula2>130</formula2>
    </dataValidation>
    <dataValidation type="decimal" allowBlank="1" showErrorMessage="1" errorTitle="Неверно указано Количество" error="минимальное количество для заказа = 3" sqref="M1715">
      <formula1>3</formula1>
      <formula2>320</formula2>
    </dataValidation>
    <dataValidation type="decimal" allowBlank="1" showErrorMessage="1" errorTitle="Неверно указано Количество" error="минимальное количество для заказа = 6" sqref="M823">
      <formula1>6</formula1>
      <formula2>110</formula2>
    </dataValidation>
    <dataValidation type="decimal" allowBlank="1" showErrorMessage="1" errorTitle="Неверно указано Количество" error="минимальное количество для заказа = 1" sqref="M2310">
      <formula1>1</formula1>
      <formula2>124</formula2>
    </dataValidation>
    <dataValidation type="decimal" allowBlank="1" showErrorMessage="1" errorTitle="Неверно указано Количество" error="минимальное количество для заказа = 9" sqref="M566 M1344">
      <formula1>9</formula1>
      <formula2>9</formula2>
    </dataValidation>
    <dataValidation type="decimal" allowBlank="1" showErrorMessage="1" errorTitle="Неверно указано Количество" error="минимальное количество для заказа = 6" sqref="M569">
      <formula1>6</formula1>
      <formula2>13</formula2>
    </dataValidation>
    <dataValidation type="decimal" allowBlank="1" showErrorMessage="1" errorTitle="Неверно указано Количество" error="минимальное количество для заказа = 3" sqref="M2318">
      <formula1>3</formula1>
      <formula2>573</formula2>
    </dataValidation>
    <dataValidation type="decimal" allowBlank="1" showErrorMessage="1" errorTitle="Неверно указано Количество" error="минимальное количество для заказа = 24" sqref="M573 M744">
      <formula1>24</formula1>
      <formula2>1072</formula2>
    </dataValidation>
    <dataValidation type="decimal" allowBlank="1" showErrorMessage="1" errorTitle="Неверно указано Количество" error="минимальное количество для заказа = 24" sqref="M574:M575">
      <formula1>24</formula1>
      <formula2>120</formula2>
    </dataValidation>
    <dataValidation type="decimal" operator="equal" allowBlank="1" showErrorMessage="1" errorTitle="Не нужно менять минимальное количество для заказа:" error="минимальное количество для заказа = 132" sqref="K594">
      <formula1>132</formula1>
    </dataValidation>
    <dataValidation type="decimal" allowBlank="1" showErrorMessage="1" errorTitle="Неверно указано Количество" error="минимальное количество для заказа = 6" sqref="M3345">
      <formula1>6</formula1>
      <formula2>372</formula2>
    </dataValidation>
    <dataValidation type="decimal" allowBlank="1" showErrorMessage="1" errorTitle="Неверно указано Количество" error="минимальное количество для заказа = 3" sqref="M626">
      <formula1>3</formula1>
      <formula2>496</formula2>
    </dataValidation>
    <dataValidation type="decimal" operator="equal" allowBlank="1" showErrorMessage="1" errorTitle="Не нужно менять минимальное количество для заказа:" error="минимальное количество для заказа = 168" sqref="K597:K598">
      <formula1>168</formula1>
    </dataValidation>
    <dataValidation type="decimal" operator="greaterThanOrEqual" allowBlank="1" showErrorMessage="1" errorTitle="Нельзя заказать меньше чем :" error="минимальное количество для заказа = 132" sqref="M594">
      <formula1>132</formula1>
    </dataValidation>
    <dataValidation type="decimal" operator="greaterThanOrEqual" allowBlank="1" showErrorMessage="1" errorTitle="Нельзя заказать меньше чем :" error="минимальное количество для заказа = 168" sqref="M597:M598">
      <formula1>168</formula1>
    </dataValidation>
    <dataValidation type="decimal" allowBlank="1" showErrorMessage="1" errorTitle="Неверно указано Количество" error="минимальное количество для заказа = 60" sqref="M617">
      <formula1>60</formula1>
      <formula2>488</formula2>
    </dataValidation>
    <dataValidation type="decimal" allowBlank="1" showErrorMessage="1" errorTitle="Неверно указано Количество" error="минимальное количество для заказа = 24" sqref="M618">
      <formula1>24</formula1>
      <formula2>457</formula2>
    </dataValidation>
    <dataValidation type="decimal" allowBlank="1" showErrorMessage="1" errorTitle="Неверно указано Количество" error="минимальное количество для заказа = 160" sqref="M3988">
      <formula1>160</formula1>
      <formula2>6020</formula2>
    </dataValidation>
    <dataValidation type="decimal" allowBlank="1" showErrorMessage="1" errorTitle="Неверно указано Количество" error="минимальное количество для заказа = 3" sqref="M1858">
      <formula1>3</formula1>
      <formula2>160</formula2>
    </dataValidation>
    <dataValidation type="decimal" allowBlank="1" showErrorMessage="1" errorTitle="Неверно указано Количество" error="минимальное количество для заказа = 50" sqref="M619">
      <formula1>50</formula1>
      <formula2>4000</formula2>
    </dataValidation>
    <dataValidation type="decimal" allowBlank="1" showErrorMessage="1" errorTitle="Неверно указано Количество" error="минимальное количество для заказа = 3" sqref="M627">
      <formula1>3</formula1>
      <formula2>11</formula2>
    </dataValidation>
    <dataValidation type="decimal" allowBlank="1" showErrorMessage="1" errorTitle="Неверно указано Количество" error="минимальное количество для заказа = 100" sqref="M4213">
      <formula1>100</formula1>
      <formula2>10035</formula2>
    </dataValidation>
    <dataValidation type="decimal" allowBlank="1" showErrorMessage="1" errorTitle="Неверно указано Количество" error="минимальное количество для заказа = 3" sqref="M1747 M2250">
      <formula1>3</formula1>
      <formula2>14</formula2>
    </dataValidation>
    <dataValidation type="decimal" allowBlank="1" showErrorMessage="1" errorTitle="Неверно указано Количество" error="минимальное количество для заказа = 12" sqref="M652">
      <formula1>12</formula1>
      <formula2>6256</formula2>
    </dataValidation>
    <dataValidation type="decimal" allowBlank="1" showErrorMessage="1" errorTitle="Неверно указано Количество" error="минимальное количество для заказа = 80" sqref="M3484">
      <formula1>80</formula1>
      <formula2>268</formula2>
    </dataValidation>
    <dataValidation type="decimal" allowBlank="1" showErrorMessage="1" errorTitle="Неверно указано Количество" error="минимальное количество для заказа = 3" sqref="M1725">
      <formula1>3</formula1>
      <formula2>329</formula2>
    </dataValidation>
    <dataValidation type="decimal" allowBlank="1" showErrorMessage="1" errorTitle="Неверно указано Количество" error="минимальное количество для заказа = 20" sqref="M1182">
      <formula1>20</formula1>
      <formula2>620</formula2>
    </dataValidation>
    <dataValidation type="decimal" allowBlank="1" showErrorMessage="1" errorTitle="Неверно указано Количество" error="минимальное количество для заказа = 72" sqref="M636">
      <formula1>72</formula1>
      <formula2>360</formula2>
    </dataValidation>
    <dataValidation type="decimal" allowBlank="1" showErrorMessage="1" errorTitle="Неверно указано Количество" error="минимальное количество для заказа = 240" sqref="M3904">
      <formula1>240</formula1>
      <formula2>710</formula2>
    </dataValidation>
    <dataValidation type="decimal" allowBlank="1" showErrorMessage="1" errorTitle="Неверно указано Количество" error="минимальное количество для заказа = 24" sqref="M644">
      <formula1>24</formula1>
      <formula2>2611</formula2>
    </dataValidation>
    <dataValidation type="decimal" allowBlank="1" showErrorMessage="1" errorTitle="Неверно указано Количество" error="минимальное количество для заказа = 24" sqref="M646">
      <formula1>24</formula1>
      <formula2>6312</formula2>
    </dataValidation>
    <dataValidation type="decimal" allowBlank="1" showErrorMessage="1" errorTitle="Неверно указано Количество" error="минимальное количество для заказа = 30" sqref="M1079">
      <formula1>30</formula1>
      <formula2>1050</formula2>
    </dataValidation>
    <dataValidation type="decimal" allowBlank="1" showErrorMessage="1" errorTitle="Неверно указано Количество" error="минимальное количество для заказа = 40" sqref="M685 M3122">
      <formula1>40</formula1>
      <formula2>100</formula2>
    </dataValidation>
    <dataValidation type="decimal" allowBlank="1" showErrorMessage="1" errorTitle="Неверно указано Количество" error="минимальное количество для заказа = 24" sqref="M647">
      <formula1>24</formula1>
      <formula2>96</formula2>
    </dataValidation>
    <dataValidation type="decimal" allowBlank="1" showErrorMessage="1" errorTitle="Неверно указано Количество" error="минимальное количество для заказа = 24" sqref="M648">
      <formula1>24</formula1>
      <formula2>3312</formula2>
    </dataValidation>
    <dataValidation type="decimal" allowBlank="1" showErrorMessage="1" errorTitle="Неверно указано Количество" error="минимальное количество для заказа = 4" sqref="M740">
      <formula1>4</formula1>
      <formula2>650</formula2>
    </dataValidation>
    <dataValidation type="decimal" allowBlank="1" showErrorMessage="1" errorTitle="Неверно указано Количество" error="минимальное количество для заказа = 12" sqref="M651">
      <formula1>12</formula1>
      <formula2>3982</formula2>
    </dataValidation>
    <dataValidation type="decimal" allowBlank="1" showErrorMessage="1" errorTitle="Неверно указано Количество" error="минимальное количество для заказа = 140" sqref="M4055">
      <formula1>140</formula1>
      <formula2>3030</formula2>
    </dataValidation>
    <dataValidation type="decimal" allowBlank="1" showErrorMessage="1" errorTitle="Неверно указано Количество" error="минимальное количество для заказа = 250" sqref="M3799">
      <formula1>250</formula1>
      <formula2>767</formula2>
    </dataValidation>
    <dataValidation type="decimal" allowBlank="1" showErrorMessage="1" errorTitle="Неверно указано Количество" error="минимальное количество для заказа = 12" sqref="M655">
      <formula1>12</formula1>
      <formula2>756</formula2>
    </dataValidation>
    <dataValidation type="decimal" allowBlank="1" showErrorMessage="1" errorTitle="Неверно указано Количество" error="минимальное количество для заказа = 12" sqref="M656">
      <formula1>12</formula1>
      <formula2>1512</formula2>
    </dataValidation>
    <dataValidation type="decimal" allowBlank="1" showErrorMessage="1" errorTitle="Неверно указано Количество" error="минимальное количество для заказа = 48" sqref="M661">
      <formula1>48</formula1>
      <formula2>4920</formula2>
    </dataValidation>
    <dataValidation type="decimal" allowBlank="1" showErrorMessage="1" errorTitle="Неверно указано Количество" error="минимальное количество для заказа = 1" sqref="M669">
      <formula1>1</formula1>
      <formula2>3598</formula2>
    </dataValidation>
    <dataValidation type="decimal" allowBlank="1" showErrorMessage="1" errorTitle="Неверно указано Количество" error="минимальное количество для заказа = 5" sqref="M1055">
      <formula1>5</formula1>
      <formula2>1513</formula2>
    </dataValidation>
    <dataValidation type="decimal" allowBlank="1" showErrorMessage="1" errorTitle="Неверно указано Количество" error="минимальное количество для заказа = 25" sqref="M1009">
      <formula1>25</formula1>
      <formula2>2499</formula2>
    </dataValidation>
    <dataValidation type="decimal" allowBlank="1" showErrorMessage="1" errorTitle="Неверно указано Количество" error="минимальное количество для заказа = 40" sqref="M683">
      <formula1>40</formula1>
      <formula2>708</formula2>
    </dataValidation>
    <dataValidation type="decimal" allowBlank="1" showErrorMessage="1" errorTitle="Неверно указано Количество" error="минимальное количество для заказа = 40" sqref="M686">
      <formula1>40</formula1>
      <formula2>200</formula2>
    </dataValidation>
    <dataValidation type="decimal" allowBlank="1" showErrorMessage="1" errorTitle="Неверно указано Количество" error="минимальное количество для заказа = 12" sqref="M690 M1174">
      <formula1>12</formula1>
      <formula2>455</formula2>
    </dataValidation>
    <dataValidation type="decimal" allowBlank="1" showErrorMessage="1" errorTitle="Неверно указано Количество" error="минимальное количество для заказа = 12" sqref="M972">
      <formula1>12</formula1>
      <formula2>645</formula2>
    </dataValidation>
    <dataValidation type="decimal" allowBlank="1" showErrorMessage="1" errorTitle="Неверно указано Количество" error="минимальное количество для заказа = 100" sqref="M4162">
      <formula1>100</formula1>
      <formula2>7395</formula2>
    </dataValidation>
    <dataValidation type="decimal" operator="equal" allowBlank="1" showErrorMessage="1" errorTitle="Не нужно менять минимальное количество для заказа:" error="минимальное количество для заказа = 216" sqref="K695">
      <formula1>216</formula1>
    </dataValidation>
    <dataValidation type="decimal" operator="equal" allowBlank="1" showErrorMessage="1" errorTitle="Не нужно менять минимальное количество для заказа:" error="минимальное количество для заказа = 96" sqref="K696 K3370">
      <formula1>96</formula1>
    </dataValidation>
    <dataValidation type="decimal" allowBlank="1" showErrorMessage="1" errorTitle="Неверно указано Количество" error="минимальное количество для заказа = 96" sqref="M696">
      <formula1>96</formula1>
      <formula2>2880</formula2>
    </dataValidation>
    <dataValidation type="decimal" operator="greaterThanOrEqual" allowBlank="1" showErrorMessage="1" errorTitle="Нельзя заказать меньше чем :" error="минимальное количество для заказа = 14" sqref="M853">
      <formula1>14</formula1>
    </dataValidation>
    <dataValidation type="decimal" allowBlank="1" showErrorMessage="1" errorTitle="Неверно указано Количество" error="минимальное количество для заказа = 1" sqref="M2405">
      <formula1>1</formula1>
      <formula2>189</formula2>
    </dataValidation>
    <dataValidation type="decimal" allowBlank="1" showErrorMessage="1" errorTitle="Неверно указано Количество" error="минимальное количество для заказа = 24" sqref="M702">
      <formula1>24</formula1>
      <formula2>252</formula2>
    </dataValidation>
    <dataValidation type="decimal" allowBlank="1" showErrorMessage="1" errorTitle="Неверно указано Количество" error="минимальное количество для заказа = 24" sqref="M706">
      <formula1>24</formula1>
      <formula2>636</formula2>
    </dataValidation>
    <dataValidation type="decimal" allowBlank="1" showErrorMessage="1" errorTitle="Неверно указано Количество" error="минимальное количество для заказа = 2" sqref="M713">
      <formula1>2</formula1>
      <formula2>2686</formula2>
    </dataValidation>
    <dataValidation type="decimal" allowBlank="1" showErrorMessage="1" errorTitle="Неверно указано Количество" error="минимальное количество для заказа = 100" sqref="M4145">
      <formula1>100</formula1>
      <formula2>405</formula2>
    </dataValidation>
    <dataValidation type="decimal" allowBlank="1" showErrorMessage="1" errorTitle="Неверно указано Количество" error="минимальное количество для заказа = 24" sqref="M707">
      <formula1>24</formula1>
      <formula2>1764</formula2>
    </dataValidation>
    <dataValidation type="decimal" allowBlank="1" showErrorMessage="1" errorTitle="Неверно указано Количество" error="минимальное количество для заказа = 2" sqref="M715">
      <formula1>2</formula1>
      <formula2>1559</formula2>
    </dataValidation>
    <dataValidation type="decimal" allowBlank="1" showErrorMessage="1" errorTitle="Неверно указано Количество" error="минимальное количество для заказа = 2" sqref="M716">
      <formula1>2</formula1>
      <formula2>1829</formula2>
    </dataValidation>
    <dataValidation type="decimal" allowBlank="1" showErrorMessage="1" errorTitle="Неверно указано Количество" error="минимальное количество для заказа = 5" sqref="M738">
      <formula1>5</formula1>
      <formula2>594</formula2>
    </dataValidation>
    <dataValidation type="decimal" allowBlank="1" showErrorMessage="1" errorTitle="Неверно указано Количество" error="минимальное количество для заказа = 24" sqref="M746">
      <formula1>24</formula1>
      <formula2>792</formula2>
    </dataValidation>
    <dataValidation type="decimal" allowBlank="1" showErrorMessage="1" errorTitle="Неверно указано Количество" error="минимальное количество для заказа = 24" sqref="M764">
      <formula1>24</formula1>
      <formula2>2700</formula2>
    </dataValidation>
    <dataValidation type="decimal" allowBlank="1" showErrorMessage="1" errorTitle="Неверно указано Количество" error="минимальное количество для заказа = 12" sqref="M772">
      <formula1>12</formula1>
      <formula2>294</formula2>
    </dataValidation>
    <dataValidation type="decimal" allowBlank="1" showErrorMessage="1" errorTitle="Неверно указано Количество" error="минимальное количество для заказа = 2" sqref="M2300">
      <formula1>2</formula1>
      <formula2>25</formula2>
    </dataValidation>
    <dataValidation type="decimal" allowBlank="1" showErrorMessage="1" errorTitle="Неверно указано Количество" error="минимальное количество для заказа = 8" sqref="M1046 M1233 M1297">
      <formula1>8</formula1>
      <formula2>8</formula2>
    </dataValidation>
    <dataValidation type="decimal" allowBlank="1" showErrorMessage="1" errorTitle="Неверно указано Количество" error="минимальное количество для заказа = 12" sqref="M782">
      <formula1>12</formula1>
      <formula2>823</formula2>
    </dataValidation>
    <dataValidation type="decimal" allowBlank="1" showErrorMessage="1" errorTitle="Неверно указано Количество" error="минимальное количество для заказа = 12" sqref="M773">
      <formula1>12</formula1>
      <formula2>117</formula2>
    </dataValidation>
    <dataValidation type="decimal" allowBlank="1" showErrorMessage="1" errorTitle="Неверно указано Количество" error="минимальное количество для заказа = 8" sqref="M775">
      <formula1>8</formula1>
      <formula2>79</formula2>
    </dataValidation>
    <dataValidation type="decimal" allowBlank="1" showErrorMessage="1" errorTitle="Неверно указано Количество" error="минимальное количество для заказа = 12" sqref="M794 M826">
      <formula1>12</formula1>
      <formula2>662</formula2>
    </dataValidation>
    <dataValidation type="decimal" allowBlank="1" showErrorMessage="1" errorTitle="Неверно указано Количество" error="минимальное количество для заказа = 24" sqref="M795 M917">
      <formula1>24</formula1>
      <formula2>24</formula2>
    </dataValidation>
    <dataValidation type="decimal" allowBlank="1" showErrorMessage="1" errorTitle="Неверно указано Количество" error="минимальное количество для заказа = 12" sqref="M799">
      <formula1>12</formula1>
      <formula2>1081</formula2>
    </dataValidation>
    <dataValidation type="decimal" allowBlank="1" showErrorMessage="1" errorTitle="Неверно указано Количество" error="минимальное количество для заказа = 100" sqref="M4187">
      <formula1>100</formula1>
      <formula2>7320</formula2>
    </dataValidation>
    <dataValidation type="decimal" allowBlank="1" showErrorMessage="1" errorTitle="Неверно указано Количество" error="минимальное количество для заказа = 8" sqref="M814">
      <formula1>8</formula1>
      <formula2>257</formula2>
    </dataValidation>
    <dataValidation type="decimal" allowBlank="1" showErrorMessage="1" errorTitle="Неверно указано Количество" error="минимальное количество для заказа = 69" sqref="M1103">
      <formula1>69</formula1>
      <formula2>878</formula2>
    </dataValidation>
    <dataValidation type="decimal" allowBlank="1" showErrorMessage="1" errorTitle="Неверно указано Количество" error="минимальное количество для заказа = 4" sqref="M830 M3142">
      <formula1>4</formula1>
      <formula2>27</formula2>
    </dataValidation>
    <dataValidation type="decimal" allowBlank="1" showErrorMessage="1" errorTitle="Неверно указано Количество" error="минимальное количество для заказа = 12" sqref="M838">
      <formula1>12</formula1>
      <formula2>368</formula2>
    </dataValidation>
    <dataValidation type="decimal" allowBlank="1" showErrorMessage="1" errorTitle="Неверно указано Количество" error="минимальное количество для заказа = 30" sqref="M1500">
      <formula1>30</formula1>
      <formula2>750</formula2>
    </dataValidation>
    <dataValidation type="decimal" allowBlank="1" showErrorMessage="1" errorTitle="Неверно указано Количество" error="минимальное количество для заказа = 24" sqref="M842">
      <formula1>24</formula1>
      <formula2>1444</formula2>
    </dataValidation>
    <dataValidation type="decimal" allowBlank="1" showErrorMessage="1" errorTitle="Неверно указано Количество" error="минимальное количество для заказа = 3" sqref="M2075">
      <formula1>3</formula1>
      <formula2>330</formula2>
    </dataValidation>
    <dataValidation type="decimal" allowBlank="1" showErrorMessage="1" errorTitle="Неверно указано Количество" error="минимальное количество для заказа = 12" sqref="M846">
      <formula1>12</formula1>
      <formula2>2030</formula2>
    </dataValidation>
    <dataValidation type="decimal" allowBlank="1" showErrorMessage="1" errorTitle="Неверно указано Количество" error="минимальное количество для заказа = 5" sqref="M855">
      <formula1>5</formula1>
      <formula2>8</formula2>
    </dataValidation>
    <dataValidation type="decimal" allowBlank="1" showErrorMessage="1" errorTitle="Неверно указано Количество" error="минимальное количество для заказа = 2" sqref="M863">
      <formula1>2</formula1>
      <formula2>862</formula2>
    </dataValidation>
    <dataValidation type="decimal" allowBlank="1" showErrorMessage="1" errorTitle="Неверно указано Количество" error="минимальное количество для заказа = 24" sqref="M871">
      <formula1>24</formula1>
      <formula2>62</formula2>
    </dataValidation>
    <dataValidation type="decimal" allowBlank="1" showErrorMessage="1" errorTitle="Неверно указано Количество" error="минимальное количество для заказа = 3" sqref="M865 M1572 M1898 M3102 M3598">
      <formula1>3</formula1>
      <formula2>4</formula2>
    </dataValidation>
    <dataValidation type="decimal" allowBlank="1" showErrorMessage="1" errorTitle="Неверно указано Количество" error="минимальное количество для заказа = 24" sqref="M873">
      <formula1>24</formula1>
      <formula2>758</formula2>
    </dataValidation>
    <dataValidation type="decimal" allowBlank="1" showErrorMessage="1" errorTitle="Неверно указано Количество" error="минимальное количество для заказа = 100" sqref="M4134">
      <formula1>100</formula1>
      <formula2>7145</formula2>
    </dataValidation>
    <dataValidation type="decimal" allowBlank="1" showErrorMessage="1" errorTitle="Неверно указано Количество" error="минимальное количество для заказа = 6" sqref="M876">
      <formula1>6</formula1>
      <formula2>207</formula2>
    </dataValidation>
    <dataValidation type="decimal" operator="greaterThanOrEqual" allowBlank="1" showErrorMessage="1" errorTitle="Нельзя заказать меньше чем :" error="минимальное количество для заказа = 7" sqref="M890 M1707:M1708 M1764 M1766:M1768 M1770:M1772 M2003:M2005 M2486 M2897 M2900 M2903 M3252:M3253">
      <formula1>7</formula1>
    </dataValidation>
    <dataValidation type="decimal" allowBlank="1" showErrorMessage="1" errorTitle="Неверно указано Количество" error="минимальное количество для заказа = 1" sqref="M894">
      <formula1>1</formula1>
      <formula2>1098</formula2>
    </dataValidation>
    <dataValidation type="decimal" allowBlank="1" showErrorMessage="1" errorTitle="Неверно указано Количество" error="минимальное количество для заказа = 2" sqref="M900">
      <formula1>2</formula1>
      <formula2>1587</formula2>
    </dataValidation>
    <dataValidation type="decimal" allowBlank="1" showErrorMessage="1" errorTitle="Неверно указано Количество" error="минимальное количество для заказа = 1" sqref="M904">
      <formula1>1</formula1>
      <formula2>182</formula2>
    </dataValidation>
    <dataValidation type="decimal" allowBlank="1" showErrorMessage="1" errorTitle="Неверно указано Количество" error="минимальное количество для заказа = 12" sqref="M914">
      <formula1>12</formula1>
      <formula2>335</formula2>
    </dataValidation>
    <dataValidation type="decimal" allowBlank="1" showErrorMessage="1" errorTitle="Неверно указано Количество" error="минимальное количество для заказа = 1" sqref="M921">
      <formula1>1</formula1>
      <formula2>170</formula2>
    </dataValidation>
    <dataValidation type="decimal" allowBlank="1" showErrorMessage="1" errorTitle="Неверно указано Количество" error="минимальное количество для заказа = 7" sqref="M2728">
      <formula1>7</formula1>
      <formula2>8</formula2>
    </dataValidation>
    <dataValidation type="decimal" allowBlank="1" showErrorMessage="1" errorTitle="Неверно указано Количество" error="минимальное количество для заказа = 20" sqref="M936">
      <formula1>20</formula1>
      <formula2>815</formula2>
    </dataValidation>
    <dataValidation type="decimal" allowBlank="1" showErrorMessage="1" errorTitle="Неверно указано Количество" error="минимальное количество для заказа = 3" sqref="M947">
      <formula1>3</formula1>
      <formula2>682</formula2>
    </dataValidation>
    <dataValidation type="decimal" allowBlank="1" showErrorMessage="1" errorTitle="Неверно указано Количество" error="минимальное количество для заказа = 160" sqref="M3953">
      <formula1>160</formula1>
      <formula2>7680</formula2>
    </dataValidation>
    <dataValidation type="decimal" allowBlank="1" showErrorMessage="1" errorTitle="Неверно указано Количество" error="минимальное количество для заказа = 10" sqref="M2871 M2884">
      <formula1>10</formula1>
      <formula2>705</formula2>
    </dataValidation>
    <dataValidation type="decimal" allowBlank="1" showErrorMessage="1" errorTitle="Неверно указано Количество" error="минимальное количество для заказа = 3" sqref="M949">
      <formula1>3</formula1>
      <formula2>369</formula2>
    </dataValidation>
    <dataValidation type="decimal" allowBlank="1" showErrorMessage="1" errorTitle="Неверно указано Количество" error="минимальное количество для заказа = 4" sqref="M954 M3139">
      <formula1>4</formula1>
      <formula2>98</formula2>
    </dataValidation>
    <dataValidation type="decimal" allowBlank="1" showErrorMessage="1" errorTitle="Неверно указано Количество" error="минимальное количество для заказа = 4" sqref="M959">
      <formula1>4</formula1>
      <formula2>325</formula2>
    </dataValidation>
    <dataValidation type="decimal" allowBlank="1" showErrorMessage="1" errorTitle="Неверно указано Количество" error="минимальное количество для заказа = 12" sqref="M971">
      <formula1>12</formula1>
      <formula2>37</formula2>
    </dataValidation>
    <dataValidation type="decimal" allowBlank="1" showErrorMessage="1" errorTitle="Неверно указано Количество" error="минимальное количество для заказа = 30" sqref="M1080">
      <formula1>30</formula1>
      <formula2>760</formula2>
    </dataValidation>
    <dataValidation type="decimal" allowBlank="1" showErrorMessage="1" errorTitle="Неверно указано Количество" error="минимальное количество для заказа = 2" sqref="M1004">
      <formula1>2</formula1>
      <formula2>560</formula2>
    </dataValidation>
    <dataValidation type="decimal" allowBlank="1" showErrorMessage="1" errorTitle="Неверно указано Количество" error="минимальное количество для заказа = 2" sqref="M1005">
      <formula1>2</formula1>
      <formula2>583</formula2>
    </dataValidation>
    <dataValidation type="decimal" allowBlank="1" showErrorMessage="1" errorTitle="Неверно указано Количество" error="минимальное количество для заказа = 14" sqref="M1032">
      <formula1>14</formula1>
      <formula2>1112</formula2>
    </dataValidation>
    <dataValidation type="decimal" allowBlank="1" showErrorMessage="1" errorTitle="Неверно указано Количество" error="минимальное количество для заказа = 14" sqref="M1034">
      <formula1>14</formula1>
      <formula2>69</formula2>
    </dataValidation>
    <dataValidation type="decimal" allowBlank="1" showErrorMessage="1" errorTitle="Неверно указано Количество" error="минимальное количество для заказа = 5" sqref="M1050">
      <formula1>5</formula1>
      <formula2>1510</formula2>
    </dataValidation>
    <dataValidation type="decimal" allowBlank="1" showErrorMessage="1" errorTitle="Неверно указано Количество" error="минимальное количество для заказа = 40" sqref="M1067">
      <formula1>40</formula1>
      <formula2>462</formula2>
    </dataValidation>
    <dataValidation type="decimal" allowBlank="1" showErrorMessage="1" errorTitle="Неверно указано Количество" error="минимальное количество для заказа = 5" sqref="M2160">
      <formula1>5</formula1>
      <formula2>391</formula2>
    </dataValidation>
    <dataValidation type="decimal" allowBlank="1" showErrorMessage="1" errorTitle="Неверно указано Количество" error="минимальное количество для заказа = 40" sqref="M1068">
      <formula1>40</formula1>
      <formula2>600</formula2>
    </dataValidation>
    <dataValidation type="decimal" allowBlank="1" showErrorMessage="1" errorTitle="Неверно указано Количество" error="минимальное количество для заказа = 5" sqref="M3203">
      <formula1>5</formula1>
      <formula2>195</formula2>
    </dataValidation>
    <dataValidation type="decimal" allowBlank="1" showErrorMessage="1" errorTitle="Неверно указано Количество" error="минимальное количество для заказа = 40" sqref="M1070">
      <formula1>40</formula1>
      <formula2>517</formula2>
    </dataValidation>
    <dataValidation type="decimal" operator="greaterThanOrEqual" allowBlank="1" showErrorMessage="1" errorTitle="Нельзя заказать меньше чем :" error="минимальное количество для заказа = 40" sqref="M1071 M1109:M1110 M1112:M1113 M1117 M1122 M1388 M2478:M2479 M2674:M2683 M2685:M2688 M3117 M3119 M3121 M3451 M3453">
      <formula1>40</formula1>
    </dataValidation>
    <dataValidation type="decimal" allowBlank="1" showErrorMessage="1" errorTitle="Неверно указано Количество" error="минимальное количество для заказа = 30" sqref="M1074">
      <formula1>30</formula1>
      <formula2>465</formula2>
    </dataValidation>
    <dataValidation type="decimal" allowBlank="1" showErrorMessage="1" errorTitle="Неверно указано Количество" error="минимальное количество для заказа = 30" sqref="M1075">
      <formula1>30</formula1>
      <formula2>800</formula2>
    </dataValidation>
    <dataValidation type="decimal" allowBlank="1" showErrorMessage="1" errorTitle="Неверно указано Количество" error="минимальное количество для заказа = 30" sqref="M1076">
      <formula1>30</formula1>
      <formula2>140</formula2>
    </dataValidation>
    <dataValidation type="decimal" allowBlank="1" showErrorMessage="1" errorTitle="Неверно указано Количество" error="минимальное количество для заказа = 30" sqref="M3652">
      <formula1>30</formula1>
      <formula2>2464</formula2>
    </dataValidation>
    <dataValidation type="decimal" allowBlank="1" showErrorMessage="1" errorTitle="Неверно указано Количество" error="минимальное количество для заказа = 30" sqref="M1077">
      <formula1>30</formula1>
      <formula2>360</formula2>
    </dataValidation>
    <dataValidation type="decimal" allowBlank="1" showErrorMessage="1" errorTitle="Неверно указано Количество" error="минимальное количество для заказа = 30" sqref="M1078">
      <formula1>30</formula1>
      <formula2>120</formula2>
    </dataValidation>
    <dataValidation type="decimal" operator="equal" allowBlank="1" showErrorMessage="1" errorTitle="Не нужно менять минимальное количество для заказа:" error="минимальное количество для заказа = 70" sqref="K1081">
      <formula1>70</formula1>
    </dataValidation>
    <dataValidation type="decimal" allowBlank="1" showErrorMessage="1" errorTitle="Неверно указано Количество" error="минимальное количество для заказа = 70" sqref="M1081">
      <formula1>70</formula1>
      <formula2>450</formula2>
    </dataValidation>
    <dataValidation type="decimal" allowBlank="1" showErrorMessage="1" errorTitle="Неверно указано Количество" error="минимальное количество для заказа = 3" sqref="M1723">
      <formula1>3</formula1>
      <formula2>502</formula2>
    </dataValidation>
    <dataValidation type="decimal" allowBlank="1" showErrorMessage="1" errorTitle="Неверно указано Количество" error="минимальное количество для заказа = 30" sqref="M1082">
      <formula1>30</formula1>
      <formula2>270</formula2>
    </dataValidation>
    <dataValidation type="decimal" allowBlank="1" showErrorMessage="1" errorTitle="Неверно указано Количество" error="минимальное количество для заказа = 20" sqref="M1084">
      <formula1>20</formula1>
      <formula2>160</formula2>
    </dataValidation>
    <dataValidation type="decimal" allowBlank="1" showErrorMessage="1" errorTitle="Неверно указано Количество" error="минимальное количество для заказа = 80" sqref="M1090">
      <formula1>80</formula1>
      <formula2>4360</formula2>
    </dataValidation>
    <dataValidation type="decimal" allowBlank="1" showErrorMessage="1" errorTitle="Неверно указано Количество" error="минимальное количество для заказа = 80" sqref="M1091">
      <formula1>80</formula1>
      <formula2>4277</formula2>
    </dataValidation>
    <dataValidation type="decimal" allowBlank="1" showErrorMessage="1" errorTitle="Неверно указано Количество" error="минимальное количество для заказа = 80" sqref="M4363">
      <formula1>80</formula1>
      <formula2>3130</formula2>
    </dataValidation>
    <dataValidation type="decimal" allowBlank="1" showErrorMessage="1" errorTitle="Неверно указано Количество" error="минимальное количество для заказа = 60" sqref="M1093">
      <formula1>60</formula1>
      <formula2>3320</formula2>
    </dataValidation>
    <dataValidation type="decimal" operator="greaterThanOrEqual" allowBlank="1" showErrorMessage="1" errorTitle="Нельзя заказать меньше чем :" error="минимальное количество для заказа = 60" sqref="M1094 M1108">
      <formula1>60</formula1>
    </dataValidation>
    <dataValidation type="decimal" allowBlank="1" showErrorMessage="1" errorTitle="Неверно указано Количество" error="минимальное количество для заказа = 30" sqref="M1097">
      <formula1>30</formula1>
      <formula2>552</formula2>
    </dataValidation>
    <dataValidation type="decimal" allowBlank="1" showErrorMessage="1" errorTitle="Неверно указано Количество" error="минимальное количество для заказа = 250" sqref="M3714">
      <formula1>250</formula1>
      <formula2>19248</formula2>
    </dataValidation>
    <dataValidation type="decimal" allowBlank="1" showErrorMessage="1" errorTitle="Неверно указано Количество" error="минимальное количество для заказа = 30" sqref="M1401">
      <formula1>30</formula1>
      <formula2>1200</formula2>
    </dataValidation>
    <dataValidation type="decimal" allowBlank="1" showErrorMessage="1" errorTitle="Неверно указано Количество" error="минимальное количество для заказа = 30" sqref="M1099">
      <formula1>30</formula1>
      <formula2>1176</formula2>
    </dataValidation>
    <dataValidation type="decimal" allowBlank="1" showErrorMessage="1" errorTitle="Неверно указано Количество" error="минимальное количество для заказа = 30" sqref="M1100">
      <formula1>30</formula1>
      <formula2>699</formula2>
    </dataValidation>
    <dataValidation type="decimal" allowBlank="1" showErrorMessage="1" errorTitle="Неверно указано Количество" error="минимальное количество для заказа = 4" sqref="M1742 M1816">
      <formula1>4</formula1>
      <formula2>174</formula2>
    </dataValidation>
    <dataValidation type="decimal" allowBlank="1" showErrorMessage="1" errorTitle="Неверно указано Количество" error="минимальное количество для заказа = 30" sqref="M1101">
      <formula1>30</formula1>
      <formula2>1025</formula2>
    </dataValidation>
    <dataValidation type="decimal" allowBlank="1" showErrorMessage="1" errorTitle="Неверно указано Количество" error="минимальное количество для заказа = 7" sqref="M2548">
      <formula1>7</formula1>
      <formula2>446</formula2>
    </dataValidation>
    <dataValidation type="decimal" operator="equal" allowBlank="1" showErrorMessage="1" errorTitle="Не нужно менять минимальное количество для заказа:" error="минимальное количество для заказа = 69" sqref="K1103">
      <formula1>69</formula1>
    </dataValidation>
    <dataValidation type="decimal" allowBlank="1" showErrorMessage="1" errorTitle="Неверно указано Количество" error="минимальное количество для заказа = 30" sqref="M1105">
      <formula1>30</formula1>
      <formula2>1089</formula2>
    </dataValidation>
    <dataValidation type="decimal" allowBlank="1" showErrorMessage="1" errorTitle="Неверно указано Количество" error="минимальное количество для заказа = 30" sqref="M1106">
      <formula1>30</formula1>
      <formula2>187</formula2>
    </dataValidation>
    <dataValidation type="decimal" allowBlank="1" showErrorMessage="1" errorTitle="Неверно указано Количество" error="минимальное количество для заказа = 40" sqref="M1116">
      <formula1>40</formula1>
      <formula2>287</formula2>
    </dataValidation>
    <dataValidation type="decimal" allowBlank="1" showErrorMessage="1" errorTitle="Неверно указано Количество" error="минимальное количество для заказа = 40" sqref="M1118">
      <formula1>40</formula1>
      <formula2>2100</formula2>
    </dataValidation>
    <dataValidation type="decimal" allowBlank="1" showErrorMessage="1" errorTitle="Неверно указано Количество" error="минимальное количество для заказа = 20" sqref="M1120">
      <formula1>20</formula1>
      <formula2>4000</formula2>
    </dataValidation>
    <dataValidation type="decimal" allowBlank="1" showErrorMessage="1" errorTitle="Неверно указано Количество" error="минимальное количество для заказа = 5" sqref="M3301">
      <formula1>5</formula1>
      <formula2>10</formula2>
    </dataValidation>
    <dataValidation type="decimal" allowBlank="1" showErrorMessage="1" errorTitle="Неверно указано Количество" error="минимальное количество для заказа = 50" sqref="M1436">
      <formula1>50</formula1>
      <formula2>1684</formula2>
    </dataValidation>
    <dataValidation type="decimal" allowBlank="1" showErrorMessage="1" errorTitle="Неверно указано Количество" error="минимальное количество для заказа = 60" sqref="M1121">
      <formula1>60</formula1>
      <formula2>1780</formula2>
    </dataValidation>
    <dataValidation type="decimal" allowBlank="1" showErrorMessage="1" errorTitle="Неверно указано Количество" error="минимальное количество для заказа = 20" sqref="M1124 M1511">
      <formula1>20</formula1>
      <formula2>280</formula2>
    </dataValidation>
    <dataValidation type="decimal" allowBlank="1" showErrorMessage="1" errorTitle="Неверно указано Количество" error="минимальное количество для заказа = 1" sqref="M2199">
      <formula1>1</formula1>
      <formula2>716</formula2>
    </dataValidation>
    <dataValidation type="decimal" allowBlank="1" showErrorMessage="1" errorTitle="Неверно указано Количество" error="минимальное количество для заказа = 24" sqref="M1142">
      <formula1>24</formula1>
      <formula2>368</formula2>
    </dataValidation>
    <dataValidation type="decimal" allowBlank="1" showErrorMessage="1" errorTitle="Неверно указано Количество" error="минимальное количество для заказа = 24" sqref="M1143">
      <formula1>24</formula1>
      <formula2>2231</formula2>
    </dataValidation>
    <dataValidation type="decimal" allowBlank="1" showErrorMessage="1" errorTitle="Неверно указано Количество" error="минимальное количество для заказа = 2" sqref="M2294">
      <formula1>2</formula1>
      <formula2>73</formula2>
    </dataValidation>
    <dataValidation type="decimal" allowBlank="1" showErrorMessage="1" errorTitle="Неверно указано Количество" error="минимальное количество для заказа = 25" sqref="M1145">
      <formula1>25</formula1>
      <formula2>1829</formula2>
    </dataValidation>
    <dataValidation type="decimal" allowBlank="1" showErrorMessage="1" errorTitle="Неверно указано Количество" error="минимальное количество для заказа = 50" sqref="M4309">
      <formula1>50</formula1>
      <formula2>6580</formula2>
    </dataValidation>
    <dataValidation type="decimal" allowBlank="1" showErrorMessage="1" errorTitle="Неверно указано Количество" error="минимальное количество для заказа = 25" sqref="M1146">
      <formula1>25</formula1>
      <formula2>955</formula2>
    </dataValidation>
    <dataValidation type="decimal" allowBlank="1" showErrorMessage="1" errorTitle="Неверно указано Количество" error="минимальное количество для заказа = 20" sqref="M1151">
      <formula1>20</formula1>
      <formula2>1350</formula2>
    </dataValidation>
    <dataValidation type="decimal" allowBlank="1" showErrorMessage="1" errorTitle="Неверно указано Количество" error="минимальное количество для заказа = 20" sqref="M1154">
      <formula1>20</formula1>
      <formula2>685</formula2>
    </dataValidation>
    <dataValidation type="decimal" allowBlank="1" showErrorMessage="1" errorTitle="Неверно указано Количество" error="минимальное количество для заказа = 150" sqref="M3965">
      <formula1>150</formula1>
      <formula2>1275</formula2>
    </dataValidation>
    <dataValidation type="decimal" allowBlank="1" showErrorMessage="1" errorTitle="Неверно указано Количество" error="минимальное количество для заказа = 20" sqref="M1155">
      <formula1>20</formula1>
      <formula2>3797</formula2>
    </dataValidation>
    <dataValidation type="decimal" allowBlank="1" showErrorMessage="1" errorTitle="Неверно указано Количество" error="минимальное количество для заказа = 20" sqref="M1156">
      <formula1>20</formula1>
      <formula2>1210</formula2>
    </dataValidation>
    <dataValidation type="decimal" allowBlank="1" showErrorMessage="1" errorTitle="Неверно указано Количество" error="минимальное количество для заказа = 6" sqref="M2742">
      <formula1>6</formula1>
      <formula2>84</formula2>
    </dataValidation>
    <dataValidation type="decimal" allowBlank="1" showErrorMessage="1" errorTitle="Неверно указано Количество" error="минимальное количество для заказа = 20" sqref="M1157">
      <formula1>20</formula1>
      <formula2>775</formula2>
    </dataValidation>
    <dataValidation type="decimal" allowBlank="1" showErrorMessage="1" errorTitle="Неверно указано Количество" error="минимальное количество для заказа = 20" sqref="M1158">
      <formula1>20</formula1>
      <formula2>1057</formula2>
    </dataValidation>
    <dataValidation type="decimal" allowBlank="1" showErrorMessage="1" errorTitle="Неверно указано Количество" error="минимальное количество для заказа = 20" sqref="M1162">
      <formula1>20</formula1>
      <formula2>1394</formula2>
    </dataValidation>
    <dataValidation type="decimal" allowBlank="1" showErrorMessage="1" errorTitle="Неверно указано Количество" error="минимальное количество для заказа = 5" sqref="M3132">
      <formula1>5</formula1>
      <formula2>1153</formula2>
    </dataValidation>
    <dataValidation type="decimal" allowBlank="1" showErrorMessage="1" errorTitle="Неверно указано Количество" error="минимальное количество для заказа = 20" sqref="M1163">
      <formula1>20</formula1>
      <formula2>2460</formula2>
    </dataValidation>
    <dataValidation type="decimal" allowBlank="1" showErrorMessage="1" errorTitle="Неверно указано Количество" error="минимальное количество для заказа = 12" sqref="M4523">
      <formula1>12</formula1>
      <formula2>115</formula2>
    </dataValidation>
    <dataValidation type="decimal" allowBlank="1" showErrorMessage="1" errorTitle="Неверно указано Количество" error="минимальное количество для заказа = 20" sqref="M1167 M1187">
      <formula1>20</formula1>
      <formula2>300</formula2>
    </dataValidation>
    <dataValidation type="decimal" allowBlank="1" showErrorMessage="1" errorTitle="Неверно указано Количество" error="минимальное количество для заказа = 100" sqref="M4115">
      <formula1>100</formula1>
      <formula2>510</formula2>
    </dataValidation>
    <dataValidation type="decimal" allowBlank="1" showErrorMessage="1" errorTitle="Неверно указано Количество" error="минимальное количество для заказа = 3" sqref="M2179">
      <formula1>3</formula1>
      <formula2>474</formula2>
    </dataValidation>
    <dataValidation type="decimal" allowBlank="1" showErrorMessage="1" errorTitle="Неверно указано Количество" error="минимальное количество для заказа = 20" sqref="M1168">
      <formula1>20</formula1>
      <formula2>2820</formula2>
    </dataValidation>
    <dataValidation type="decimal" allowBlank="1" showErrorMessage="1" errorTitle="Неверно указано Количество" error="минимальное количество для заказа = 12" sqref="M1172">
      <formula1>12</formula1>
      <formula2>17</formula2>
    </dataValidation>
    <dataValidation type="decimal" allowBlank="1" showErrorMessage="1" errorTitle="Неверно указано Количество" error="минимальное количество для заказа = 12" sqref="M1173">
      <formula1>12</formula1>
      <formula2>1646</formula2>
    </dataValidation>
    <dataValidation type="decimal" allowBlank="1" showErrorMessage="1" errorTitle="Неверно указано Количество" error="минимальное количество для заказа = 5" sqref="M1375">
      <formula1>5</formula1>
      <formula2>865</formula2>
    </dataValidation>
    <dataValidation type="decimal" allowBlank="1" showErrorMessage="1" errorTitle="Неверно указано Количество" error="минимальное количество для заказа = 7" sqref="M1176 M2751">
      <formula1>7</formula1>
      <formula2>7</formula2>
    </dataValidation>
    <dataValidation type="decimal" allowBlank="1" showErrorMessage="1" errorTitle="Неверно указано Количество" error="минимальное количество для заказа = 20" sqref="M1179">
      <formula1>20</formula1>
      <formula2>1418</formula2>
    </dataValidation>
    <dataValidation type="decimal" allowBlank="1" showErrorMessage="1" errorTitle="Неверно указано Количество" error="минимальное количество для заказа = 20" sqref="M1180">
      <formula1>20</formula1>
      <formula2>29</formula2>
    </dataValidation>
    <dataValidation type="decimal" allowBlank="1" showErrorMessage="1" errorTitle="Неверно указано Количество" error="минимальное количество для заказа = 20" sqref="M1183">
      <formula1>20</formula1>
      <formula2>2315</formula2>
    </dataValidation>
    <dataValidation type="decimal" allowBlank="1" showErrorMessage="1" errorTitle="Неверно указано Количество" error="минимальное количество для заказа = 8" sqref="M1197">
      <formula1>8</formula1>
      <formula2>2226</formula2>
    </dataValidation>
    <dataValidation type="decimal" allowBlank="1" showErrorMessage="1" errorTitle="Неверно указано Количество" error="минимальное количество для заказа = 8" sqref="M1198">
      <formula1>8</formula1>
      <formula2>4979</formula2>
    </dataValidation>
    <dataValidation type="decimal" allowBlank="1" showErrorMessage="1" errorTitle="Неверно указано Количество" error="минимальное количество для заказа = 20" sqref="M1205">
      <formula1>20</formula1>
      <formula2>585</formula2>
    </dataValidation>
    <dataValidation type="decimal" allowBlank="1" showErrorMessage="1" errorTitle="Неверно указано Количество" error="минимальное количество для заказа = 20" sqref="M1208">
      <formula1>20</formula1>
      <formula2>852</formula2>
    </dataValidation>
    <dataValidation type="decimal" allowBlank="1" showErrorMessage="1" errorTitle="Неверно указано Количество" error="минимальное количество для заказа = 20" sqref="M1209">
      <formula1>20</formula1>
      <formula2>872</formula2>
    </dataValidation>
    <dataValidation type="decimal" allowBlank="1" showErrorMessage="1" errorTitle="Неверно указано Количество" error="минимальное количество для заказа = 80" sqref="M4455">
      <formula1>80</formula1>
      <formula2>3740</formula2>
    </dataValidation>
    <dataValidation type="decimal" allowBlank="1" showErrorMessage="1" errorTitle="Неверно указано Количество" error="минимальное количество для заказа = 20" sqref="M1211">
      <formula1>20</formula1>
      <formula2>91</formula2>
    </dataValidation>
    <dataValidation type="decimal" operator="greaterThanOrEqual" allowBlank="1" showErrorMessage="1" errorTitle="Нельзя заказать меньше чем :" error="минимальное количество для заказа = 16" sqref="M1215:M1216 M1219 M1223 M1240:M1241 M1243 M1245:M1247 M1252:M1258">
      <formula1>16</formula1>
    </dataValidation>
    <dataValidation type="decimal" allowBlank="1" showErrorMessage="1" errorTitle="Неверно указано Количество" error="минимальное количество для заказа = 16" sqref="M1218">
      <formula1>16</formula1>
      <formula2>154</formula2>
    </dataValidation>
    <dataValidation type="decimal" allowBlank="1" showErrorMessage="1" errorTitle="Неверно указано Количество" error="минимальное количество для заказа = 48" sqref="M4260">
      <formula1>48</formula1>
      <formula2>72</formula2>
    </dataValidation>
    <dataValidation type="decimal" allowBlank="1" showErrorMessage="1" errorTitle="Неверно указано Количество" error="минимальное количество для заказа = 48" sqref="M3434">
      <formula1>48</formula1>
      <formula2>1866</formula2>
    </dataValidation>
    <dataValidation type="decimal" allowBlank="1" showErrorMessage="1" errorTitle="Неверно указано Количество" error="минимальное количество для заказа = 16" sqref="M1220">
      <formula1>16</formula1>
      <formula2>4608</formula2>
    </dataValidation>
    <dataValidation type="decimal" allowBlank="1" showErrorMessage="1" errorTitle="Неверно указано Количество" error="минимальное количество для заказа = 4" sqref="M3216">
      <formula1>4</formula1>
      <formula2>412</formula2>
    </dataValidation>
    <dataValidation type="decimal" allowBlank="1" showErrorMessage="1" errorTitle="Неверно указано Количество" error="минимальное количество для заказа = 16" sqref="M1221">
      <formula1>16</formula1>
      <formula2>3402</formula2>
    </dataValidation>
    <dataValidation type="decimal" allowBlank="1" showErrorMessage="1" errorTitle="Неверно указано Количество" error="минимальное количество для заказа = 16" sqref="M1222">
      <formula1>16</formula1>
      <formula2>3728</formula2>
    </dataValidation>
    <dataValidation type="decimal" allowBlank="1" showErrorMessage="1" errorTitle="Неверно указано Количество" error="минимальное количество для заказа = 16" sqref="M1224">
      <formula1>16</formula1>
      <formula2>2800</formula2>
    </dataValidation>
    <dataValidation type="decimal" allowBlank="1" showErrorMessage="1" errorTitle="Неверно указано Количество" error="минимальное количество для заказа = 80" sqref="M4479 M4507">
      <formula1>80</formula1>
      <formula2>1440</formula2>
    </dataValidation>
    <dataValidation type="decimal" allowBlank="1" showErrorMessage="1" errorTitle="Неверно указано Количество" error="минимальное количество для заказа = 16" sqref="M1226">
      <formula1>16</formula1>
      <formula2>4240</formula2>
    </dataValidation>
    <dataValidation type="decimal" allowBlank="1" showErrorMessage="1" errorTitle="Неверно указано Количество" error="минимальное количество для заказа = 16" sqref="M1227">
      <formula1>16</formula1>
      <formula2>3482</formula2>
    </dataValidation>
    <dataValidation type="decimal" allowBlank="1" showErrorMessage="1" errorTitle="Неверно указано Количество" error="минимальное количество для заказа = 48" sqref="M3430">
      <formula1>48</formula1>
      <formula2>3114</formula2>
    </dataValidation>
    <dataValidation type="decimal" allowBlank="1" showErrorMessage="1" errorTitle="Неверно указано Количество" error="минимальное количество для заказа = 20" sqref="M1232">
      <formula1>20</formula1>
      <formula2>1805</formula2>
    </dataValidation>
    <dataValidation type="decimal" allowBlank="1" showErrorMessage="1" errorTitle="Неверно указано Количество" error="минимальное количество для заказа = 100" sqref="M4152">
      <formula1>100</formula1>
      <formula2>2200</formula2>
    </dataValidation>
    <dataValidation type="decimal" allowBlank="1" showErrorMessage="1" errorTitle="Неверно указано Количество" error="минимальное количество для заказа = 10" sqref="M1235">
      <formula1>10</formula1>
      <formula2>1676</formula2>
    </dataValidation>
    <dataValidation type="decimal" allowBlank="1" showErrorMessage="1" errorTitle="Неверно указано Количество" error="минимальное количество для заказа = 2" sqref="M3012">
      <formula1>2</formula1>
      <formula2>588</formula2>
    </dataValidation>
    <dataValidation type="decimal" allowBlank="1" showErrorMessage="1" errorTitle="Неверно указано Количество" error="минимальное количество для заказа = 4" sqref="M1865">
      <formula1>4</formula1>
      <formula2>420</formula2>
    </dataValidation>
    <dataValidation type="decimal" allowBlank="1" showErrorMessage="1" errorTitle="Неверно указано Количество" error="минимальное количество для заказа = 12" sqref="M1236">
      <formula1>12</formula1>
      <formula2>15</formula2>
    </dataValidation>
    <dataValidation type="decimal" allowBlank="1" showErrorMessage="1" errorTitle="Неверно указано Количество" error="минимальное количество для заказа = 16" sqref="M1242">
      <formula1>16</formula1>
      <formula2>3040</formula2>
    </dataValidation>
    <dataValidation type="decimal" allowBlank="1" showErrorMessage="1" errorTitle="Неверно указано Количество" error="минимальное количество для заказа = 16" sqref="M1244">
      <formula1>16</formula1>
      <formula2>1504</formula2>
    </dataValidation>
    <dataValidation type="decimal" allowBlank="1" showErrorMessage="1" errorTitle="Неверно указано Количество" error="минимальное количество для заказа = 20" sqref="M1284">
      <formula1>20</formula1>
      <formula2>137</formula2>
    </dataValidation>
    <dataValidation type="decimal" allowBlank="1" showErrorMessage="1" errorTitle="Неверно указано Количество" error="минимальное количество для заказа = 16" sqref="M1248">
      <formula1>16</formula1>
      <formula2>3024</formula2>
    </dataValidation>
    <dataValidation type="decimal" allowBlank="1" showErrorMessage="1" errorTitle="Неверно указано Количество" error="минимальное количество для заказа = 16" sqref="M1251">
      <formula1>16</formula1>
      <formula2>3792</formula2>
    </dataValidation>
    <dataValidation type="decimal" allowBlank="1" showErrorMessage="1" errorTitle="Неверно указано Количество" error="минимальное количество для заказа = 48" sqref="M1261">
      <formula1>48</formula1>
      <formula2>4272</formula2>
    </dataValidation>
    <dataValidation type="decimal" allowBlank="1" showErrorMessage="1" errorTitle="Неверно указано Количество" error="минимальное количество для заказа = 10" sqref="M1273">
      <formula1>10</formula1>
      <formula2>3146</formula2>
    </dataValidation>
    <dataValidation type="decimal" allowBlank="1" showErrorMessage="1" errorTitle="Неверно указано Количество" error="минимальное количество для заказа = 15" sqref="M1464">
      <formula1>15</formula1>
      <formula2>40</formula2>
    </dataValidation>
    <dataValidation type="decimal" allowBlank="1" showErrorMessage="1" errorTitle="Неверно указано Количество" error="минимальное количество для заказа = 10" sqref="M1274">
      <formula1>10</formula1>
      <formula2>3900</formula2>
    </dataValidation>
    <dataValidation type="decimal" allowBlank="1" showErrorMessage="1" errorTitle="Неверно указано Количество" error="минимальное количество для заказа = 10" sqref="M1275">
      <formula1>10</formula1>
      <formula2>1866</formula2>
    </dataValidation>
    <dataValidation type="decimal" allowBlank="1" showErrorMessage="1" errorTitle="Неверно указано Количество" error="минимальное количество для заказа = 30" sqref="M1277">
      <formula1>30</formula1>
      <formula2>1349</formula2>
    </dataValidation>
    <dataValidation type="decimal" allowBlank="1" showErrorMessage="1" errorTitle="Неверно указано Количество" error="минимальное количество для заказа = 20" sqref="M1280">
      <formula1>20</formula1>
      <formula2>65</formula2>
    </dataValidation>
    <dataValidation type="decimal" allowBlank="1" showErrorMessage="1" errorTitle="Неверно указано Количество" error="минимальное количество для заказа = 20" sqref="M1285">
      <formula1>20</formula1>
      <formula2>21</formula2>
    </dataValidation>
    <dataValidation type="decimal" allowBlank="1" showErrorMessage="1" errorTitle="Неверно указано Количество" error="минимальное количество для заказа = 5" sqref="M1289">
      <formula1>5</formula1>
      <formula2>52</formula2>
    </dataValidation>
    <dataValidation type="decimal" allowBlank="1" showErrorMessage="1" errorTitle="Неверно указано Количество" error="минимальное количество для заказа = 100" sqref="M4202">
      <formula1>100</formula1>
      <formula2>3949</formula2>
    </dataValidation>
    <dataValidation type="decimal" allowBlank="1" showErrorMessage="1" errorTitle="Неверно указано Количество" error="минимальное количество для заказа = 5" sqref="M1291">
      <formula1>5</formula1>
      <formula2>114</formula2>
    </dataValidation>
    <dataValidation type="decimal" allowBlank="1" showErrorMessage="1" errorTitle="Неверно указано Количество" error="минимальное количество для заказа = 4" sqref="M1292">
      <formula1>4</formula1>
      <formula2>3651</formula2>
    </dataValidation>
    <dataValidation type="decimal" allowBlank="1" showErrorMessage="1" errorTitle="Неверно указано Количество" error="минимальное количество для заказа = 8" sqref="M1298">
      <formula1>8</formula1>
      <formula2>240</formula2>
    </dataValidation>
    <dataValidation type="decimal" allowBlank="1" showErrorMessage="1" errorTitle="Неверно указано Количество" error="минимальное количество для заказа = 15" sqref="M1325">
      <formula1>15</formula1>
      <formula2>742</formula2>
    </dataValidation>
    <dataValidation type="decimal" allowBlank="1" showErrorMessage="1" errorTitle="Неверно указано Количество" error="минимальное количество для заказа = 15" sqref="M1326">
      <formula1>15</formula1>
      <formula2>866</formula2>
    </dataValidation>
    <dataValidation type="decimal" allowBlank="1" showErrorMessage="1" errorTitle="Неверно указано Количество" error="минимальное количество для заказа = 7" sqref="M1330">
      <formula1>7</formula1>
      <formula2>93</formula2>
    </dataValidation>
    <dataValidation type="decimal" allowBlank="1" showErrorMessage="1" errorTitle="Неверно указано Количество" error="минимальное количество для заказа = 5" sqref="M1333">
      <formula1>5</formula1>
      <formula2>1060</formula2>
    </dataValidation>
    <dataValidation type="decimal" allowBlank="1" showErrorMessage="1" errorTitle="Неверно указано Количество" error="минимальное количество для заказа = 10" sqref="M1341">
      <formula1>10</formula1>
      <formula2>208</formula2>
    </dataValidation>
    <dataValidation type="decimal" allowBlank="1" showErrorMessage="1" errorTitle="Неверно указано Количество" error="минимальное количество для заказа = 10" sqref="M1342">
      <formula1>10</formula1>
      <formula2>252</formula2>
    </dataValidation>
    <dataValidation type="decimal" allowBlank="1" showErrorMessage="1" errorTitle="Неверно указано Количество" error="минимальное количество для заказа = 2" sqref="M3011">
      <formula1>2</formula1>
      <formula2>61</formula2>
    </dataValidation>
    <dataValidation type="decimal" allowBlank="1" showErrorMessage="1" errorTitle="Неверно указано Количество" error="минимальное количество для заказа = 30" sqref="M1347">
      <formula1>30</formula1>
      <formula2>1023</formula2>
    </dataValidation>
    <dataValidation type="decimal" allowBlank="1" showErrorMessage="1" errorTitle="Неверно указано Количество" error="минимальное количество для заказа = 7" sqref="M2724">
      <formula1>7</formula1>
      <formula2>236</formula2>
    </dataValidation>
    <dataValidation type="decimal" allowBlank="1" showErrorMessage="1" errorTitle="Неверно указано Количество" error="минимальное количество для заказа = 30" sqref="M1349 M3625">
      <formula1>30</formula1>
      <formula2>50</formula2>
    </dataValidation>
    <dataValidation type="decimal" allowBlank="1" showErrorMessage="1" errorTitle="Неверно указано Количество" error="минимальное количество для заказа = 20" sqref="M1353">
      <formula1>20</formula1>
      <formula2>1235</formula2>
    </dataValidation>
    <dataValidation type="decimal" allowBlank="1" showErrorMessage="1" errorTitle="Неверно указано Количество" error="минимальное количество для заказа = 20" sqref="M1354">
      <formula1>20</formula1>
      <formula2>522</formula2>
    </dataValidation>
    <dataValidation type="decimal" allowBlank="1" showErrorMessage="1" errorTitle="Неверно указано Количество" error="минимальное количество для заказа = 6" sqref="M1362">
      <formula1>6</formula1>
      <formula2>61</formula2>
    </dataValidation>
    <dataValidation type="decimal" allowBlank="1" showErrorMessage="1" errorTitle="Неверно указано Количество" error="минимальное количество для заказа = 160" sqref="M3960">
      <formula1>160</formula1>
      <formula2>9260</formula2>
    </dataValidation>
    <dataValidation type="decimal" allowBlank="1" showErrorMessage="1" errorTitle="Неверно указано Количество" error="минимальное количество для заказа = 10" sqref="M1371">
      <formula1>10</formula1>
      <formula2>392</formula2>
    </dataValidation>
    <dataValidation type="decimal" allowBlank="1" showErrorMessage="1" errorTitle="Неверно указано Количество" error="минимальное количество для заказа = 25" sqref="M1384">
      <formula1>25</formula1>
      <formula2>399</formula2>
    </dataValidation>
    <dataValidation type="decimal" allowBlank="1" showErrorMessage="1" errorTitle="Неверно указано Количество" error="минимальное количество для заказа = 4" sqref="M1744">
      <formula1>4</formula1>
      <formula2>384</formula2>
    </dataValidation>
    <dataValidation type="decimal" allowBlank="1" showErrorMessage="1" errorTitle="Неверно указано Количество" error="минимальное количество для заказа = 40" sqref="M1386">
      <formula1>40</formula1>
      <formula2>1354</formula2>
    </dataValidation>
    <dataValidation type="decimal" allowBlank="1" showErrorMessage="1" errorTitle="Неверно указано Количество" error="минимальное количество для заказа = 250" sqref="M3742">
      <formula1>250</formula1>
      <formula2>397</formula2>
    </dataValidation>
    <dataValidation type="decimal" allowBlank="1" showErrorMessage="1" errorTitle="Неверно указано Количество" error="минимальное количество для заказа = 40" sqref="M1389">
      <formula1>40</formula1>
      <formula2>343</formula2>
    </dataValidation>
    <dataValidation type="decimal" allowBlank="1" showErrorMessage="1" errorTitle="Неверно указано Количество" error="минимальное количество для заказа = 40" sqref="M1391">
      <formula1>40</formula1>
      <formula2>955</formula2>
    </dataValidation>
    <dataValidation type="decimal" allowBlank="1" showErrorMessage="1" errorTitle="Неверно указано Количество" error="минимальное количество для заказа = 30" sqref="M3623">
      <formula1>30</formula1>
      <formula2>463</formula2>
    </dataValidation>
    <dataValidation type="decimal" allowBlank="1" showErrorMessage="1" errorTitle="Неверно указано Количество" error="минимальное количество для заказа = 50" sqref="M1393">
      <formula1>50</formula1>
      <formula2>962</formula2>
    </dataValidation>
    <dataValidation type="decimal" allowBlank="1" showErrorMessage="1" errorTitle="Неверно указано Количество" error="минимальное количество для заказа = 1" sqref="M2427">
      <formula1>1</formula1>
      <formula2>655</formula2>
    </dataValidation>
    <dataValidation type="decimal" allowBlank="1" showErrorMessage="1" errorTitle="Неверно указано Количество" error="минимальное количество для заказа = 3" sqref="M1719">
      <formula1>3</formula1>
      <formula2>384</formula2>
    </dataValidation>
    <dataValidation type="decimal" allowBlank="1" showErrorMessage="1" errorTitle="Неверно указано Количество" error="минимальное количество для заказа = 50" sqref="M1394">
      <formula1>50</formula1>
      <formula2>575</formula2>
    </dataValidation>
    <dataValidation type="decimal" allowBlank="1" showErrorMessage="1" errorTitle="Неверно указано Количество" error="минимальное количество для заказа = 50" sqref="M1395">
      <formula1>50</formula1>
      <formula2>1131</formula2>
    </dataValidation>
    <dataValidation type="decimal" allowBlank="1" showErrorMessage="1" errorTitle="Неверно указано Количество" error="минимальное количество для заказа = 50" sqref="M1396">
      <formula1>50</formula1>
      <formula2>1023</formula2>
    </dataValidation>
    <dataValidation type="decimal" allowBlank="1" showErrorMessage="1" errorTitle="Неверно указано Количество" error="минимальное количество для заказа = 80" sqref="M4491">
      <formula1>80</formula1>
      <formula2>4320</formula2>
    </dataValidation>
    <dataValidation type="decimal" allowBlank="1" showErrorMessage="1" errorTitle="Неверно указано Количество" error="минимальное количество для заказа = 30" sqref="M1403 M3654">
      <formula1>30</formula1>
      <formula2>240</formula2>
    </dataValidation>
    <dataValidation type="decimal" allowBlank="1" showErrorMessage="1" errorTitle="Неверно указано Количество" error="минимальное количество для заказа = 240" sqref="M3777">
      <formula1>240</formula1>
      <formula2>2580</formula2>
    </dataValidation>
    <dataValidation type="decimal" allowBlank="1" showErrorMessage="1" errorTitle="Неверно указано Количество" error="минимальное количество для заказа = 30" sqref="M1404">
      <formula1>30</formula1>
      <formula2>854</formula2>
    </dataValidation>
    <dataValidation type="decimal" allowBlank="1" showErrorMessage="1" errorTitle="Неверно указано Количество" error="минимальное количество для заказа = 30" sqref="M1409">
      <formula1>30</formula1>
      <formula2>820</formula2>
    </dataValidation>
    <dataValidation type="decimal" allowBlank="1" showErrorMessage="1" errorTitle="Неверно указано Количество" error="минимальное количество для заказа = 30" sqref="M1412">
      <formula1>30</formula1>
      <formula2>630</formula2>
    </dataValidation>
    <dataValidation type="decimal" allowBlank="1" showErrorMessage="1" errorTitle="Неверно указано Количество" error="минимальное количество для заказа = 30" sqref="M1417">
      <formula1>30</formula1>
      <formula2>1140</formula2>
    </dataValidation>
    <dataValidation type="decimal" allowBlank="1" showErrorMessage="1" errorTitle="Неверно указано Количество" error="минимальное количество для заказа = 64" sqref="M3375">
      <formula1>64</formula1>
      <formula2>784</formula2>
    </dataValidation>
    <dataValidation type="decimal" allowBlank="1" showErrorMessage="1" errorTitle="Неверно указано Количество" error="минимальное количество для заказа = 30" sqref="M1419">
      <formula1>30</formula1>
      <formula2>1740</formula2>
    </dataValidation>
    <dataValidation type="decimal" allowBlank="1" showErrorMessage="1" errorTitle="Неверно указано Количество" error="минимальное количество для заказа = 48" sqref="M3537">
      <formula1>48</formula1>
      <formula2>5124</formula2>
    </dataValidation>
    <dataValidation type="decimal" allowBlank="1" showErrorMessage="1" errorTitle="Неверно указано Количество" error="минимальное количество для заказа = 30" sqref="M1422">
      <formula1>30</formula1>
      <formula2>870</formula2>
    </dataValidation>
    <dataValidation type="decimal" allowBlank="1" showErrorMessage="1" errorTitle="Неверно указано Количество" error="минимальное количество для заказа = 50" sqref="M1450">
      <formula1>50</formula1>
      <formula2>260</formula2>
    </dataValidation>
    <dataValidation type="decimal" allowBlank="1" showErrorMessage="1" errorTitle="Неверно указано Количество" error="минимальное количество для заказа = 50" sqref="M1454">
      <formula1>50</formula1>
      <formula2>1510</formula2>
    </dataValidation>
    <dataValidation type="decimal" allowBlank="1" showErrorMessage="1" errorTitle="Неверно указано Количество" error="минимальное количество для заказа = 20" sqref="M1473">
      <formula1>20</formula1>
      <formula2>519</formula2>
    </dataValidation>
    <dataValidation type="decimal" allowBlank="1" showErrorMessage="1" errorTitle="Неверно указано Количество" error="минимальное количество для заказа = 20" sqref="M1483">
      <formula1>20</formula1>
      <formula2>127</formula2>
    </dataValidation>
    <dataValidation type="decimal" allowBlank="1" showErrorMessage="1" errorTitle="Неверно указано Количество" error="минимальное количество для заказа = 10" sqref="M1493">
      <formula1>10</formula1>
      <formula2>146</formula2>
    </dataValidation>
    <dataValidation type="decimal" allowBlank="1" showErrorMessage="1" errorTitle="Неверно указано Количество" error="минимальное количество для заказа = 10" sqref="M1497 M2864">
      <formula1>10</formula1>
      <formula2>77</formula2>
    </dataValidation>
    <dataValidation type="decimal" allowBlank="1" showErrorMessage="1" errorTitle="Неверно указано Количество" error="минимальное количество для заказа = 5" sqref="M3155">
      <formula1>5</formula1>
      <formula2>25</formula2>
    </dataValidation>
    <dataValidation type="decimal" allowBlank="1" showErrorMessage="1" errorTitle="Неверно указано Количество" error="минимальное количество для заказа = 12" sqref="M2810">
      <formula1>12</formula1>
      <formula2>307</formula2>
    </dataValidation>
    <dataValidation type="decimal" allowBlank="1" showErrorMessage="1" errorTitle="Неверно указано Количество" error="минимальное количество для заказа = 40" sqref="M2630">
      <formula1>40</formula1>
      <formula2>1880</formula2>
    </dataValidation>
    <dataValidation type="decimal" allowBlank="1" showErrorMessage="1" errorTitle="Неверно указано Количество" error="минимальное количество для заказа = 30" sqref="M1501">
      <formula1>30</formula1>
      <formula2>585</formula2>
    </dataValidation>
    <dataValidation type="decimal" allowBlank="1" showErrorMessage="1" errorTitle="Неверно указано Количество" error="минимальное количество для заказа = 64" sqref="M2648">
      <formula1>64</formula1>
      <formula2>204</formula2>
    </dataValidation>
    <dataValidation type="decimal" allowBlank="1" showErrorMessage="1" errorTitle="Неверно указано Количество" error="минимальное количество для заказа = 10" sqref="M1505">
      <formula1>10</formula1>
      <formula2>200</formula2>
    </dataValidation>
    <dataValidation type="decimal" allowBlank="1" showErrorMessage="1" errorTitle="Неверно указано Количество" error="минимальное количество для заказа = 240" sqref="M3689">
      <formula1>240</formula1>
      <formula2>3066</formula2>
    </dataValidation>
    <dataValidation type="decimal" allowBlank="1" showErrorMessage="1" errorTitle="Неверно указано Количество" error="минимальное количество для заказа = 10" sqref="M1507">
      <formula1>10</formula1>
      <formula2>32</formula2>
    </dataValidation>
    <dataValidation type="decimal" allowBlank="1" showErrorMessage="1" errorTitle="Неверно указано Количество" error="минимальное количество для заказа = 20" sqref="M1510">
      <formula1>20</formula1>
      <formula2>760</formula2>
    </dataValidation>
    <dataValidation type="decimal" allowBlank="1" showErrorMessage="1" errorTitle="Неверно указано Количество" error="минимальное количество для заказа = 20" sqref="M1515">
      <formula1>20</formula1>
      <formula2>2018</formula2>
    </dataValidation>
    <dataValidation type="decimal" allowBlank="1" showErrorMessage="1" errorTitle="Неверно указано Количество" error="минимальное количество для заказа = 20" sqref="M1516">
      <formula1>20</formula1>
      <formula2>2847</formula2>
    </dataValidation>
    <dataValidation type="decimal" allowBlank="1" showErrorMessage="1" errorTitle="Неверно указано Количество" error="минимальное количество для заказа = 10" sqref="M1533">
      <formula1>10</formula1>
      <formula2>116</formula2>
    </dataValidation>
    <dataValidation type="decimal" allowBlank="1" showErrorMessage="1" errorTitle="Неверно указано Количество" error="минимальное количество для заказа = 5" sqref="M1541 M3190">
      <formula1>5</formula1>
      <formula2>100</formula2>
    </dataValidation>
    <dataValidation type="decimal" allowBlank="1" showErrorMessage="1" errorTitle="Неверно указано Количество" error="минимальное количество для заказа = 5" sqref="M1543">
      <formula1>5</formula1>
      <formula2>926</formula2>
    </dataValidation>
    <dataValidation type="decimal" allowBlank="1" showErrorMessage="1" errorTitle="Неверно указано Количество" error="минимальное количество для заказа = 250" sqref="M3860">
      <formula1>250</formula1>
      <formula2>10250</formula2>
    </dataValidation>
    <dataValidation type="decimal" allowBlank="1" showErrorMessage="1" errorTitle="Неверно указано Количество" error="минимальное количество для заказа = 20" sqref="M1546">
      <formula1>20</formula1>
      <formula2>94</formula2>
    </dataValidation>
    <dataValidation type="decimal" allowBlank="1" showErrorMessage="1" errorTitle="Неверно указано Количество" error="минимальное количество для заказа = 2" sqref="M1557">
      <formula1>2</formula1>
      <formula2>272</formula2>
    </dataValidation>
    <dataValidation type="decimal" allowBlank="1" showErrorMessage="1" errorTitle="Неверно указано Количество" error="минимальное количество для заказа = 2" sqref="M1558">
      <formula1>2</formula1>
      <formula2>400</formula2>
    </dataValidation>
    <dataValidation type="decimal" allowBlank="1" showErrorMessage="1" errorTitle="Неверно указано Количество" error="минимальное количество для заказа = 1" sqref="M2441">
      <formula1>1</formula1>
      <formula2>688</formula2>
    </dataValidation>
    <dataValidation type="decimal" allowBlank="1" showErrorMessage="1" errorTitle="Неверно указано Количество" error="минимальное количество для заказа = 5" sqref="M1568">
      <formula1>5</formula1>
      <formula2>91</formula2>
    </dataValidation>
    <dataValidation type="decimal" allowBlank="1" showErrorMessage="1" errorTitle="Неверно указано Количество" error="минимальное количество для заказа = 2" sqref="M1574">
      <formula1>2</formula1>
      <formula2>15</formula2>
    </dataValidation>
    <dataValidation type="decimal" allowBlank="1" showErrorMessage="1" errorTitle="Неверно указано Количество" error="минимальное количество для заказа = 4" sqref="M1579">
      <formula1>4</formula1>
      <formula2>480</formula2>
    </dataValidation>
    <dataValidation type="decimal" allowBlank="1" showErrorMessage="1" errorTitle="Неверно указано Количество" error="минимальное количество для заказа = 6" sqref="M1582">
      <formula1>6</formula1>
      <formula2>75</formula2>
    </dataValidation>
    <dataValidation type="decimal" allowBlank="1" showErrorMessage="1" errorTitle="Неверно указано Количество" error="минимальное количество для заказа = 4" sqref="M1584">
      <formula1>4</formula1>
      <formula2>18</formula2>
    </dataValidation>
    <dataValidation type="decimal" allowBlank="1" showErrorMessage="1" errorTitle="Неверно указано Количество" error="минимальное количество для заказа = 4" sqref="M1589">
      <formula1>4</formula1>
      <formula2>497</formula2>
    </dataValidation>
    <dataValidation type="decimal" allowBlank="1" showErrorMessage="1" errorTitle="Неверно указано Количество" error="минимальное количество для заказа = 1" sqref="M2433">
      <formula1>1</formula1>
      <formula2>904</formula2>
    </dataValidation>
    <dataValidation type="decimal" allowBlank="1" showErrorMessage="1" errorTitle="Неверно указано Количество" error="минимальное количество для заказа = 4" sqref="M1591">
      <formula1>4</formula1>
      <formula2>170</formula2>
    </dataValidation>
    <dataValidation type="decimal" allowBlank="1" showErrorMessage="1" errorTitle="Неверно указано Количество" error="минимальное количество для заказа = 4" sqref="M1599">
      <formula1>4</formula1>
      <formula2>362</formula2>
    </dataValidation>
    <dataValidation type="decimal" allowBlank="1" showErrorMessage="1" errorTitle="Неверно указано Количество" error="минимальное количество для заказа = 6" sqref="M1602">
      <formula1>6</formula1>
      <formula2>527</formula2>
    </dataValidation>
    <dataValidation type="decimal" allowBlank="1" showErrorMessage="1" errorTitle="Неверно указано Количество" error="минимальное количество для заказа = 3" sqref="M1910">
      <formula1>3</formula1>
      <formula2>280</formula2>
    </dataValidation>
    <dataValidation type="decimal" allowBlank="1" showErrorMessage="1" errorTitle="Неверно указано Количество" error="минимальное количество для заказа = 4" sqref="M1604 M2068 M2776">
      <formula1>4</formula1>
      <formula2>5</formula2>
    </dataValidation>
    <dataValidation type="decimal" allowBlank="1" showErrorMessage="1" errorTitle="Неверно указано Количество" error="минимальное количество для заказа = 4" sqref="M1620">
      <formula1>4</formula1>
      <formula2>47</formula2>
    </dataValidation>
    <dataValidation type="decimal" allowBlank="1" showErrorMessage="1" errorTitle="Неверно указано Количество" error="минимальное количество для заказа = 160" sqref="M3972">
      <formula1>160</formula1>
      <formula2>13019</formula2>
    </dataValidation>
    <dataValidation type="decimal" allowBlank="1" showErrorMessage="1" errorTitle="Неверно указано Количество" error="минимальное количество для заказа = 240" sqref="M3773">
      <formula1>240</formula1>
      <formula2>10200</formula2>
    </dataValidation>
    <dataValidation type="decimal" allowBlank="1" showErrorMessage="1" errorTitle="Неверно указано Количество" error="минимальное количество для заказа = 4" sqref="M1621">
      <formula1>4</formula1>
      <formula2>26</formula2>
    </dataValidation>
    <dataValidation type="decimal" allowBlank="1" showErrorMessage="1" errorTitle="Неверно указано Количество" error="минимальное количество для заказа = 240" sqref="M3717">
      <formula1>240</formula1>
      <formula2>4520</formula2>
    </dataValidation>
    <dataValidation type="decimal" allowBlank="1" showErrorMessage="1" errorTitle="Неверно указано Количество" error="минимальное количество для заказа = 4" sqref="M1622">
      <formula1>4</formula1>
      <formula2>16</formula2>
    </dataValidation>
    <dataValidation type="decimal" allowBlank="1" showErrorMessage="1" errorTitle="Неверно указано Количество" error="минимальное количество для заказа = 4" sqref="M1630">
      <formula1>4</formula1>
      <formula2>50</formula2>
    </dataValidation>
    <dataValidation type="decimal" allowBlank="1" showErrorMessage="1" errorTitle="Неверно указано Количество" error="минимальное количество для заказа = 250" sqref="M3874">
      <formula1>250</formula1>
      <formula2>13400</formula2>
    </dataValidation>
    <dataValidation type="decimal" allowBlank="1" showErrorMessage="1" errorTitle="Неверно указано Количество" error="минимальное количество для заказа = 4" sqref="M1632">
      <formula1>4</formula1>
      <formula2>179</formula2>
    </dataValidation>
    <dataValidation type="decimal" allowBlank="1" showErrorMessage="1" errorTitle="Неверно указано Количество" error="минимальное количество для заказа = 4" sqref="M1633">
      <formula1>4</formula1>
      <formula2>369</formula2>
    </dataValidation>
    <dataValidation type="decimal" allowBlank="1" showErrorMessage="1" errorTitle="Неверно указано Количество" error="минимальное количество для заказа = 2" sqref="M1635">
      <formula1>2</formula1>
      <formula2>486</formula2>
    </dataValidation>
    <dataValidation type="decimal" allowBlank="1" showErrorMessage="1" errorTitle="Неверно указано Количество" error="минимальное количество для заказа = 2" sqref="M2186">
      <formula1>2</formula1>
      <formula2>275</formula2>
    </dataValidation>
    <dataValidation type="decimal" allowBlank="1" showErrorMessage="1" errorTitle="Неверно указано Количество" error="минимальное количество для заказа = 2" sqref="M1636">
      <formula1>2</formula1>
      <formula2>139</formula2>
    </dataValidation>
    <dataValidation type="decimal" allowBlank="1" showErrorMessage="1" errorTitle="Неверно указано Количество" error="минимальное количество для заказа = 100" sqref="M4159">
      <formula1>100</formula1>
      <formula2>160</formula2>
    </dataValidation>
    <dataValidation type="decimal" allowBlank="1" showErrorMessage="1" errorTitle="Неверно указано Количество" error="минимальное количество для заказа = 2" sqref="M1637">
      <formula1>2</formula1>
      <formula2>191</formula2>
    </dataValidation>
    <dataValidation type="decimal" allowBlank="1" showErrorMessage="1" errorTitle="Неверно указано Количество" error="минимальное количество для заказа = 2" sqref="M1639">
      <formula1>2</formula1>
      <formula2>135</formula2>
    </dataValidation>
    <dataValidation type="decimal" allowBlank="1" showErrorMessage="1" errorTitle="Неверно указано Количество" error="минимальное количество для заказа = 15" sqref="M1642">
      <formula1>15</formula1>
      <formula2>450</formula2>
    </dataValidation>
    <dataValidation type="decimal" allowBlank="1" showErrorMessage="1" errorTitle="Неверно указано Количество" error="минимальное количество для заказа = 6" sqref="M1646">
      <formula1>6</formula1>
      <formula2>65</formula2>
    </dataValidation>
    <dataValidation type="decimal" allowBlank="1" showErrorMessage="1" errorTitle="Неверно указано Количество" error="минимальное количество для заказа = 10" sqref="M1653">
      <formula1>10</formula1>
      <formula2>78</formula2>
    </dataValidation>
    <dataValidation type="decimal" allowBlank="1" showErrorMessage="1" errorTitle="Неверно указано Количество" error="минимальное количество для заказа = 6" sqref="M1659">
      <formula1>6</formula1>
      <formula2>1251</formula2>
    </dataValidation>
    <dataValidation type="decimal" allowBlank="1" showErrorMessage="1" errorTitle="Неверно указано Количество" error="минимальное количество для заказа = 6" sqref="M1660">
      <formula1>6</formula1>
      <formula2>1506</formula2>
    </dataValidation>
    <dataValidation type="decimal" allowBlank="1" showErrorMessage="1" errorTitle="Неверно указано Количество" error="минимальное количество для заказа = 6" sqref="M1661">
      <formula1>6</formula1>
      <formula2>966</formula2>
    </dataValidation>
    <dataValidation type="decimal" allowBlank="1" showErrorMessage="1" errorTitle="Неверно указано Количество" error="минимальное количество для заказа = 3" sqref="M1667">
      <formula1>3</formula1>
      <formula2>134</formula2>
    </dataValidation>
    <dataValidation type="decimal" allowBlank="1" showErrorMessage="1" errorTitle="Неверно указано Количество" error="минимальное количество для заказа = 3" sqref="M3173">
      <formula1>3</formula1>
      <formula2>270</formula2>
    </dataValidation>
    <dataValidation type="decimal" allowBlank="1" showErrorMessage="1" errorTitle="Неверно указано Количество" error="минимальное количество для заказа = 10" sqref="M1674">
      <formula1>10</formula1>
      <formula2>157</formula2>
    </dataValidation>
    <dataValidation type="decimal" allowBlank="1" showErrorMessage="1" errorTitle="Неверно указано Количество" error="минимальное количество для заказа = 6" sqref="M1685">
      <formula1>6</formula1>
      <formula2>50</formula2>
    </dataValidation>
    <dataValidation type="decimal" allowBlank="1" showErrorMessage="1" errorTitle="Неверно указано Количество" error="минимальное количество для заказа = 6" sqref="M1686">
      <formula1>6</formula1>
      <formula2>32</formula2>
    </dataValidation>
    <dataValidation type="decimal" allowBlank="1" showErrorMessage="1" errorTitle="Неверно указано Количество" error="минимальное количество для заказа = 7" sqref="M1837">
      <formula1>7</formula1>
      <formula2>809</formula2>
    </dataValidation>
    <dataValidation type="decimal" allowBlank="1" showErrorMessage="1" errorTitle="Неверно указано Количество" error="минимальное количество для заказа = 4" sqref="M1691">
      <formula1>4</formula1>
      <formula2>358</formula2>
    </dataValidation>
    <dataValidation type="decimal" allowBlank="1" showErrorMessage="1" errorTitle="Неверно указано Количество" error="минимальное количество для заказа = 4" sqref="M1693">
      <formula1>4</formula1>
      <formula2>572</formula2>
    </dataValidation>
    <dataValidation type="decimal" allowBlank="1" showErrorMessage="1" errorTitle="Неверно указано Количество" error="минимальное количество для заказа = 4" sqref="M1695">
      <formula1>4</formula1>
      <formula2>33</formula2>
    </dataValidation>
    <dataValidation type="decimal" allowBlank="1" showErrorMessage="1" errorTitle="Неверно указано Количество" error="минимальное количество для заказа = 4" sqref="M1696">
      <formula1>4</formula1>
      <formula2>496</formula2>
    </dataValidation>
    <dataValidation type="decimal" allowBlank="1" showErrorMessage="1" errorTitle="Неверно указано Количество" error="минимальное количество для заказа = 48" sqref="M3429">
      <formula1>48</formula1>
      <formula2>48</formula2>
    </dataValidation>
    <dataValidation type="decimal" allowBlank="1" showErrorMessage="1" errorTitle="Неверно указано Количество" error="минимальное количество для заказа = 4" sqref="M3051">
      <formula1>4</formula1>
      <formula2>1162</formula2>
    </dataValidation>
    <dataValidation type="decimal" allowBlank="1" showErrorMessage="1" errorTitle="Неверно указано Количество" error="минимальное количество для заказа = 4" sqref="M1700">
      <formula1>4</formula1>
      <formula2>465</formula2>
    </dataValidation>
    <dataValidation type="decimal" allowBlank="1" showErrorMessage="1" errorTitle="Неверно указано Количество" error="минимальное количество для заказа = 3" sqref="M2590">
      <formula1>3</formula1>
      <formula2>28</formula2>
    </dataValidation>
    <dataValidation type="decimal" allowBlank="1" showErrorMessage="1" errorTitle="Неверно указано Количество" error="минимальное количество для заказа = 4" sqref="M1701">
      <formula1>4</formula1>
      <formula2>292</formula2>
    </dataValidation>
    <dataValidation type="decimal" allowBlank="1" showErrorMessage="1" errorTitle="Неверно указано Количество" error="минимальное количество для заказа = 4" sqref="M1703">
      <formula1>4</formula1>
      <formula2>554</formula2>
    </dataValidation>
    <dataValidation type="decimal" allowBlank="1" showErrorMessage="1" errorTitle="Неверно указано Количество" error="минимальное количество для заказа = 4" sqref="M1705">
      <formula1>4</formula1>
      <formula2>475</formula2>
    </dataValidation>
    <dataValidation type="decimal" allowBlank="1" showErrorMessage="1" errorTitle="Неверно указано Количество" error="минимальное количество для заказа = 7" sqref="M2727">
      <formula1>7</formula1>
      <formula2>108</formula2>
    </dataValidation>
    <dataValidation type="decimal" allowBlank="1" showErrorMessage="1" errorTitle="Неверно указано Количество" error="минимальное количество для заказа = 7" sqref="M1709">
      <formula1>7</formula1>
      <formula2>20</formula2>
    </dataValidation>
    <dataValidation type="decimal" allowBlank="1" showErrorMessage="1" errorTitle="Неверно указано Количество" error="минимальное количество для заказа = 80" sqref="M4367 M4441">
      <formula1>80</formula1>
      <formula2>1340</formula2>
    </dataValidation>
    <dataValidation type="decimal" allowBlank="1" showErrorMessage="1" errorTitle="Неверно указано Количество" error="минимальное количество для заказа = 100" sqref="M4113">
      <formula1>100</formula1>
      <formula2>5881</formula2>
    </dataValidation>
    <dataValidation type="decimal" allowBlank="1" showErrorMessage="1" errorTitle="Неверно указано Количество" error="минимальное количество для заказа = 3" sqref="M1713">
      <formula1>3</formula1>
      <formula2>313</formula2>
    </dataValidation>
    <dataValidation type="decimal" allowBlank="1" showErrorMessage="1" errorTitle="Неверно указано Количество" error="минимальное количество для заказа = 3" sqref="M1714">
      <formula1>3</formula1>
      <formula2>456</formula2>
    </dataValidation>
    <dataValidation type="decimal" allowBlank="1" showErrorMessage="1" errorTitle="Неверно указано Количество" error="минимальное количество для заказа = 2" sqref="M2195">
      <formula1>2</formula1>
      <formula2>809</formula2>
    </dataValidation>
    <dataValidation type="decimal" allowBlank="1" showErrorMessage="1" errorTitle="Неверно указано Количество" error="минимальное количество для заказа = 3" sqref="M1716">
      <formula1>3</formula1>
      <formula2>439</formula2>
    </dataValidation>
    <dataValidation type="decimal" allowBlank="1" showErrorMessage="1" errorTitle="Неверно указано Количество" error="минимальное количество для заказа = 3" sqref="M1717">
      <formula1>3</formula1>
      <formula2>462</formula2>
    </dataValidation>
    <dataValidation type="decimal" allowBlank="1" showErrorMessage="1" errorTitle="Неверно указано Количество" error="минимальное количество для заказа = 3" sqref="M1718">
      <formula1>3</formula1>
      <formula2>444</formula2>
    </dataValidation>
    <dataValidation type="decimal" allowBlank="1" showErrorMessage="1" errorTitle="Неверно указано Количество" error="минимальное количество для заказа = 3" sqref="M1720 M3172">
      <formula1>3</formula1>
      <formula2>448</formula2>
    </dataValidation>
    <dataValidation type="decimal" allowBlank="1" showErrorMessage="1" errorTitle="Неверно указано Количество" error="минимальное количество для заказа = 160" sqref="M3955">
      <formula1>160</formula1>
      <formula2>1194</formula2>
    </dataValidation>
    <dataValidation type="decimal" allowBlank="1" showErrorMessage="1" errorTitle="Неверно указано Количество" error="минимальное количество для заказа = 3" sqref="M1722 M3069">
      <formula1>3</formula1>
      <formula2>447</formula2>
    </dataValidation>
    <dataValidation type="decimal" allowBlank="1" showErrorMessage="1" errorTitle="Неверно указано Количество" error="минимальное количество для заказа = 3" sqref="M1724">
      <formula1>3</formula1>
      <formula2>354</formula2>
    </dataValidation>
    <dataValidation type="decimal" allowBlank="1" showErrorMessage="1" errorTitle="Неверно указано Количество" error="минимальное количество для заказа = 50" sqref="M4331">
      <formula1>50</formula1>
      <formula2>2700</formula2>
    </dataValidation>
    <dataValidation type="decimal" allowBlank="1" showErrorMessage="1" errorTitle="Неверно указано Количество" error="минимальное количество для заказа = 3" sqref="M1726 M2525">
      <formula1>3</formula1>
      <formula2>96</formula2>
    </dataValidation>
    <dataValidation type="decimal" allowBlank="1" showErrorMessage="1" errorTitle="Неверно указано Количество" error="минимальное количество для заказа = 3" sqref="M1729">
      <formula1>3</formula1>
      <formula2>485</formula2>
    </dataValidation>
    <dataValidation type="decimal" allowBlank="1" showErrorMessage="1" errorTitle="Неверно указано Количество" error="минимальное количество для заказа = 3" sqref="M1730">
      <formula1>3</formula1>
      <formula2>345</formula2>
    </dataValidation>
    <dataValidation type="decimal" allowBlank="1" showErrorMessage="1" errorTitle="Неверно указано Количество" error="минимальное количество для заказа = 15" sqref="M2929">
      <formula1>15</formula1>
      <formula2>1417</formula2>
    </dataValidation>
    <dataValidation type="decimal" allowBlank="1" showErrorMessage="1" errorTitle="Неверно указано Количество" error="минимальное количество для заказа = 3" sqref="M1732">
      <formula1>3</formula1>
      <formula2>335</formula2>
    </dataValidation>
    <dataValidation type="decimal" allowBlank="1" showErrorMessage="1" errorTitle="Неверно указано Количество" error="минимальное количество для заказа = 3" sqref="M1734">
      <formula1>3</formula1>
      <formula2>380</formula2>
    </dataValidation>
    <dataValidation type="decimal" allowBlank="1" showErrorMessage="1" errorTitle="Неверно указано Количество" error="минимальное количество для заказа = 3" sqref="M1735">
      <formula1>3</formula1>
      <formula2>475</formula2>
    </dataValidation>
    <dataValidation type="decimal" allowBlank="1" showErrorMessage="1" errorTitle="Неверно указано Количество" error="минимальное количество для заказа = 4" sqref="M1738">
      <formula1>4</formula1>
      <formula2>386</formula2>
    </dataValidation>
    <dataValidation type="decimal" allowBlank="1" showErrorMessage="1" errorTitle="Неверно указано Количество" error="минимальное количество для заказа = 4" sqref="M1739 M2287">
      <formula1>4</formula1>
      <formula2>248</formula2>
    </dataValidation>
    <dataValidation type="decimal" allowBlank="1" showErrorMessage="1" errorTitle="Неверно указано Количество" error="минимальное количество для заказа = 4" sqref="M1741 M1870 M2797">
      <formula1>4</formula1>
      <formula2>419</formula2>
    </dataValidation>
    <dataValidation type="decimal" allowBlank="1" showErrorMessage="1" errorTitle="Неверно указано Количество" error="минимальное количество для заказа = 4" sqref="M1743 M2280">
      <formula1>4</formula1>
      <formula2>317</formula2>
    </dataValidation>
    <dataValidation type="decimal" allowBlank="1" showErrorMessage="1" errorTitle="Неверно указано Количество" error="минимальное количество для заказа = 4" sqref="M1745 M2056">
      <formula1>4</formula1>
      <formula2>352</formula2>
    </dataValidation>
    <dataValidation type="decimal" allowBlank="1" showErrorMessage="1" errorTitle="Неверно указано Количество" error="минимальное количество для заказа = 10" sqref="M1757 M2841">
      <formula1>10</formula1>
      <formula2>583</formula2>
    </dataValidation>
    <dataValidation type="decimal" allowBlank="1" showErrorMessage="1" errorTitle="Неверно указано Количество" error="минимальное количество для заказа = 10" sqref="M1760">
      <formula1>10</formula1>
      <formula2>386</formula2>
    </dataValidation>
    <dataValidation type="decimal" allowBlank="1" showErrorMessage="1" errorTitle="Неверно указано Количество" error="минимальное количество для заказа = 7" sqref="M1765">
      <formula1>7</formula1>
      <formula2>681</formula2>
    </dataValidation>
    <dataValidation type="decimal" allowBlank="1" showErrorMessage="1" errorTitle="Неверно указано Количество" error="минимальное количество для заказа = 10" sqref="M1769">
      <formula1>10</formula1>
      <formula2>91</formula2>
    </dataValidation>
    <dataValidation type="decimal" allowBlank="1" showErrorMessage="1" errorTitle="Неверно указано Количество" error="минимальное количество для заказа = 15" sqref="M2921">
      <formula1>15</formula1>
      <formula2>75</formula2>
    </dataValidation>
    <dataValidation type="decimal" allowBlank="1" showErrorMessage="1" errorTitle="Неверно указано Количество" error="минимальное количество для заказа = 6" sqref="M1775">
      <formula1>6</formula1>
      <formula2>728</formula2>
    </dataValidation>
    <dataValidation type="decimal" allowBlank="1" showErrorMessage="1" errorTitle="Неверно указано Количество" error="минимальное количество для заказа = 4" sqref="M3157">
      <formula1>4</formula1>
      <formula2>195</formula2>
    </dataValidation>
    <dataValidation type="decimal" allowBlank="1" showErrorMessage="1" errorTitle="Неверно указано Количество" error="минимальное количество для заказа = 20" sqref="M3092">
      <formula1>20</formula1>
      <formula2>738</formula2>
    </dataValidation>
    <dataValidation type="decimal" allowBlank="1" showErrorMessage="1" errorTitle="Неверно указано Количество" error="минимальное количество для заказа = 6" sqref="M1782">
      <formula1>6</formula1>
      <formula2>212</formula2>
    </dataValidation>
    <dataValidation type="decimal" allowBlank="1" showErrorMessage="1" errorTitle="Неверно указано Количество" error="минимальное количество для заказа = 40" sqref="M3464">
      <formula1>40</formula1>
      <formula2>1179</formula2>
    </dataValidation>
    <dataValidation type="decimal" allowBlank="1" showErrorMessage="1" errorTitle="Неверно указано Количество" error="минимальное количество для заказа = 5" sqref="M1786">
      <formula1>5</formula1>
      <formula2>38</formula2>
    </dataValidation>
    <dataValidation type="decimal" allowBlank="1" showErrorMessage="1" errorTitle="Неверно указано Количество" error="минимальное количество для заказа = 5" sqref="M1787">
      <formula1>5</formula1>
      <formula2>356</formula2>
    </dataValidation>
    <dataValidation type="decimal" allowBlank="1" showErrorMessage="1" errorTitle="Неверно указано Количество" error="минимальное количество для заказа = 250" sqref="M3891">
      <formula1>250</formula1>
      <formula2>5226</formula2>
    </dataValidation>
    <dataValidation type="decimal" allowBlank="1" showErrorMessage="1" errorTitle="Неверно указано Количество" error="минимальное количество для заказа = 5" sqref="M1788">
      <formula1>5</formula1>
      <formula2>744</formula2>
    </dataValidation>
    <dataValidation type="decimal" allowBlank="1" showErrorMessage="1" errorTitle="Неверно указано Количество" error="минимальное количество для заказа = 5" sqref="M1971">
      <formula1>5</formula1>
      <formula2>542</formula2>
    </dataValidation>
    <dataValidation type="decimal" allowBlank="1" showErrorMessage="1" errorTitle="Неверно указано Количество" error="минимальное количество для заказа = 5" sqref="M1789 M2152">
      <formula1>5</formula1>
      <formula2>165</formula2>
    </dataValidation>
    <dataValidation type="decimal" allowBlank="1" showErrorMessage="1" errorTitle="Неверно указано Количество" error="минимальное количество для заказа = 4" sqref="M1792">
      <formula1>4</formula1>
      <formula2>30</formula2>
    </dataValidation>
    <dataValidation type="decimal" allowBlank="1" showErrorMessage="1" errorTitle="Неверно указано Количество" error="минимальное количество для заказа = 6" sqref="M1793">
      <formula1>6</formula1>
      <formula2>680</formula2>
    </dataValidation>
    <dataValidation type="decimal" allowBlank="1" showErrorMessage="1" errorTitle="Неверно указано Количество" error="минимальное количество для заказа = 10" sqref="M2752">
      <formula1>10</formula1>
      <formula2>721</formula2>
    </dataValidation>
    <dataValidation type="decimal" allowBlank="1" showErrorMessage="1" errorTitle="Неверно указано Количество" error="минимальное количество для заказа = 4" sqref="M1801">
      <formula1>4</formula1>
      <formula2>29</formula2>
    </dataValidation>
    <dataValidation type="decimal" allowBlank="1" showErrorMessage="1" errorTitle="Неверно указано Количество" error="минимальное количество для заказа = 80" sqref="M4370">
      <formula1>80</formula1>
      <formula2>2370</formula2>
    </dataValidation>
    <dataValidation type="decimal" allowBlank="1" showErrorMessage="1" errorTitle="Неверно указано Количество" error="минимальное количество для заказа = 140" sqref="M4052">
      <formula1>140</formula1>
      <formula2>14420</formula2>
    </dataValidation>
    <dataValidation type="decimal" allowBlank="1" showErrorMessage="1" errorTitle="Неверно указано Количество" error="минимальное количество для заказа = 1" sqref="M2425">
      <formula1>1</formula1>
      <formula2>533</formula2>
    </dataValidation>
    <dataValidation type="decimal" allowBlank="1" showErrorMessage="1" errorTitle="Неверно указано Количество" error="минимальное количество для заказа = 6" sqref="M1805">
      <formula1>6</formula1>
      <formula2>35</formula2>
    </dataValidation>
    <dataValidation type="decimal" allowBlank="1" showErrorMessage="1" errorTitle="Неверно указано Количество" error="минимальное количество для заказа = 6" sqref="M1806">
      <formula1>6</formula1>
      <formula2>53</formula2>
    </dataValidation>
    <dataValidation type="decimal" allowBlank="1" showErrorMessage="1" errorTitle="Неверно указано Количество" error="минимальное количество для заказа = 6" sqref="M1808">
      <formula1>6</formula1>
      <formula2>759</formula2>
    </dataValidation>
    <dataValidation type="decimal" allowBlank="1" showErrorMessage="1" errorTitle="Неверно указано Количество" error="минимальное количество для заказа = 6" sqref="M1809">
      <formula1>6</formula1>
      <formula2>49</formula2>
    </dataValidation>
    <dataValidation type="decimal" allowBlank="1" showErrorMessage="1" errorTitle="Неверно указано Количество" error="минимальное количество для заказа = 6" sqref="M1810 M2555 M2561 M3046 M3114">
      <formula1>6</formula1>
      <formula2>6</formula2>
    </dataValidation>
    <dataValidation type="decimal" allowBlank="1" showErrorMessage="1" errorTitle="Неверно указано Количество" error="минимальное количество для заказа = 80" sqref="M4382">
      <formula1>80</formula1>
      <formula2>2760</formula2>
    </dataValidation>
    <dataValidation type="decimal" allowBlank="1" showErrorMessage="1" errorTitle="Неверно указано Количество" error="минимальное количество для заказа = 6" sqref="M1812">
      <formula1>6</formula1>
      <formula2>425</formula2>
    </dataValidation>
    <dataValidation type="decimal" allowBlank="1" showErrorMessage="1" errorTitle="Неверно указано Количество" error="минимальное количество для заказа = 4" sqref="M1814">
      <formula1>4</formula1>
      <formula2>831</formula2>
    </dataValidation>
    <dataValidation type="decimal" allowBlank="1" showErrorMessage="1" errorTitle="Неверно указано Количество" error="минимальное количество для заказа = 4" sqref="M1817 M2272">
      <formula1>4</formula1>
      <formula2>66</formula2>
    </dataValidation>
    <dataValidation type="decimal" allowBlank="1" showErrorMessage="1" errorTitle="Неверно указано Количество" error="минимальное количество для заказа = 4" sqref="M1821">
      <formula1>4</formula1>
      <formula2>756</formula2>
    </dataValidation>
    <dataValidation type="decimal" allowBlank="1" showErrorMessage="1" errorTitle="Неверно указано Количество" error="минимальное количество для заказа = 4" sqref="M1823">
      <formula1>4</formula1>
      <formula2>111</formula2>
    </dataValidation>
    <dataValidation type="decimal" allowBlank="1" showErrorMessage="1" errorTitle="Неверно указано Количество" error="минимальное количество для заказа = 3" sqref="M1827">
      <formula1>3</formula1>
      <formula2>91</formula2>
    </dataValidation>
    <dataValidation type="decimal" allowBlank="1" showErrorMessage="1" errorTitle="Неверно указано Количество" error="минимальное количество для заказа = 3" sqref="M2034">
      <formula1>3</formula1>
      <formula2>582</formula2>
    </dataValidation>
    <dataValidation type="decimal" allowBlank="1" showErrorMessage="1" errorTitle="Неверно указано Количество" error="минимальное количество для заказа = 3" sqref="M1828">
      <formula1>3</formula1>
      <formula2>585</formula2>
    </dataValidation>
    <dataValidation type="decimal" allowBlank="1" showErrorMessage="1" errorTitle="Неверно указано Количество" error="минимальное количество для заказа = 80" sqref="M4355">
      <formula1>80</formula1>
      <formula2>1410</formula2>
    </dataValidation>
    <dataValidation type="decimal" allowBlank="1" showErrorMessage="1" errorTitle="Неверно указано Количество" error="минимальное количество для заказа = 3" sqref="M1829">
      <formula1>3</formula1>
      <formula2>632</formula2>
    </dataValidation>
    <dataValidation type="decimal" allowBlank="1" showErrorMessage="1" errorTitle="Неверно указано Количество" error="минимальное количество для заказа = 3" sqref="M1830">
      <formula1>3</formula1>
      <formula2>612</formula2>
    </dataValidation>
    <dataValidation type="decimal" allowBlank="1" showErrorMessage="1" errorTitle="Неверно указано Количество" error="минимальное количество для заказа = 2" sqref="M3080">
      <formula1>2</formula1>
      <formula2>495</formula2>
    </dataValidation>
    <dataValidation type="decimal" allowBlank="1" showErrorMessage="1" errorTitle="Неверно указано Количество" error="минимальное количество для заказа = 3" sqref="M1831">
      <formula1>3</formula1>
      <formula2>319</formula2>
    </dataValidation>
    <dataValidation type="decimal" allowBlank="1" showErrorMessage="1" errorTitle="Неверно указано Количество" error="минимальное количество для заказа = 80" sqref="M4391">
      <formula1>80</formula1>
      <formula2>1100</formula2>
    </dataValidation>
    <dataValidation type="decimal" allowBlank="1" showErrorMessage="1" errorTitle="Неверно указано Количество" error="минимальное количество для заказа = 3" sqref="M1832">
      <formula1>3</formula1>
      <formula2>527</formula2>
    </dataValidation>
    <dataValidation type="decimal" allowBlank="1" showErrorMessage="1" errorTitle="Неверно указано Количество" error="минимальное количество для заказа = 250" sqref="M3807">
      <formula1>250</formula1>
      <formula2>275</formula2>
    </dataValidation>
    <dataValidation type="decimal" allowBlank="1" showErrorMessage="1" errorTitle="Неверно указано Количество" error="минимальное количество для заказа = 3" sqref="M1833">
      <formula1>3</formula1>
      <formula2>390</formula2>
    </dataValidation>
    <dataValidation type="decimal" allowBlank="1" showErrorMessage="1" errorTitle="Неверно указано Количество" error="минимальное количество для заказа = 6" sqref="M1838">
      <formula1>6</formula1>
      <formula2>898</formula2>
    </dataValidation>
    <dataValidation type="decimal" allowBlank="1" showErrorMessage="1" errorTitle="Неверно указано Количество" error="минимальное количество для заказа = 160" sqref="M4038">
      <formula1>160</formula1>
      <formula2>725</formula2>
    </dataValidation>
    <dataValidation type="decimal" allowBlank="1" showErrorMessage="1" errorTitle="Неверно указано Количество" error="минимальное количество для заказа = 7" sqref="M1842">
      <formula1>7</formula1>
      <formula2>410</formula2>
    </dataValidation>
    <dataValidation type="decimal" allowBlank="1" showErrorMessage="1" errorTitle="Неверно указано Количество" error="минимальное количество для заказа = 6" sqref="M1845">
      <formula1>6</formula1>
      <formula2>641</formula2>
    </dataValidation>
    <dataValidation type="decimal" allowBlank="1" showErrorMessage="1" errorTitle="Неверно указано Количество" error="минимальное количество для заказа = 5" sqref="M1848">
      <formula1>5</formula1>
      <formula2>468</formula2>
    </dataValidation>
    <dataValidation type="decimal" allowBlank="1" showErrorMessage="1" errorTitle="Неверно указано Количество" error="минимальное количество для заказа = 5" sqref="M1854">
      <formula1>5</formula1>
      <formula2>697</formula2>
    </dataValidation>
    <dataValidation type="decimal" allowBlank="1" showErrorMessage="1" errorTitle="Неверно указано Количество" error="минимальное количество для заказа = 2" sqref="M3084">
      <formula1>2</formula1>
      <formula2>925</formula2>
    </dataValidation>
    <dataValidation type="decimal" allowBlank="1" showErrorMessage="1" errorTitle="Неверно указано Количество" error="минимальное количество для заказа = 5" sqref="M1856">
      <formula1>5</formula1>
      <formula2>161</formula2>
    </dataValidation>
    <dataValidation type="decimal" allowBlank="1" showErrorMessage="1" errorTitle="Неверно указано Количество" error="минимальное количество для заказа = 5" sqref="M1857">
      <formula1>5</formula1>
      <formula2>566</formula2>
    </dataValidation>
    <dataValidation type="decimal" allowBlank="1" showErrorMessage="1" errorTitle="Неверно указано Количество" error="минимальное количество для заказа = 4" sqref="M1860">
      <formula1>4</formula1>
      <formula2>290</formula2>
    </dataValidation>
    <dataValidation type="decimal" allowBlank="1" showErrorMessage="1" errorTitle="Неверно указано Количество" error="минимальное количество для заказа = 5" sqref="M3130">
      <formula1>5</formula1>
      <formula2>200</formula2>
    </dataValidation>
    <dataValidation type="decimal" allowBlank="1" showErrorMessage="1" errorTitle="Неверно указано Количество" error="минимальное количество для заказа = 4" sqref="M1861">
      <formula1>4</formula1>
      <formula2>346</formula2>
    </dataValidation>
    <dataValidation type="decimal" allowBlank="1" showErrorMessage="1" errorTitle="Неверно указано Количество" error="минимальное количество для заказа = 4" sqref="M1862">
      <formula1>4</formula1>
      <formula2>435</formula2>
    </dataValidation>
    <dataValidation type="decimal" allowBlank="1" showErrorMessage="1" errorTitle="Неверно указано Количество" error="минимальное количество для заказа = 100" sqref="M4220">
      <formula1>100</formula1>
      <formula2>11604</formula2>
    </dataValidation>
    <dataValidation type="decimal" allowBlank="1" showErrorMessage="1" errorTitle="Неверно указано Количество" error="минимальное количество для заказа = 4" sqref="M1864">
      <formula1>4</formula1>
      <formula2>453</formula2>
    </dataValidation>
    <dataValidation type="decimal" allowBlank="1" showErrorMessage="1" errorTitle="Неверно указано Количество" error="минимальное количество для заказа = 4" sqref="M1866">
      <formula1>4</formula1>
      <formula2>429</formula2>
    </dataValidation>
    <dataValidation type="decimal" allowBlank="1" showErrorMessage="1" errorTitle="Неверно указано Количество" error="минимальное количество для заказа = 4" sqref="M1867">
      <formula1>4</formula1>
      <formula2>250</formula2>
    </dataValidation>
    <dataValidation type="decimal" allowBlank="1" showErrorMessage="1" errorTitle="Неверно указано Количество" error="минимальное количество для заказа = 4" sqref="M1868">
      <formula1>4</formula1>
      <formula2>322</formula2>
    </dataValidation>
    <dataValidation type="decimal" allowBlank="1" showErrorMessage="1" errorTitle="Неверно указано Количество" error="минимальное количество для заказа = 80" sqref="M4402">
      <formula1>80</formula1>
      <formula2>2879</formula2>
    </dataValidation>
    <dataValidation type="decimal" allowBlank="1" showErrorMessage="1" errorTitle="Неверно указано Количество" error="минимальное количество для заказа = 4" sqref="M1869">
      <formula1>4</formula1>
      <formula2>190</formula2>
    </dataValidation>
    <dataValidation type="decimal" allowBlank="1" showErrorMessage="1" errorTitle="Неверно указано Количество" error="минимальное количество для заказа = 250" sqref="M3885">
      <formula1>250</formula1>
      <formula2>13830</formula2>
    </dataValidation>
    <dataValidation type="decimal" allowBlank="1" showErrorMessage="1" errorTitle="Неверно указано Количество" error="минимальное количество для заказа = 3" sqref="M1875">
      <formula1>3</formula1>
      <formula2>539</formula2>
    </dataValidation>
    <dataValidation type="decimal" allowBlank="1" showErrorMessage="1" errorTitle="Неверно указано Количество" error="минимальное количество для заказа = 3" sqref="M1880">
      <formula1>3</formula1>
      <formula2>630</formula2>
    </dataValidation>
    <dataValidation type="decimal" allowBlank="1" showErrorMessage="1" errorTitle="Неверно указано Количество" error="минимальное количество для заказа = 3" sqref="M1885 M2316">
      <formula1>3</formula1>
      <formula2>348</formula2>
    </dataValidation>
    <dataValidation type="decimal" allowBlank="1" showErrorMessage="1" errorTitle="Неверно указано Количество" error="минимальное количество для заказа = 5" sqref="M3148 M3289">
      <formula1>5</formula1>
      <formula2>333</formula2>
    </dataValidation>
    <dataValidation type="decimal" allowBlank="1" showErrorMessage="1" errorTitle="Неверно указано Количество" error="минимальное количество для заказа = 2" sqref="M1886">
      <formula1>2</formula1>
      <formula2>803</formula2>
    </dataValidation>
    <dataValidation type="decimal" allowBlank="1" showErrorMessage="1" errorTitle="Неверно указано Количество" error="минимальное количество для заказа = 3" sqref="M1889">
      <formula1>3</formula1>
      <formula2>117</formula2>
    </dataValidation>
    <dataValidation type="decimal" allowBlank="1" showErrorMessage="1" errorTitle="Неверно указано Количество" error="минимальное количество для заказа = 3" sqref="M1891 M1987 M2168">
      <formula1>3</formula1>
      <formula2>41</formula2>
    </dataValidation>
    <dataValidation type="decimal" allowBlank="1" showErrorMessage="1" errorTitle="Неверно указано Количество" error="минимальное количество для заказа = 12" sqref="M2467">
      <formula1>12</formula1>
      <formula2>497</formula2>
    </dataValidation>
    <dataValidation type="decimal" allowBlank="1" showErrorMessage="1" errorTitle="Неверно указано Количество" error="минимальное количество для заказа = 3" sqref="M1901">
      <formula1>3</formula1>
      <formula2>669</formula2>
    </dataValidation>
    <dataValidation type="decimal" allowBlank="1" showErrorMessage="1" errorTitle="Неверно указано Количество" error="минимальное количество для заказа = 1" sqref="M1946">
      <formula1>1</formula1>
      <formula2>253</formula2>
    </dataValidation>
    <dataValidation type="decimal" allowBlank="1" showErrorMessage="1" errorTitle="Неверно указано Количество" error="минимальное количество для заказа = 3" sqref="M1902">
      <formula1>3</formula1>
      <formula2>29</formula2>
    </dataValidation>
    <dataValidation type="decimal" allowBlank="1" showErrorMessage="1" errorTitle="Неверно указано Количество" error="минимальное количество для заказа = 3" sqref="M1903">
      <formula1>3</formula1>
      <formula2>829</formula2>
    </dataValidation>
    <dataValidation type="decimal" allowBlank="1" showErrorMessage="1" errorTitle="Неверно указано Количество" error="минимальное количество для заказа = 3" sqref="M1905">
      <formula1>3</formula1>
      <formula2>921</formula2>
    </dataValidation>
    <dataValidation type="decimal" allowBlank="1" showErrorMessage="1" errorTitle="Неверно указано Количество" error="минимальное количество для заказа = 3" sqref="M1906">
      <formula1>3</formula1>
      <formula2>638</formula2>
    </dataValidation>
    <dataValidation type="decimal" allowBlank="1" showErrorMessage="1" errorTitle="Неверно указано Количество" error="минимальное количество для заказа = 3" sqref="M1909">
      <formula1>3</formula1>
      <formula2>978</formula2>
    </dataValidation>
    <dataValidation type="decimal" allowBlank="1" showErrorMessage="1" errorTitle="Неверно указано Количество" error="минимальное количество для заказа = 3" sqref="M1911">
      <formula1>3</formula1>
      <formula2>835</formula2>
    </dataValidation>
    <dataValidation type="decimal" allowBlank="1" showErrorMessage="1" errorTitle="Неверно указано Количество" error="минимальное количество для заказа = 30" sqref="M3626">
      <formula1>30</formula1>
      <formula2>273</formula2>
    </dataValidation>
    <dataValidation type="decimal" allowBlank="1" showErrorMessage="1" errorTitle="Неверно указано Количество" error="минимальное количество для заказа = 3" sqref="M1914">
      <formula1>3</formula1>
      <formula2>722</formula2>
    </dataValidation>
    <dataValidation type="decimal" allowBlank="1" showErrorMessage="1" errorTitle="Неверно указано Количество" error="минимальное количество для заказа = 3" sqref="M1915">
      <formula1>3</formula1>
      <formula2>947</formula2>
    </dataValidation>
    <dataValidation type="decimal" allowBlank="1" showErrorMessage="1" errorTitle="Неверно указано Количество" error="минимальное количество для заказа = 3" sqref="M1917">
      <formula1>3</formula1>
      <formula2>561</formula2>
    </dataValidation>
    <dataValidation type="decimal" allowBlank="1" showErrorMessage="1" errorTitle="Неверно указано Количество" error="минимальное количество для заказа = 40" sqref="M3542">
      <formula1>40</formula1>
      <formula2>2946</formula2>
    </dataValidation>
    <dataValidation type="decimal" allowBlank="1" showErrorMessage="1" errorTitle="Неверно указано Количество" error="минимальное количество для заказа = 3" sqref="M1918">
      <formula1>3</formula1>
      <formula2>667</formula2>
    </dataValidation>
    <dataValidation type="decimal" allowBlank="1" showErrorMessage="1" errorTitle="Неверно указано Количество" error="минимальное количество для заказа = 3" sqref="M1920">
      <formula1>3</formula1>
      <formula2>148</formula2>
    </dataValidation>
    <dataValidation type="decimal" allowBlank="1" showErrorMessage="1" errorTitle="Неверно указано Количество" error="минимальное количество для заказа = 2" sqref="M1922 M2217">
      <formula1>2</formula1>
      <formula2>22</formula2>
    </dataValidation>
    <dataValidation type="decimal" allowBlank="1" showErrorMessage="1" errorTitle="Неверно указано Количество" error="минимальное количество для заказа = 32" sqref="M3470">
      <formula1>32</formula1>
      <formula2>319</formula2>
    </dataValidation>
    <dataValidation type="decimal" allowBlank="1" showErrorMessage="1" errorTitle="Неверно указано Количество" error="минимальное количество для заказа = 3" sqref="M1925">
      <formula1>3</formula1>
      <formula2>58</formula2>
    </dataValidation>
    <dataValidation type="decimal" operator="greaterThanOrEqual" allowBlank="1" showErrorMessage="1" errorTitle="Нельзя заказать меньше чем :" error="минимальное количество для заказа = 140" sqref="M3914:M3916 M3942:M3944 M3947 M3949 M4007">
      <formula1>140</formula1>
    </dataValidation>
    <dataValidation type="decimal" allowBlank="1" showErrorMessage="1" errorTitle="Неверно указано Количество" error="минимальное количество для заказа = 3" sqref="M1926">
      <formula1>3</formula1>
      <formula2>46</formula2>
    </dataValidation>
    <dataValidation type="decimal" allowBlank="1" showErrorMessage="1" errorTitle="Неверно указано Количество" error="минимальное количество для заказа = 2" sqref="M1929">
      <formula1>2</formula1>
      <formula2>148</formula2>
    </dataValidation>
    <dataValidation type="decimal" allowBlank="1" showErrorMessage="1" errorTitle="Неверно указано Количество" error="минимальное количество для заказа = 2" sqref="M1932">
      <formula1>2</formula1>
      <formula2>241</formula2>
    </dataValidation>
    <dataValidation type="decimal" allowBlank="1" showErrorMessage="1" errorTitle="Неверно указано Количество" error="минимальное количество для заказа = 80" sqref="M4167">
      <formula1>80</formula1>
      <formula2>6620</formula2>
    </dataValidation>
    <dataValidation type="decimal" allowBlank="1" showErrorMessage="1" errorTitle="Неверно указано Количество" error="минимальное количество для заказа = 2" sqref="M1936">
      <formula1>2</formula1>
      <formula2>959</formula2>
    </dataValidation>
    <dataValidation type="decimal" allowBlank="1" showErrorMessage="1" errorTitle="Неверно указано Количество" error="минимальное количество для заказа = 1" sqref="M1938 M1947 M2339">
      <formula1>1</formula1>
      <formula2>154</formula2>
    </dataValidation>
    <dataValidation type="decimal" allowBlank="1" showErrorMessage="1" errorTitle="Неверно указано Количество" error="минимальное количество для заказа = 1" sqref="M1941">
      <formula1>1</formula1>
      <formula2>25</formula2>
    </dataValidation>
    <dataValidation type="decimal" allowBlank="1" showErrorMessage="1" errorTitle="Неверно указано Количество" error="минимальное количество для заказа = 160" sqref="M4042">
      <formula1>160</formula1>
      <formula2>640</formula2>
    </dataValidation>
    <dataValidation type="decimal" allowBlank="1" showErrorMessage="1" errorTitle="Неверно указано Количество" error="минимальное количество для заказа = 3" sqref="M2222">
      <formula1>3</formula1>
      <formula2>318</formula2>
    </dataValidation>
    <dataValidation type="decimal" allowBlank="1" showErrorMessage="1" errorTitle="Неверно указано Количество" error="минимальное количество для заказа = 1" sqref="M1942">
      <formula1>1</formula1>
      <formula2>285</formula2>
    </dataValidation>
    <dataValidation type="decimal" allowBlank="1" showErrorMessage="1" errorTitle="Неверно указано Количество" error="минимальное количество для заказа = 1" sqref="M1943">
      <formula1>1</formula1>
      <formula2>51</formula2>
    </dataValidation>
    <dataValidation type="decimal" allowBlank="1" showErrorMessage="1" errorTitle="Неверно указано Количество" error="минимальное количество для заказа = 1" sqref="M1945">
      <formula1>1</formula1>
      <formula2>126</formula2>
    </dataValidation>
    <dataValidation type="decimal" allowBlank="1" showErrorMessage="1" errorTitle="Неверно указано Количество" error="минимальное количество для заказа = 1" sqref="M1948">
      <formula1>1</formula1>
      <formula2>39</formula2>
    </dataValidation>
    <dataValidation type="decimal" allowBlank="1" showErrorMessage="1" errorTitle="Неверно указано Количество" error="минимальное количество для заказа = 4" sqref="M3575">
      <formula1>4</formula1>
      <formula2>112</formula2>
    </dataValidation>
    <dataValidation type="decimal" allowBlank="1" showErrorMessage="1" errorTitle="Неверно указано Количество" error="минимальное количество для заказа = 5" sqref="M1962">
      <formula1>5</formula1>
      <formula2>318</formula2>
    </dataValidation>
    <dataValidation type="decimal" allowBlank="1" showErrorMessage="1" errorTitle="Неверно указано Количество" error="минимальное количество для заказа = 5" sqref="M1963 M2286">
      <formula1>5</formula1>
      <formula2>17</formula2>
    </dataValidation>
    <dataValidation type="decimal" allowBlank="1" showErrorMessage="1" errorTitle="Неверно указано Количество" error="минимальное количество для заказа = 40" sqref="M2477">
      <formula1>40</formula1>
      <formula2>71</formula2>
    </dataValidation>
    <dataValidation type="decimal" allowBlank="1" showErrorMessage="1" errorTitle="Неверно указано Количество" error="минимальное количество для заказа = 5" sqref="M1964">
      <formula1>5</formula1>
      <formula2>283</formula2>
    </dataValidation>
    <dataValidation type="decimal" allowBlank="1" showErrorMessage="1" errorTitle="Неверно указано Количество" error="минимальное количество для заказа = 5" sqref="M1966">
      <formula1>5</formula1>
      <formula2>55</formula2>
    </dataValidation>
    <dataValidation type="decimal" allowBlank="1" showErrorMessage="1" errorTitle="Неверно указано Количество" error="минимальное количество для заказа = 5" sqref="M1967">
      <formula1>5</formula1>
      <formula2>158</formula2>
    </dataValidation>
    <dataValidation type="decimal" allowBlank="1" showErrorMessage="1" errorTitle="Неверно указано Количество" error="минимальное количество для заказа = 5" sqref="M1969">
      <formula1>5</formula1>
      <formula2>605</formula2>
    </dataValidation>
    <dataValidation type="decimal" allowBlank="1" showErrorMessage="1" errorTitle="Неверно указано Количество" error="минимальное количество для заказа = 5" sqref="M1970">
      <formula1>5</formula1>
      <formula2>375</formula2>
    </dataValidation>
    <dataValidation type="decimal" allowBlank="1" showErrorMessage="1" errorTitle="Неверно указано Количество" error="минимальное количество для заказа = 5" sqref="M1972">
      <formula1>5</formula1>
      <formula2>354</formula2>
    </dataValidation>
    <dataValidation type="decimal" allowBlank="1" showErrorMessage="1" errorTitle="Неверно указано Количество" error="минимальное количество для заказа = 5" sqref="M1973">
      <formula1>5</formula1>
      <formula2>551</formula2>
    </dataValidation>
    <dataValidation type="decimal" allowBlank="1" showErrorMessage="1" errorTitle="Неверно указано Количество" error="минимальное количество для заказа = 5" sqref="M1974">
      <formula1>5</formula1>
      <formula2>88</formula2>
    </dataValidation>
    <dataValidation type="decimal" allowBlank="1" showErrorMessage="1" errorTitle="Неверно указано Количество" error="минимальное количество для заказа = 10" sqref="M1977">
      <formula1>10</formula1>
      <formula2>592</formula2>
    </dataValidation>
    <dataValidation type="decimal" allowBlank="1" showErrorMessage="1" errorTitle="Неверно указано Количество" error="минимальное количество для заказа = 10" sqref="M1978">
      <formula1>10</formula1>
      <formula2>195</formula2>
    </dataValidation>
    <dataValidation type="decimal" allowBlank="1" showErrorMessage="1" errorTitle="Неверно указано Количество" error="минимальное количество для заказа = 10" sqref="M1979">
      <formula1>10</formula1>
      <formula2>243</formula2>
    </dataValidation>
    <dataValidation type="decimal" allowBlank="1" showErrorMessage="1" errorTitle="Неверно указано Количество" error="минимальное количество для заказа = 10" sqref="M1980:M1981">
      <formula1>10</formula1>
      <formula2>986</formula2>
    </dataValidation>
    <dataValidation type="decimal" allowBlank="1" showErrorMessage="1" errorTitle="Неверно указано Количество" error="минимальное количество для заказа = 80" sqref="M4477">
      <formula1>80</formula1>
      <formula2>5650</formula2>
    </dataValidation>
    <dataValidation type="decimal" allowBlank="1" showErrorMessage="1" errorTitle="Неверно указано Количество" error="минимальное количество для заказа = 10" sqref="M1982">
      <formula1>10</formula1>
      <formula2>518</formula2>
    </dataValidation>
    <dataValidation type="decimal" allowBlank="1" showErrorMessage="1" errorTitle="Неверно указано Количество" error="минимальное количество для заказа = 3" sqref="M2040">
      <formula1>3</formula1>
      <formula2>248</formula2>
    </dataValidation>
    <dataValidation type="decimal" allowBlank="1" showErrorMessage="1" errorTitle="Неверно указано Количество" error="минимальное количество для заказа = 10" sqref="M1983">
      <formula1>10</formula1>
      <formula2>674</formula2>
    </dataValidation>
    <dataValidation type="decimal" allowBlank="1" showErrorMessage="1" errorTitle="Неверно указано Количество" error="минимальное количество для заказа = 3" sqref="M1988 M3326">
      <formula1>3</formula1>
      <formula2>147</formula2>
    </dataValidation>
    <dataValidation type="decimal" allowBlank="1" showErrorMessage="1" errorTitle="Неверно указано Количество" error="минимальное количество для заказа = 2" sqref="M1992">
      <formula1>2</formula1>
      <formula2>336</formula2>
    </dataValidation>
    <dataValidation type="decimal" allowBlank="1" showErrorMessage="1" errorTitle="Неверно указано Количество" error="минимальное количество для заказа = 6" sqref="M2546">
      <formula1>6</formula1>
      <formula2>54</formula2>
    </dataValidation>
    <dataValidation type="decimal" allowBlank="1" showErrorMessage="1" errorTitle="Неверно указано Количество" error="минимальное количество для заказа = 2" sqref="M1993">
      <formula1>2</formula1>
      <formula2>353</formula2>
    </dataValidation>
    <dataValidation type="decimal" allowBlank="1" showErrorMessage="1" errorTitle="Неверно указано Количество" error="минимальное количество для заказа = 160" sqref="M3993">
      <formula1>160</formula1>
      <formula2>8980</formula2>
    </dataValidation>
    <dataValidation type="decimal" allowBlank="1" showErrorMessage="1" errorTitle="Неверно указано Количество" error="минимальное количество для заказа = 7" sqref="M2006">
      <formula1>7</formula1>
      <formula2>254</formula2>
    </dataValidation>
    <dataValidation type="decimal" allowBlank="1" showErrorMessage="1" errorTitle="Неверно указано Количество" error="минимальное количество для заказа = 7" sqref="M2007">
      <formula1>7</formula1>
      <formula2>14</formula2>
    </dataValidation>
    <dataValidation type="decimal" operator="equal" allowBlank="1" showErrorMessage="1" errorTitle="Не нужно менять минимальное количество для заказа:" error="минимальное количество для заказа = 300" sqref="K4545:K4546 K4555:K4556">
      <formula1>300</formula1>
    </dataValidation>
    <dataValidation type="decimal" allowBlank="1" showErrorMessage="1" errorTitle="Неверно указано Количество" error="минимальное количество для заказа = 5" sqref="M2019">
      <formula1>5</formula1>
      <formula2>31</formula2>
    </dataValidation>
    <dataValidation type="decimal" allowBlank="1" showErrorMessage="1" errorTitle="Неверно указано Количество" error="минимальное количество для заказа = 5" sqref="M2020 M2262">
      <formula1>5</formula1>
      <formula2>376</formula2>
    </dataValidation>
    <dataValidation type="decimal" allowBlank="1" showErrorMessage="1" errorTitle="Неверно указано Количество" error="минимальное количество для заказа = 5" sqref="M2021">
      <formula1>5</formula1>
      <formula2>358</formula2>
    </dataValidation>
    <dataValidation type="decimal" allowBlank="1" showErrorMessage="1" errorTitle="Неверно указано Количество" error="минимальное количество для заказа = 5" sqref="M2022">
      <formula1>5</formula1>
      <formula2>15</formula2>
    </dataValidation>
    <dataValidation type="decimal" allowBlank="1" showErrorMessage="1" errorTitle="Неверно указано Количество" error="минимальное количество для заказа = 3" sqref="M2031">
      <formula1>3</formula1>
      <formula2>136</formula2>
    </dataValidation>
    <dataValidation type="decimal" allowBlank="1" showErrorMessage="1" errorTitle="Неверно указано Количество" error="минимальное количество для заказа = 1" sqref="M2387 M2569">
      <formula1>1</formula1>
      <formula2>78</formula2>
    </dataValidation>
    <dataValidation type="decimal" allowBlank="1" showErrorMessage="1" errorTitle="Неверно указано Количество" error="минимальное количество для заказа = 3" sqref="M2032">
      <formula1>3</formula1>
      <formula2>190</formula2>
    </dataValidation>
    <dataValidation type="decimal" allowBlank="1" showErrorMessage="1" errorTitle="Неверно указано Количество" error="минимальное количество для заказа = 3" sqref="M2033">
      <formula1>3</formula1>
      <formula2>183</formula2>
    </dataValidation>
    <dataValidation type="decimal" allowBlank="1" showErrorMessage="1" errorTitle="Неверно указано Количество" error="минимальное количество для заказа = 400" sqref="M4553">
      <formula1>400</formula1>
      <formula2>29339</formula2>
    </dataValidation>
    <dataValidation type="decimal" allowBlank="1" showErrorMessage="1" errorTitle="Неверно указано Количество" error="минимальное количество для заказа = 3" sqref="M2037">
      <formula1>3</formula1>
      <formula2>283</formula2>
    </dataValidation>
    <dataValidation type="decimal" allowBlank="1" showErrorMessage="1" errorTitle="Неверно указано Количество" error="минимальное количество для заказа = 3" sqref="M2038">
      <formula1>3</formula1>
      <formula2>26</formula2>
    </dataValidation>
    <dataValidation type="decimal" allowBlank="1" showErrorMessage="1" errorTitle="Неверно указано Количество" error="минимальное количество для заказа = 3" sqref="M2039">
      <formula1>3</formula1>
      <formula2>252</formula2>
    </dataValidation>
    <dataValidation type="decimal" allowBlank="1" showErrorMessage="1" errorTitle="Неверно указано Количество" error="минимальное количество для заказа = 64" sqref="M2640">
      <formula1>64</formula1>
      <formula2>2960</formula2>
    </dataValidation>
    <dataValidation type="decimal" allowBlank="1" showErrorMessage="1" errorTitle="Неверно указано Количество" error="минимальное количество для заказа = 3" sqref="M2041">
      <formula1>3</formula1>
      <formula2>291</formula2>
    </dataValidation>
    <dataValidation type="decimal" allowBlank="1" showErrorMessage="1" errorTitle="Неверно указано Количество" error="минимальное количество для заказа = 3" sqref="M2042">
      <formula1>3</formula1>
      <formula2>217</formula2>
    </dataValidation>
    <dataValidation type="decimal" allowBlank="1" showErrorMessage="1" errorTitle="Неверно указано Количество" error="минимальное количество для заказа = 4" sqref="M2049">
      <formula1>4</formula1>
      <formula2>560</formula2>
    </dataValidation>
    <dataValidation type="decimal" allowBlank="1" showErrorMessage="1" errorTitle="Неверно указано Количество" error="минимальное количество для заказа = 4" sqref="M2052">
      <formula1>4</formula1>
      <formula2>34</formula2>
    </dataValidation>
    <dataValidation type="decimal" allowBlank="1" showErrorMessage="1" errorTitle="Неверно указано Количество" error="минимальное количество для заказа = 6" sqref="M2514">
      <formula1>6</formula1>
      <formula2>270</formula2>
    </dataValidation>
    <dataValidation type="decimal" allowBlank="1" showErrorMessage="1" errorTitle="Неверно указано Количество" error="минимальное количество для заказа = 4" sqref="M2057">
      <formula1>4</formula1>
      <formula2>385</formula2>
    </dataValidation>
    <dataValidation type="decimal" allowBlank="1" showErrorMessage="1" errorTitle="Неверно указано Количество" error="минимальное количество для заказа = 300" sqref="M4556">
      <formula1>300</formula1>
      <formula2>461303</formula2>
    </dataValidation>
    <dataValidation type="decimal" allowBlank="1" showErrorMessage="1" errorTitle="Неверно указано Количество" error="минимальное количество для заказа = 1" sqref="M2200">
      <formula1>1</formula1>
      <formula2>589</formula2>
    </dataValidation>
    <dataValidation type="decimal" allowBlank="1" showErrorMessage="1" errorTitle="Неверно указано Количество" error="минимальное количество для заказа = 4" sqref="M2065">
      <formula1>4</formula1>
      <formula2>474</formula2>
    </dataValidation>
    <dataValidation type="decimal" allowBlank="1" showErrorMessage="1" errorTitle="Неверно указано Количество" error="минимальное количество для заказа = 10" sqref="M3305">
      <formula1>10</formula1>
      <formula2>444</formula2>
    </dataValidation>
    <dataValidation type="decimal" allowBlank="1" showErrorMessage="1" errorTitle="Неверно указано Количество" error="минимальное количество для заказа = 4" sqref="M2066 M2277">
      <formula1>4</formula1>
      <formula2>191</formula2>
    </dataValidation>
    <dataValidation type="decimal" allowBlank="1" showErrorMessage="1" errorTitle="Неверно указано Количество" error="минимальное количество для заказа = 4" sqref="M2067">
      <formula1>4</formula1>
      <formula2>516</formula2>
    </dataValidation>
    <dataValidation type="decimal" allowBlank="1" showErrorMessage="1" errorTitle="Неверно указано Количество" error="минимальное количество для заказа = 3" sqref="M2072">
      <formula1>3</formula1>
      <formula2>464</formula2>
    </dataValidation>
    <dataValidation type="decimal" allowBlank="1" showErrorMessage="1" errorTitle="Неверно указано Количество" error="минимальное количество для заказа = 3" sqref="M2074">
      <formula1>3</formula1>
      <formula2>543</formula2>
    </dataValidation>
    <dataValidation type="decimal" allowBlank="1" showErrorMessage="1" errorTitle="Неверно указано Количество" error="минимальное количество для заказа = 100" sqref="M4133">
      <formula1>100</formula1>
      <formula2>11190</formula2>
    </dataValidation>
    <dataValidation type="decimal" allowBlank="1" showErrorMessage="1" errorTitle="Неверно указано Количество" error="минимальное количество для заказа = 4" sqref="M2090">
      <formula1>4</formula1>
      <formula2>488</formula2>
    </dataValidation>
    <dataValidation type="decimal" allowBlank="1" showErrorMessage="1" errorTitle="Неверно указано Количество" error="минимальное количество для заказа = 3" sqref="M2114">
      <formula1>3</formula1>
      <formula2>271</formula2>
    </dataValidation>
    <dataValidation type="decimal" allowBlank="1" showErrorMessage="1" errorTitle="Неверно указано Количество" error="минимальное количество для заказа = 4" sqref="M2095">
      <formula1>4</formula1>
      <formula2>88</formula2>
    </dataValidation>
    <dataValidation type="decimal" allowBlank="1" showErrorMessage="1" errorTitle="Неверно указано Количество" error="минимальное количество для заказа = 4" sqref="M2096">
      <formula1>4</formula1>
      <formula2>484</formula2>
    </dataValidation>
    <dataValidation type="decimal" allowBlank="1" showErrorMessage="1" errorTitle="Неверно указано Количество" error="минимальное количество для заказа = 1" sqref="M2099">
      <formula1>1</formula1>
      <formula2>160</formula2>
    </dataValidation>
    <dataValidation type="decimal" allowBlank="1" showErrorMessage="1" errorTitle="Неверно указано Количество" error="минимальное количество для заказа = 80" sqref="M4451">
      <formula1>80</formula1>
      <formula2>4629</formula2>
    </dataValidation>
    <dataValidation type="decimal" allowBlank="1" showErrorMessage="1" errorTitle="Неверно указано Количество" error="минимальное количество для заказа = 1" sqref="M2406">
      <formula1>1</formula1>
      <formula2>107</formula2>
    </dataValidation>
    <dataValidation type="decimal" allowBlank="1" showErrorMessage="1" errorTitle="Неверно указано Количество" error="минимальное количество для заказа = 1" sqref="M2101">
      <formula1>1</formula1>
      <formula2>102</formula2>
    </dataValidation>
    <dataValidation type="decimal" allowBlank="1" showErrorMessage="1" errorTitle="Неверно указано Количество" error="минимальное количество для заказа = 2" sqref="M2104">
      <formula1>2</formula1>
      <formula2>212</formula2>
    </dataValidation>
    <dataValidation type="decimal" allowBlank="1" showErrorMessage="1" errorTitle="Неверно указано Количество" error="минимальное количество для заказа = 48" sqref="M4317">
      <formula1>48</formula1>
      <formula2>5042</formula2>
    </dataValidation>
    <dataValidation type="decimal" allowBlank="1" showErrorMessage="1" errorTitle="Неверно указано Количество" error="минимальное количество для заказа = 2" sqref="M2106">
      <formula1>2</formula1>
      <formula2>83</formula2>
    </dataValidation>
    <dataValidation type="decimal" allowBlank="1" showErrorMessage="1" errorTitle="Неверно указано Количество" error="минимальное количество для заказа = 2" sqref="M2107">
      <formula1>2</formula1>
      <formula2>433</formula2>
    </dataValidation>
    <dataValidation type="decimal" allowBlank="1" showErrorMessage="1" errorTitle="Неверно указано Количество" error="минимальное количество для заказа = 3" sqref="M2113">
      <formula1>3</formula1>
      <formula2>449</formula2>
    </dataValidation>
    <dataValidation type="decimal" allowBlank="1" showErrorMessage="1" errorTitle="Неверно указано Количество" error="минимальное количество для заказа = 4" sqref="M2116">
      <formula1>4</formula1>
      <formula2>517</formula2>
    </dataValidation>
    <dataValidation type="decimal" allowBlank="1" showErrorMessage="1" errorTitle="Неверно указано Количество" error="минимальное количество для заказа = 3" sqref="M2123 M2139">
      <formula1>3</formula1>
      <formula2>199</formula2>
    </dataValidation>
    <dataValidation type="decimal" allowBlank="1" showErrorMessage="1" errorTitle="Неверно указано Количество" error="минимальное количество для заказа = 3" sqref="M2124">
      <formula1>3</formula1>
      <formula2>81</formula2>
    </dataValidation>
    <dataValidation type="decimal" allowBlank="1" showErrorMessage="1" errorTitle="Неверно указано Количество" error="минимальное количество для заказа = 6" sqref="M2133">
      <formula1>6</formula1>
      <formula2>333</formula2>
    </dataValidation>
    <dataValidation type="decimal" allowBlank="1" showErrorMessage="1" errorTitle="Неверно указано Количество" error="минимальное количество для заказа = 1" sqref="M2353">
      <formula1>1</formula1>
      <formula2>389</formula2>
    </dataValidation>
    <dataValidation type="decimal" allowBlank="1" showErrorMessage="1" errorTitle="Неверно указано Количество" error="минимальное количество для заказа = 6" sqref="M2134 M2737">
      <formula1>6</formula1>
      <formula2>26</formula2>
    </dataValidation>
    <dataValidation type="decimal" allowBlank="1" showErrorMessage="1" errorTitle="Неверно указано Количество" error="минимальное количество для заказа = 6" sqref="M2136">
      <formula1>6</formula1>
      <formula2>68</formula2>
    </dataValidation>
    <dataValidation type="decimal" allowBlank="1" showErrorMessage="1" errorTitle="Неверно указано Количество" error="минимальное количество для заказа = 3" sqref="M2138">
      <formula1>3</formula1>
      <formula2>140</formula2>
    </dataValidation>
    <dataValidation type="decimal" allowBlank="1" showErrorMessage="1" errorTitle="Неверно указано Количество" error="минимальное количество для заказа = 100" sqref="M4197">
      <formula1>100</formula1>
      <formula2>4627</formula2>
    </dataValidation>
    <dataValidation type="decimal" allowBlank="1" showErrorMessage="1" errorTitle="Неверно указано Количество" error="минимальное количество для заказа = 3" sqref="M2140">
      <formula1>3</formula1>
      <formula2>327</formula2>
    </dataValidation>
    <dataValidation type="decimal" allowBlank="1" showErrorMessage="1" errorTitle="Неверно указано Количество" error="минимальное количество для заказа = 80" sqref="M4483">
      <formula1>80</formula1>
      <formula2>2470</formula2>
    </dataValidation>
    <dataValidation type="decimal" allowBlank="1" showErrorMessage="1" errorTitle="Неверно указано Количество" error="минимальное количество для заказа = 3" sqref="M2142 M2315">
      <formula1>3</formula1>
      <formula2>68</formula2>
    </dataValidation>
    <dataValidation type="decimal" allowBlank="1" showErrorMessage="1" errorTitle="Неверно указано Количество" error="минимальное количество для заказа = 250" sqref="M3830">
      <formula1>250</formula1>
      <formula2>7725</formula2>
    </dataValidation>
    <dataValidation type="decimal" allowBlank="1" showErrorMessage="1" errorTitle="Неверно указано Количество" error="минимальное количество для заказа = 3" sqref="M2143">
      <formula1>3</formula1>
      <formula2>221</formula2>
    </dataValidation>
    <dataValidation type="decimal" operator="greaterThanOrEqual" allowBlank="1" showErrorMessage="1" errorTitle="Нельзя заказать меньше чем :" error="минимальное количество для заказа = 150" sqref="M3973:M3974 M3984 M3991">
      <formula1>150</formula1>
    </dataValidation>
    <dataValidation type="decimal" allowBlank="1" showErrorMessage="1" errorTitle="Неверно указано Количество" error="минимальное количество для заказа = 3" sqref="M2144">
      <formula1>3</formula1>
      <formula2>137</formula2>
    </dataValidation>
    <dataValidation type="decimal" allowBlank="1" showErrorMessage="1" errorTitle="Неверно указано Количество" error="минимальное количество для заказа = 3" sqref="M2145 M2591">
      <formula1>3</formula1>
      <formula2>33</formula2>
    </dataValidation>
    <dataValidation type="decimal" allowBlank="1" showErrorMessage="1" errorTitle="Неверно указано Количество" error="минимальное количество для заказа = 3" sqref="M2147">
      <formula1>3</formula1>
      <formula2>153</formula2>
    </dataValidation>
    <dataValidation type="decimal" allowBlank="1" showErrorMessage="1" errorTitle="Неверно указано Количество" error="минимальное количество для заказа = 3" sqref="M2148">
      <formula1>3</formula1>
      <formula2>116</formula2>
    </dataValidation>
    <dataValidation type="decimal" allowBlank="1" showErrorMessage="1" errorTitle="Неверно указано Количество" error="минимальное количество для заказа = 3" sqref="M2149">
      <formula1>3</formula1>
      <formula2>189</formula2>
    </dataValidation>
    <dataValidation type="decimal" allowBlank="1" showErrorMessage="1" errorTitle="Неверно указано Количество" error="минимальное количество для заказа = 5" sqref="M2151">
      <formula1>5</formula1>
      <formula2>254</formula2>
    </dataValidation>
    <dataValidation type="decimal" allowBlank="1" showErrorMessage="1" errorTitle="Неверно указано Количество" error="минимальное количество для заказа = 64" sqref="M2650 M3400">
      <formula1>64</formula1>
      <formula2>64</formula2>
    </dataValidation>
    <dataValidation type="decimal" allowBlank="1" showErrorMessage="1" errorTitle="Неверно указано Количество" error="минимальное количество для заказа = 4" sqref="M2155">
      <formula1>4</formula1>
      <formula2>11</formula2>
    </dataValidation>
    <dataValidation type="decimal" allowBlank="1" showErrorMessage="1" errorTitle="Неверно указано Количество" error="минимальное количество для заказа = 160" sqref="M3986">
      <formula1>160</formula1>
      <formula2>3510</formula2>
    </dataValidation>
    <dataValidation type="decimal" allowBlank="1" showErrorMessage="1" errorTitle="Неверно указано Количество" error="минимальное количество для заказа = 4" sqref="M2156 M3566">
      <formula1>4</formula1>
      <formula2>14</formula2>
    </dataValidation>
    <dataValidation type="decimal" allowBlank="1" showErrorMessage="1" errorTitle="Неверно указано Количество" error="минимальное количество для заказа = 5" sqref="M2159 M3187">
      <formula1>5</formula1>
      <formula2>301</formula2>
    </dataValidation>
    <dataValidation type="decimal" allowBlank="1" showErrorMessage="1" errorTitle="Неверно указано Количество" error="минимальное количество для заказа = 5" sqref="M2161">
      <formula1>5</formula1>
      <formula2>622</formula2>
    </dataValidation>
    <dataValidation type="decimal" allowBlank="1" showErrorMessage="1" errorTitle="Неверно указано Количество" error="минимальное количество для заказа = 5" sqref="M2162">
      <formula1>5</formula1>
      <formula2>437</formula2>
    </dataValidation>
    <dataValidation type="decimal" allowBlank="1" showErrorMessage="1" errorTitle="Неверно указано Количество" error="минимальное количество для заказа = 140" sqref="M4064">
      <formula1>140</formula1>
      <formula2>3620</formula2>
    </dataValidation>
    <dataValidation type="decimal" allowBlank="1" showErrorMessage="1" errorTitle="Неверно указано Количество" error="минимальное количество для заказа = 80" sqref="M3419">
      <formula1>80</formula1>
      <formula2>4417</formula2>
    </dataValidation>
    <dataValidation type="decimal" allowBlank="1" showErrorMessage="1" errorTitle="Неверно указано Количество" error="минимальное количество для заказа = 5" sqref="M2164">
      <formula1>5</formula1>
      <formula2>489</formula2>
    </dataValidation>
    <dataValidation type="decimal" allowBlank="1" showErrorMessage="1" errorTitle="Неверно указано Количество" error="минимальное количество для заказа = 250" sqref="M3798">
      <formula1>250</formula1>
      <formula2>9200</formula2>
    </dataValidation>
    <dataValidation type="decimal" allowBlank="1" showErrorMessage="1" errorTitle="Неверно указано Количество" error="минимальное количество для заказа = 5" sqref="M2165">
      <formula1>5</formula1>
      <formula2>272</formula2>
    </dataValidation>
    <dataValidation type="decimal" allowBlank="1" showErrorMessage="1" errorTitle="Неверно указано Количество" error="минимальное количество для заказа = 3" sqref="M2167">
      <formula1>3</formula1>
      <formula2>72</formula2>
    </dataValidation>
    <dataValidation type="decimal" allowBlank="1" showErrorMessage="1" errorTitle="Неверно указано Количество" error="минимальное количество для заказа = 3" sqref="M2169 M2341">
      <formula1>3</formula1>
      <formula2>182</formula2>
    </dataValidation>
    <dataValidation type="decimal" allowBlank="1" showErrorMessage="1" errorTitle="Неверно указано Количество" error="минимальное количество для заказа = 2" sqref="M2172">
      <formula1>2</formula1>
      <formula2>401</formula2>
    </dataValidation>
    <dataValidation type="decimal" allowBlank="1" showErrorMessage="1" errorTitle="Неверно указано Количество" error="минимальное количество для заказа = 2" sqref="M2173">
      <formula1>2</formula1>
      <formula2>617</formula2>
    </dataValidation>
    <dataValidation type="decimal" allowBlank="1" showErrorMessage="1" errorTitle="Неверно указано Количество" error="минимальное количество для заказа = 2" sqref="M2174">
      <formula1>2</formula1>
      <formula2>92</formula2>
    </dataValidation>
    <dataValidation type="decimal" allowBlank="1" showErrorMessage="1" errorTitle="Неверно указано Количество" error="минимальное количество для заказа = 3" sqref="M2178">
      <formula1>3</formula1>
      <formula2>431</formula2>
    </dataValidation>
    <dataValidation type="decimal" allowBlank="1" showErrorMessage="1" errorTitle="Неверно указано Количество" error="минимальное количество для заказа = 3" sqref="M2180">
      <formula1>3</formula1>
      <formula2>443</formula2>
    </dataValidation>
    <dataValidation type="decimal" allowBlank="1" showErrorMessage="1" errorTitle="Неверно указано Количество" error="минимальное количество для заказа = 250" sqref="M3734">
      <formula1>250</formula1>
      <formula2>15050</formula2>
    </dataValidation>
    <dataValidation type="decimal" allowBlank="1" showErrorMessage="1" errorTitle="Неверно указано Количество" error="минимальное количество для заказа = 3" sqref="M2181 M2346">
      <formula1>3</formula1>
      <formula2>483</formula2>
    </dataValidation>
    <dataValidation type="decimal" allowBlank="1" showErrorMessage="1" errorTitle="Неверно указано Количество" error="минимальное количество для заказа = 2" sqref="M2184">
      <formula1>2</formula1>
      <formula2>332</formula2>
    </dataValidation>
    <dataValidation type="decimal" allowBlank="1" showErrorMessage="1" errorTitle="Неверно указано Количество" error="минимальное количество для заказа = 50" sqref="M3388">
      <formula1>50</formula1>
      <formula2>60</formula2>
    </dataValidation>
    <dataValidation type="decimal" allowBlank="1" showErrorMessage="1" errorTitle="Неверно указано Количество" error="минимальное количество для заказа = 2" sqref="M2185 M2293 M3026">
      <formula1>2</formula1>
      <formula2>5</formula2>
    </dataValidation>
    <dataValidation type="decimal" allowBlank="1" showErrorMessage="1" errorTitle="Неверно указано Количество" error="минимальное количество для заказа = 2" sqref="M2188">
      <formula1>2</formula1>
      <formula2>586</formula2>
    </dataValidation>
    <dataValidation type="decimal" allowBlank="1" showErrorMessage="1" errorTitle="Неверно указано Количество" error="минимальное количество для заказа = 2" sqref="M2189">
      <formula1>2</formula1>
      <formula2>217</formula2>
    </dataValidation>
    <dataValidation type="decimal" allowBlank="1" showErrorMessage="1" errorTitle="Неверно указано Количество" error="минимальное количество для заказа = 2" sqref="M2190">
      <formula1>2</formula1>
      <formula2>48</formula2>
    </dataValidation>
    <dataValidation type="decimal" allowBlank="1" showErrorMessage="1" errorTitle="Неверно указано Количество" error="минимальное количество для заказа = 2" sqref="M2191">
      <formula1>2</formula1>
      <formula2>865</formula2>
    </dataValidation>
    <dataValidation type="decimal" allowBlank="1" showErrorMessage="1" errorTitle="Неверно указано Количество" error="минимальное количество для заказа = 2" sqref="M2192">
      <formula1>2</formula1>
      <formula2>810</formula2>
    </dataValidation>
    <dataValidation type="decimal" allowBlank="1" showErrorMessage="1" errorTitle="Неверно указано Количество" error="минимальное количество для заказа = 2" sqref="M2193">
      <formula1>2</formula1>
      <formula2>516</formula2>
    </dataValidation>
    <dataValidation type="decimal" allowBlank="1" showErrorMessage="1" errorTitle="Неверно указано Количество" error="минимальное количество для заказа = 30" sqref="M3632">
      <formula1>30</formula1>
      <formula2>682</formula2>
    </dataValidation>
    <dataValidation type="decimal" allowBlank="1" showErrorMessage="1" errorTitle="Неверно указано Количество" error="минимальное количество для заказа = 2" sqref="M2196 M2214">
      <formula1>2</formula1>
      <formula2>44</formula2>
    </dataValidation>
    <dataValidation type="decimal" allowBlank="1" showErrorMessage="1" errorTitle="Неверно указано Количество" error="минимальное количество для заказа = 1" sqref="M2201">
      <formula1>1</formula1>
      <formula2>430</formula2>
    </dataValidation>
    <dataValidation type="decimal" allowBlank="1" showErrorMessage="1" errorTitle="Неверно указано Количество" error="минимальное количество для заказа = 1" sqref="M2202">
      <formula1>1</formula1>
      <formula2>412</formula2>
    </dataValidation>
    <dataValidation type="decimal" allowBlank="1" showErrorMessage="1" errorTitle="Неверно указано Количество" error="минимальное количество для заказа = 1" sqref="M2203">
      <formula1>1</formula1>
      <formula2>171</formula2>
    </dataValidation>
    <dataValidation type="decimal" allowBlank="1" showErrorMessage="1" errorTitle="Неверно указано Количество" error="минимальное количество для заказа = 250" sqref="M3879">
      <formula1>250</formula1>
      <formula2>4975</formula2>
    </dataValidation>
    <dataValidation type="decimal" allowBlank="1" showErrorMessage="1" errorTitle="Неверно указано Количество" error="минимальное количество для заказа = 48" sqref="M3513">
      <formula1>48</formula1>
      <formula2>1230</formula2>
    </dataValidation>
    <dataValidation type="decimal" allowBlank="1" showErrorMessage="1" errorTitle="Неверно указано Количество" error="минимальное количество для заказа = 1" sqref="M2204 M2336">
      <formula1>1</formula1>
      <formula2>64</formula2>
    </dataValidation>
    <dataValidation type="decimal" allowBlank="1" showErrorMessage="1" errorTitle="Неверно указано Количество" error="минимальное количество для заказа = 1" sqref="M2205">
      <formula1>1</formula1>
      <formula2>67</formula2>
    </dataValidation>
    <dataValidation type="decimal" allowBlank="1" showErrorMessage="1" errorTitle="Неверно указано Количество" error="минимальное количество для заказа = 1" sqref="M2206">
      <formula1>1</formula1>
      <formula2>711</formula2>
    </dataValidation>
    <dataValidation type="decimal" allowBlank="1" showErrorMessage="1" errorTitle="Неверно указано Количество" error="минимальное количество для заказа = 1" sqref="M2207">
      <formula1>1</formula1>
      <formula2>237</formula2>
    </dataValidation>
    <dataValidation type="decimal" allowBlank="1" showErrorMessage="1" errorTitle="Неверно указано Количество" error="минимальное количество для заказа = 1" sqref="M2208">
      <formula1>1</formula1>
      <formula2>409</formula2>
    </dataValidation>
    <dataValidation type="decimal" allowBlank="1" showErrorMessage="1" errorTitle="Неверно указано Количество" error="минимальное количество для заказа = 2" sqref="M2227">
      <formula1>2</formula1>
      <formula2>797</formula2>
    </dataValidation>
    <dataValidation type="decimal" allowBlank="1" showErrorMessage="1" errorTitle="Неверно указано Количество" error="минимальное количество для заказа = 1" sqref="M2209">
      <formula1>1</formula1>
      <formula2>434</formula2>
    </dataValidation>
    <dataValidation type="decimal" allowBlank="1" showErrorMessage="1" errorTitle="Неверно указано Количество" error="минимальное количество для заказа = 1" sqref="M2210">
      <formula1>1</formula1>
      <formula2>375</formula2>
    </dataValidation>
    <dataValidation type="decimal" allowBlank="1" showErrorMessage="1" errorTitle="Неверно указано Количество" error="минимальное количество для заказа = 2" sqref="M2212">
      <formula1>2</formula1>
      <formula2>222</formula2>
    </dataValidation>
    <dataValidation type="decimal" allowBlank="1" showErrorMessage="1" errorTitle="Неверно указано Количество" error="минимальное количество для заказа = 2" sqref="M2567">
      <formula1>2</formula1>
      <formula2>20</formula2>
    </dataValidation>
    <dataValidation type="decimal" allowBlank="1" showErrorMessage="1" errorTitle="Неверно указано Количество" error="минимальное количество для заказа = 2" sqref="M2213">
      <formula1>2</formula1>
      <formula2>108</formula2>
    </dataValidation>
    <dataValidation type="decimal" allowBlank="1" showErrorMessage="1" errorTitle="Неверно указано Количество" error="минимальное количество для заказа = 2" sqref="M2215 M2348">
      <formula1>2</formula1>
      <formula2>30</formula2>
    </dataValidation>
    <dataValidation type="decimal" allowBlank="1" showErrorMessage="1" errorTitle="Неверно указано Количество" error="минимальное количество для заказа = 2" sqref="M2218">
      <formula1>2</formula1>
      <formula2>90</formula2>
    </dataValidation>
    <dataValidation type="decimal" allowBlank="1" showErrorMessage="1" errorTitle="Неверно указано Количество" error="минимальное количество для заказа = 3" sqref="M2220">
      <formula1>3</formula1>
      <formula2>761</formula2>
    </dataValidation>
    <dataValidation type="decimal" allowBlank="1" showErrorMessage="1" errorTitle="Неверно указано Количество" error="минимальное количество для заказа = 3" sqref="M2221">
      <formula1>3</formula1>
      <formula2>104</formula2>
    </dataValidation>
    <dataValidation type="decimal" allowBlank="1" showErrorMessage="1" errorTitle="Неверно указано Количество" error="минимальное количество для заказа = 1" sqref="M2305">
      <formula1>1</formula1>
      <formula2>313</formula2>
    </dataValidation>
    <dataValidation type="decimal" allowBlank="1" showErrorMessage="1" errorTitle="Неверно указано Количество" error="минимальное количество для заказа = 3" sqref="M2223">
      <formula1>3</formula1>
      <formula2>56</formula2>
    </dataValidation>
    <dataValidation type="decimal" allowBlank="1" showErrorMessage="1" errorTitle="Неверно указано Количество" error="минимальное количество для заказа = 1" sqref="M2229">
      <formula1>1</formula1>
      <formula2>366</formula2>
    </dataValidation>
    <dataValidation type="decimal" allowBlank="1" showErrorMessage="1" errorTitle="Неверно указано Количество" error="минимальное количество для заказа = 1" sqref="M2230">
      <formula1>1</formula1>
      <formula2>357</formula2>
    </dataValidation>
    <dataValidation type="decimal" allowBlank="1" showErrorMessage="1" errorTitle="Неверно указано Количество" error="минимальное количество для заказа = 1" sqref="M2231">
      <formula1>1</formula1>
      <formula2>476</formula2>
    </dataValidation>
    <dataValidation type="decimal" allowBlank="1" showErrorMessage="1" errorTitle="Неверно указано Количество" error="минимальное количество для заказа = 1" sqref="M2232">
      <formula1>1</formula1>
      <formula2>420</formula2>
    </dataValidation>
    <dataValidation type="decimal" allowBlank="1" showErrorMessage="1" errorTitle="Неверно указано Количество" error="минимальное количество для заказа = 3" sqref="M2236">
      <formula1>3</formula1>
      <formula2>537</formula2>
    </dataValidation>
    <dataValidation type="decimal" allowBlank="1" showErrorMessage="1" errorTitle="Неверно указано Количество" error="минимальное количество для заказа = 48" sqref="M3533">
      <formula1>48</formula1>
      <formula2>13598</formula2>
    </dataValidation>
    <dataValidation type="decimal" allowBlank="1" showErrorMessage="1" errorTitle="Неверно указано Количество" error="минимальное количество для заказа = 4" sqref="M2238">
      <formula1>4</formula1>
      <formula2>82</formula2>
    </dataValidation>
    <dataValidation type="decimal" allowBlank="1" showErrorMessage="1" errorTitle="Неверно указано Количество" error="минимальное количество для заказа = 4" sqref="M2239">
      <formula1>4</formula1>
      <formula2>151</formula2>
    </dataValidation>
    <dataValidation type="decimal" allowBlank="1" showErrorMessage="1" errorTitle="Неверно указано Количество" error="минимальное количество для заказа = 4" sqref="M2240">
      <formula1>4</formula1>
      <formula2>620</formula2>
    </dataValidation>
    <dataValidation type="decimal" allowBlank="1" showErrorMessage="1" errorTitle="Неверно указано Количество" error="минимальное количество для заказа = 4" sqref="M2241">
      <formula1>4</formula1>
      <formula2>504</formula2>
    </dataValidation>
    <dataValidation type="decimal" allowBlank="1" showErrorMessage="1" errorTitle="Неверно указано Количество" error="минимальное количество для заказа = 48" sqref="M3517">
      <formula1>48</formula1>
      <formula2>436</formula2>
    </dataValidation>
    <dataValidation type="decimal" allowBlank="1" showErrorMessage="1" errorTitle="Неверно указано Количество" error="минимальное количество для заказа = 64" sqref="M3399">
      <formula1>64</formula1>
      <formula2>488</formula2>
    </dataValidation>
    <dataValidation type="decimal" allowBlank="1" showErrorMessage="1" errorTitle="Неверно указано Количество" error="минимальное количество для заказа = 2" sqref="M3082">
      <formula1>2</formula1>
      <formula2>1352</formula2>
    </dataValidation>
    <dataValidation type="decimal" allowBlank="1" showErrorMessage="1" errorTitle="Неверно указано Количество" error="минимальное количество для заказа = 4" sqref="M2242">
      <formula1>4</formula1>
      <formula2>252</formula2>
    </dataValidation>
    <dataValidation type="decimal" allowBlank="1" showErrorMessage="1" errorTitle="Неверно указано Количество" error="минимальное количество для заказа = 4" sqref="M2243">
      <formula1>4</formula1>
      <formula2>512</formula2>
    </dataValidation>
    <dataValidation type="decimal" allowBlank="1" showErrorMessage="1" errorTitle="Неверно указано Количество" error="минимальное количество для заказа = 240" sqref="M3828">
      <formula1>240</formula1>
      <formula2>6660</formula2>
    </dataValidation>
    <dataValidation type="decimal" allowBlank="1" showErrorMessage="1" errorTitle="Неверно указано Количество" error="минимальное количество для заказа = 4" sqref="M2244">
      <formula1>4</formula1>
      <formula2>559</formula2>
    </dataValidation>
    <dataValidation type="decimal" allowBlank="1" showErrorMessage="1" errorTitle="Неверно указано Количество" error="минимальное количество для заказа = 80" sqref="M4381">
      <formula1>80</formula1>
      <formula2>4760</formula2>
    </dataValidation>
    <dataValidation type="decimal" allowBlank="1" showErrorMessage="1" errorTitle="Неверно указано Количество" error="минимальное количество для заказа = 3" sqref="M2247">
      <formula1>3</formula1>
      <formula2>145</formula2>
    </dataValidation>
    <dataValidation type="decimal" allowBlank="1" showErrorMessage="1" errorTitle="Неверно указано Количество" error="минимальное количество для заказа = 1" sqref="M2252">
      <formula1>1</formula1>
      <formula2>238</formula2>
    </dataValidation>
    <dataValidation type="decimal" allowBlank="1" showErrorMessage="1" errorTitle="Неверно указано Количество" error="минимальное количество для заказа = 1" sqref="M2253">
      <formula1>1</formula1>
      <formula2>709</formula2>
    </dataValidation>
    <dataValidation type="decimal" allowBlank="1" showErrorMessage="1" errorTitle="Неверно указано Количество" error="минимальное количество для заказа = 1" sqref="M2254">
      <formula1>1</formula1>
      <formula2>694</formula2>
    </dataValidation>
    <dataValidation type="decimal" allowBlank="1" showErrorMessage="1" errorTitle="Неверно указано Количество" error="минимальное количество для заказа = 5" sqref="M2259">
      <formula1>5</formula1>
      <formula2>741</formula2>
    </dataValidation>
    <dataValidation type="decimal" allowBlank="1" showErrorMessage="1" errorTitle="Неверно указано Количество" error="минимальное количество для заказа = 5" sqref="M2260">
      <formula1>5</formula1>
      <formula2>666</formula2>
    </dataValidation>
    <dataValidation type="decimal" allowBlank="1" showErrorMessage="1" errorTitle="Неверно указано Количество" error="минимальное количество для заказа = 160" sqref="M3962 M4035">
      <formula1>160</formula1>
      <formula2>2200</formula2>
    </dataValidation>
    <dataValidation type="decimal" allowBlank="1" showErrorMessage="1" errorTitle="Неверно указано Количество" error="минимальное количество для заказа = 5" sqref="M2261 M3290">
      <formula1>5</formula1>
      <formula2>212</formula2>
    </dataValidation>
    <dataValidation type="decimal" allowBlank="1" showErrorMessage="1" errorTitle="Неверно указано Количество" error="минимальное количество для заказа = 5" sqref="M2267">
      <formula1>5</formula1>
      <formula2>701</formula2>
    </dataValidation>
    <dataValidation type="decimal" allowBlank="1" showErrorMessage="1" errorTitle="Неверно указано Количество" error="минимальное количество для заказа = 5" sqref="M2269">
      <formula1>5</formula1>
      <formula2>989</formula2>
    </dataValidation>
    <dataValidation type="decimal" allowBlank="1" showErrorMessage="1" errorTitle="Неверно указано Количество" error="минимальное количество для заказа = 4" sqref="M2276">
      <formula1>4</formula1>
      <formula2>158</formula2>
    </dataValidation>
    <dataValidation type="decimal" allowBlank="1" showErrorMessage="1" errorTitle="Неверно указано Количество" error="минимальное количество для заказа = 4" sqref="M2279">
      <formula1>4</formula1>
      <formula2>489</formula2>
    </dataValidation>
    <dataValidation type="decimal" allowBlank="1" showErrorMessage="1" errorTitle="Неверно указано Количество" error="минимальное количество для заказа = 4" sqref="M3577">
      <formula1>4</formula1>
      <formula2>59</formula2>
    </dataValidation>
    <dataValidation type="decimal" allowBlank="1" showErrorMessage="1" errorTitle="Неверно указано Количество" error="минимальное количество для заказа = 4" sqref="M2282 M3238">
      <formula1>4</formula1>
      <formula2>13</formula2>
    </dataValidation>
    <dataValidation type="decimal" allowBlank="1" showErrorMessage="1" errorTitle="Неверно указано Количество" error="минимальное количество для заказа = 4" sqref="M2284">
      <formula1>4</formula1>
      <formula2>999</formula2>
    </dataValidation>
    <dataValidation type="decimal" allowBlank="1" showErrorMessage="1" errorTitle="Неверно указано Количество" error="минимальное количество для заказа = 10" sqref="M2859 M2883">
      <formula1>10</formula1>
      <formula2>685</formula2>
    </dataValidation>
    <dataValidation type="decimal" allowBlank="1" showErrorMessage="1" errorTitle="Неверно указано Количество" error="минимальное количество для заказа = 5" sqref="M2288">
      <formula1>5</formula1>
      <formula2>257</formula2>
    </dataValidation>
    <dataValidation type="decimal" allowBlank="1" showErrorMessage="1" errorTitle="Неверно указано Количество" error="минимальное количество для заказа = 1" sqref="M4580">
      <formula1>1</formula1>
      <formula2>673</formula2>
    </dataValidation>
    <dataValidation type="decimal" allowBlank="1" showErrorMessage="1" errorTitle="Неверно указано Количество" error="минимальное количество для заказа = 2" sqref="M2291">
      <formula1>2</formula1>
      <formula2>380</formula2>
    </dataValidation>
    <dataValidation type="decimal" allowBlank="1" showErrorMessage="1" errorTitle="Неверно указано Количество" error="минимальное количество для заказа = 2" sqref="M2292">
      <formula1>2</formula1>
      <formula2>436</formula2>
    </dataValidation>
    <dataValidation type="decimal" allowBlank="1" showErrorMessage="1" errorTitle="Неверно указано Количество" error="минимальное количество для заказа = 2" sqref="M2295">
      <formula1>2</formula1>
      <formula2>97</formula2>
    </dataValidation>
    <dataValidation type="decimal" allowBlank="1" showErrorMessage="1" errorTitle="Неверно указано Количество" error="минимальное количество для заказа = 80" sqref="M4532">
      <formula1>80</formula1>
      <formula2>17505</formula2>
    </dataValidation>
    <dataValidation type="decimal" allowBlank="1" showErrorMessage="1" errorTitle="Неверно указано Количество" error="минимальное количество для заказа = 2" sqref="M2296">
      <formula1>2</formula1>
      <formula2>291</formula2>
    </dataValidation>
    <dataValidation type="decimal" allowBlank="1" showErrorMessage="1" errorTitle="Неверно указано Количество" error="минимальное количество для заказа = 2" sqref="M2298">
      <formula1>2</formula1>
      <formula2>174</formula2>
    </dataValidation>
    <dataValidation type="decimal" allowBlank="1" showErrorMessage="1" errorTitle="Неверно указано Количество" error="минимальное количество для заказа = 240" sqref="M3688">
      <formula1>240</formula1>
      <formula2>15453</formula2>
    </dataValidation>
    <dataValidation type="decimal" allowBlank="1" showErrorMessage="1" errorTitle="Неверно указано Количество" error="минимальное количество для заказа = 3" sqref="M3074">
      <formula1>3</formula1>
      <formula2>1123</formula2>
    </dataValidation>
    <dataValidation type="decimal" allowBlank="1" showErrorMessage="1" errorTitle="Неверно указано Количество" error="минимальное количество для заказа = 2" sqref="M2299">
      <formula1>2</formula1>
      <formula2>152</formula2>
    </dataValidation>
    <dataValidation type="decimal" allowBlank="1" showErrorMessage="1" errorTitle="Неверно указано Количество" error="минимальное количество для заказа = 2" sqref="M2301">
      <formula1>2</formula1>
      <formula2>99</formula2>
    </dataValidation>
    <dataValidation type="decimal" allowBlank="1" showErrorMessage="1" errorTitle="Неверно указано Количество" error="минимальное количество для заказа = 2" sqref="M2302">
      <formula1>2</formula1>
      <formula2>187</formula2>
    </dataValidation>
    <dataValidation type="decimal" allowBlank="1" showErrorMessage="1" errorTitle="Неверно указано Количество" error="минимальное количество для заказа = 250" sqref="M3852">
      <formula1>250</formula1>
      <formula2>7020</formula2>
    </dataValidation>
    <dataValidation type="decimal" allowBlank="1" showErrorMessage="1" errorTitle="Неверно указано Количество" error="минимальное количество для заказа = 1" sqref="M2308">
      <formula1>1</formula1>
      <formula2>222</formula2>
    </dataValidation>
    <dataValidation type="decimal" allowBlank="1" showErrorMessage="1" errorTitle="Неверно указано Количество" error="минимальное количество для заказа = 8" sqref="M4525">
      <formula1>8</formula1>
      <formula2>102</formula2>
    </dataValidation>
    <dataValidation type="decimal" allowBlank="1" showErrorMessage="1" errorTitle="Неверно указано Количество" error="минимальное количество для заказа = 1" sqref="M2311 M2366">
      <formula1>1</formula1>
      <formula2>195</formula2>
    </dataValidation>
    <dataValidation type="decimal" allowBlank="1" showErrorMessage="1" errorTitle="Неверно указано Количество" error="минимальное количество для заказа = 3" sqref="M2317">
      <formula1>3</formula1>
      <formula2>274</formula2>
    </dataValidation>
    <dataValidation type="decimal" allowBlank="1" showErrorMessage="1" errorTitle="Неверно указано Количество" error="минимальное количество для заказа = 3" sqref="M2983">
      <formula1>3</formula1>
      <formula2>267</formula2>
    </dataValidation>
    <dataValidation type="decimal" allowBlank="1" showErrorMessage="1" errorTitle="Неверно указано Количество" error="минимальное количество для заказа = 3" sqref="M2319">
      <formula1>3</formula1>
      <formula2>180</formula2>
    </dataValidation>
    <dataValidation type="decimal" allowBlank="1" showErrorMessage="1" errorTitle="Неверно указано Количество" error="минимальное количество для заказа = 3" sqref="M2320">
      <formula1>3</formula1>
      <formula2>75</formula2>
    </dataValidation>
    <dataValidation type="decimal" allowBlank="1" showErrorMessage="1" errorTitle="Неверно указано Количество" error="минимальное количество для заказа = 3" sqref="M2322">
      <formula1>3</formula1>
      <formula2>395</formula2>
    </dataValidation>
    <dataValidation type="decimal" allowBlank="1" showErrorMessage="1" errorTitle="Неверно указано Количество" error="минимальное количество для заказа = 2" sqref="M2325">
      <formula1>2</formula1>
      <formula2>265</formula2>
    </dataValidation>
    <dataValidation type="decimal" allowBlank="1" showErrorMessage="1" errorTitle="Неверно указано Количество" error="минимальное количество для заказа = 80" sqref="M4474">
      <formula1>80</formula1>
      <formula2>500</formula2>
    </dataValidation>
    <dataValidation type="decimal" allowBlank="1" showErrorMessage="1" errorTitle="Неверно указано Количество" error="минимальное количество для заказа = 2" sqref="M2326">
      <formula1>2</formula1>
      <formula2>77</formula2>
    </dataValidation>
    <dataValidation type="decimal" allowBlank="1" showErrorMessage="1" errorTitle="Неверно указано Количество" error="минимальное количество для заказа = 100" sqref="M4124">
      <formula1>100</formula1>
      <formula2>6925</formula2>
    </dataValidation>
    <dataValidation type="decimal" allowBlank="1" showErrorMessage="1" errorTitle="Неверно указано Количество" error="минимальное количество для заказа = 2" sqref="M2327">
      <formula1>2</formula1>
      <formula2>33</formula2>
    </dataValidation>
    <dataValidation type="decimal" allowBlank="1" showErrorMessage="1" errorTitle="Неверно указано Количество" error="минимальное количество для заказа = 3" sqref="M2331">
      <formula1>3</formula1>
      <formula2>328</formula2>
    </dataValidation>
    <dataValidation type="decimal" allowBlank="1" showErrorMessage="1" errorTitle="Неверно указано Количество" error="минимальное количество для заказа = 3" sqref="M2332">
      <formula1>3</formula1>
      <formula2>948</formula2>
    </dataValidation>
    <dataValidation type="decimal" allowBlank="1" showErrorMessage="1" errorTitle="Неверно указано Количество" error="минимальное количество для заказа = 3" sqref="M2333">
      <formula1>3</formula1>
      <formula2>7</formula2>
    </dataValidation>
    <dataValidation type="decimal" allowBlank="1" showErrorMessage="1" errorTitle="Неверно указано Количество" error="минимальное количество для заказа = 1" sqref="M2335">
      <formula1>1</formula1>
      <formula2>367</formula2>
    </dataValidation>
    <dataValidation type="decimal" allowBlank="1" showErrorMessage="1" errorTitle="Неверно указано Количество" error="минимальное количество для заказа = 3" sqref="M2343 M3594">
      <formula1>3</formula1>
      <formula2>557</formula2>
    </dataValidation>
    <dataValidation type="decimal" allowBlank="1" showErrorMessage="1" errorTitle="Неверно указано Количество" error="минимальное количество для заказа = 3" sqref="M2344">
      <formula1>3</formula1>
      <formula2>27</formula2>
    </dataValidation>
    <dataValidation type="decimal" allowBlank="1" showErrorMessage="1" errorTitle="Неверно указано Количество" error="минимальное количество для заказа = 3" sqref="M2345">
      <formula1>3</formula1>
      <formula2>125</formula2>
    </dataValidation>
    <dataValidation type="decimal" allowBlank="1" showErrorMessage="1" errorTitle="Неверно указано Количество" error="минимальное количество для заказа = 2" sqref="M2349">
      <formula1>2</formula1>
      <formula2>23</formula2>
    </dataValidation>
    <dataValidation type="decimal" allowBlank="1" showErrorMessage="1" errorTitle="Неверно указано Количество" error="минимальное количество для заказа = 2" sqref="M2350 M2392">
      <formula1>2</formula1>
      <formula2>341</formula2>
    </dataValidation>
    <dataValidation type="decimal" allowBlank="1" showErrorMessage="1" errorTitle="Неверно указано Количество" error="минимальное количество для заказа = 1" sqref="M2354 M2356">
      <formula1>1</formula1>
      <formula2>378</formula2>
    </dataValidation>
    <dataValidation type="decimal" allowBlank="1" showErrorMessage="1" errorTitle="Неверно указано Количество" error="минимальное количество для заказа = 1" sqref="M2355">
      <formula1>1</formula1>
      <formula2>455</formula2>
    </dataValidation>
    <dataValidation type="decimal" allowBlank="1" showErrorMessage="1" errorTitle="Неверно указано Количество" error="минимальное количество для заказа = 1" sqref="M2358">
      <formula1>1</formula1>
      <formula2>369</formula2>
    </dataValidation>
    <dataValidation type="decimal" allowBlank="1" showErrorMessage="1" errorTitle="Неверно указано Количество" error="минимальное количество для заказа = 1" sqref="M2360">
      <formula1>1</formula1>
      <formula2>361</formula2>
    </dataValidation>
    <dataValidation type="decimal" allowBlank="1" showErrorMessage="1" errorTitle="Неверно указано Количество" error="минимальное количество для заказа = 1" sqref="M2362">
      <formula1>1</formula1>
      <formula2>305</formula2>
    </dataValidation>
    <dataValidation type="decimal" allowBlank="1" showErrorMessage="1" errorTitle="Неверно указано Количество" error="минимальное количество для заказа = 1" sqref="M2367">
      <formula1>1</formula1>
      <formula2>298</formula2>
    </dataValidation>
    <dataValidation type="decimal" allowBlank="1" showErrorMessage="1" errorTitle="Неверно указано Количество" error="минимальное количество для заказа = 1" sqref="M2368">
      <formula1>1</formula1>
      <formula2>411</formula2>
    </dataValidation>
    <dataValidation type="decimal" allowBlank="1" showErrorMessage="1" errorTitle="Неверно указано Количество" error="минимальное количество для заказа = 1" sqref="M2372">
      <formula1>1</formula1>
      <formula2>89</formula2>
    </dataValidation>
    <dataValidation type="decimal" allowBlank="1" showErrorMessage="1" errorTitle="Неверно указано Количество" error="минимальное количество для заказа = 1" sqref="M2373">
      <formula1>1</formula1>
      <formula2>74</formula2>
    </dataValidation>
    <dataValidation type="decimal" allowBlank="1" showErrorMessage="1" errorTitle="Неверно указано Количество" error="минимальное количество для заказа = 240" sqref="M3864">
      <formula1>240</formula1>
      <formula2>13600</formula2>
    </dataValidation>
    <dataValidation type="decimal" allowBlank="1" showErrorMessage="1" errorTitle="Неверно указано Количество" error="минимальное количество для заказа = 2" sqref="M2376">
      <formula1>2</formula1>
      <formula2>7</formula2>
    </dataValidation>
    <dataValidation type="decimal" allowBlank="1" showErrorMessage="1" errorTitle="Неверно указано Количество" error="минимальное количество для заказа = 240" sqref="M3782">
      <formula1>240</formula1>
      <formula2>6220</formula2>
    </dataValidation>
    <dataValidation type="decimal" allowBlank="1" showErrorMessage="1" errorTitle="Неверно указано Количество" error="минимальное количество для заказа = 1" sqref="M2378 M2420">
      <formula1>1</formula1>
      <formula2>491</formula2>
    </dataValidation>
    <dataValidation type="decimal" allowBlank="1" showErrorMessage="1" errorTitle="Неверно указано Количество" error="минимальное количество для заказа = 2" sqref="M2380 M3474">
      <formula1>2</formula1>
      <formula2>12</formula2>
    </dataValidation>
    <dataValidation type="decimal" allowBlank="1" showErrorMessage="1" errorTitle="Неверно указано Количество" error="минимальное количество для заказа = 2" sqref="M2381">
      <formula1>2</formula1>
      <formula2>19</formula2>
    </dataValidation>
    <dataValidation type="decimal" allowBlank="1" showErrorMessage="1" errorTitle="Неверно указано Количество" error="минимальное количество для заказа = 2" sqref="M2385 M3015">
      <formula1>2</formula1>
      <formula2>549</formula2>
    </dataValidation>
    <dataValidation type="decimal" allowBlank="1" showErrorMessage="1" errorTitle="Неверно указано Количество" error="минимальное количество для заказа = 2" sqref="M2390">
      <formula1>2</formula1>
      <formula2>494</formula2>
    </dataValidation>
    <dataValidation type="decimal" allowBlank="1" showErrorMessage="1" errorTitle="Неверно указано Количество" error="минимальное количество для заказа = 2" sqref="M2391">
      <formula1>2</formula1>
      <formula2>484</formula2>
    </dataValidation>
    <dataValidation type="decimal" allowBlank="1" showErrorMessage="1" errorTitle="Неверно указано Количество" error="минимальное количество для заказа = 1" sqref="M4594">
      <formula1>1</formula1>
      <formula2>1560</formula2>
    </dataValidation>
    <dataValidation type="decimal" allowBlank="1" showErrorMessage="1" errorTitle="Неверно указано Количество" error="минимальное количество для заказа = 2" sqref="M2393">
      <formula1>2</formula1>
      <formula2>289</formula2>
    </dataValidation>
    <dataValidation type="decimal" allowBlank="1" showErrorMessage="1" errorTitle="Неверно указано Количество" error="минимальное количество для заказа = 48" sqref="M4265">
      <formula1>48</formula1>
      <formula2>14196</formula2>
    </dataValidation>
    <dataValidation type="decimal" allowBlank="1" showErrorMessage="1" errorTitle="Неверно указано Количество" error="минимальное количество для заказа = 1" sqref="M2396">
      <formula1>1</formula1>
      <formula2>240</formula2>
    </dataValidation>
    <dataValidation type="decimal" allowBlank="1" showErrorMessage="1" errorTitle="Неверно указано Количество" error="минимальное количество для заказа = 1" sqref="M2403 M3555">
      <formula1>1</formula1>
      <formula2>497</formula2>
    </dataValidation>
    <dataValidation type="decimal" allowBlank="1" showErrorMessage="1" errorTitle="Неверно указано Количество" error="минимальное количество для заказа = 10" sqref="M2840">
      <formula1>10</formula1>
      <formula2>353</formula2>
    </dataValidation>
    <dataValidation type="decimal" allowBlank="1" showErrorMessage="1" errorTitle="Неверно указано Количество" error="минимальное количество для заказа = 1" sqref="M2407">
      <formula1>1</formula1>
      <formula2>461</formula2>
    </dataValidation>
    <dataValidation type="decimal" allowBlank="1" showErrorMessage="1" errorTitle="Неверно указано Количество" error="минимальное количество для заказа = 1" sqref="M2410">
      <formula1>1</formula1>
      <formula2>451</formula2>
    </dataValidation>
    <dataValidation type="decimal" allowBlank="1" showErrorMessage="1" errorTitle="Неверно указано Количество" error="минимальное количество для заказа = 250" sqref="M3876">
      <formula1>250</formula1>
      <formula2>9250</formula2>
    </dataValidation>
    <dataValidation type="decimal" allowBlank="1" showErrorMessage="1" errorTitle="Неверно указано Количество" error="минимальное количество для заказа = 1" sqref="M2411">
      <formula1>1</formula1>
      <formula2>485</formula2>
    </dataValidation>
    <dataValidation type="decimal" allowBlank="1" showErrorMessage="1" errorTitle="Неверно указано Количество" error="минимальное количество для заказа = 2" sqref="M3471">
      <formula1>2</formula1>
      <formula2>1287</formula2>
    </dataValidation>
    <dataValidation type="decimal" allowBlank="1" showErrorMessage="1" errorTitle="Неверно указано Количество" error="минимальное количество для заказа = 1" sqref="M2412">
      <formula1>1</formula1>
      <formula2>516</formula2>
    </dataValidation>
    <dataValidation type="decimal" allowBlank="1" showErrorMessage="1" errorTitle="Неверно указано Количество" error="минимальное количество для заказа = 250" sqref="M3737">
      <formula1>250</formula1>
      <formula2>4425</formula2>
    </dataValidation>
    <dataValidation type="decimal" allowBlank="1" showErrorMessage="1" errorTitle="Неверно указано Количество" error="минимальное количество для заказа = 1" sqref="M2413">
      <formula1>1</formula1>
      <formula2>345</formula2>
    </dataValidation>
    <dataValidation type="decimal" allowBlank="1" showErrorMessage="1" errorTitle="Неверно указано Количество" error="минимальное количество для заказа = 1" sqref="M2415">
      <formula1>1</formula1>
      <formula2>33</formula2>
    </dataValidation>
    <dataValidation type="decimal" allowBlank="1" showErrorMessage="1" errorTitle="Неверно указано Количество" error="минимальное количество для заказа = 1" sqref="M2417">
      <formula1>1</formula1>
      <formula2>280</formula2>
    </dataValidation>
    <dataValidation type="decimal" allowBlank="1" showErrorMessage="1" errorTitle="Неверно указано Количество" error="минимальное количество для заказа = 1" sqref="M2419">
      <formula1>1</formula1>
      <formula2>220</formula2>
    </dataValidation>
    <dataValidation type="decimal" allowBlank="1" showErrorMessage="1" errorTitle="Неверно указано Количество" error="минимальное количество для заказа = 1" sqref="M2423">
      <formula1>1</formula1>
      <formula2>578</formula2>
    </dataValidation>
    <dataValidation type="decimal" allowBlank="1" showErrorMessage="1" errorTitle="Неверно указано Количество" error="минимальное количество для заказа = 16" sqref="M2908">
      <formula1>16</formula1>
      <formula2>421</formula2>
    </dataValidation>
    <dataValidation type="decimal" allowBlank="1" showErrorMessage="1" errorTitle="Неверно указано Количество" error="минимальное количество для заказа = 18" sqref="M2601">
      <formula1>18</formula1>
      <formula2>2253</formula2>
    </dataValidation>
    <dataValidation type="decimal" allowBlank="1" showErrorMessage="1" errorTitle="Неверно указано Количество" error="минимальное количество для заказа = 1" sqref="M2424">
      <formula1>1</formula1>
      <formula2>612</formula2>
    </dataValidation>
    <dataValidation type="decimal" allowBlank="1" showErrorMessage="1" errorTitle="Неверно указано Количество" error="минимальное количество для заказа = 80" sqref="M4376">
      <formula1>80</formula1>
      <formula2>5430</formula2>
    </dataValidation>
    <dataValidation type="decimal" allowBlank="1" showErrorMessage="1" errorTitle="Неверно указано Количество" error="минимальное количество для заказа = 1" sqref="M2428">
      <formula1>1</formula1>
      <formula2>494</formula2>
    </dataValidation>
    <dataValidation type="decimal" allowBlank="1" showErrorMessage="1" errorTitle="Неверно указано Количество" error="минимальное количество для заказа = 1" sqref="M2434 M2440">
      <formula1>1</formula1>
      <formula2>332</formula2>
    </dataValidation>
    <dataValidation type="decimal" allowBlank="1" showErrorMessage="1" errorTitle="Неверно указано Количество" error="минимальное количество для заказа = 100" sqref="M4224">
      <formula1>100</formula1>
      <formula2>6234</formula2>
    </dataValidation>
    <dataValidation type="decimal" allowBlank="1" showErrorMessage="1" errorTitle="Неверно указано Количество" error="минимальное количество для заказа = 1" sqref="M2436 M3362">
      <formula1>1</formula1>
      <formula2>95</formula2>
    </dataValidation>
    <dataValidation type="decimal" allowBlank="1" showErrorMessage="1" errorTitle="Неверно указано Количество" error="минимальное количество для заказа = 1" sqref="M2437">
      <formula1>1</formula1>
      <formula2>148</formula2>
    </dataValidation>
    <dataValidation type="decimal" allowBlank="1" showErrorMessage="1" errorTitle="Неверно указано Количество" error="минимальное количество для заказа = 1" sqref="M2438">
      <formula1>1</formula1>
      <formula2>24</formula2>
    </dataValidation>
    <dataValidation type="decimal" allowBlank="1" showErrorMessage="1" errorTitle="Неверно указано Количество" error="минимальное количество для заказа = 10" sqref="M2446">
      <formula1>10</formula1>
      <formula2>103</formula2>
    </dataValidation>
    <dataValidation type="decimal" allowBlank="1" showErrorMessage="1" errorTitle="Неверно указано Количество" error="минимальное количество для заказа = 6" sqref="M2517 M2534">
      <formula1>6</formula1>
      <formula2>18</formula2>
    </dataValidation>
    <dataValidation type="decimal" allowBlank="1" showErrorMessage="1" errorTitle="Неверно указано Количество" error="минимальное количество для заказа = 12" sqref="M2449">
      <formula1>12</formula1>
      <formula2>133</formula2>
    </dataValidation>
    <dataValidation type="decimal" allowBlank="1" showErrorMessage="1" errorTitle="Неверно указано Количество" error="минимальное количество для заказа = 12" sqref="M2450">
      <formula1>12</formula1>
      <formula2>255</formula2>
    </dataValidation>
    <dataValidation type="decimal" allowBlank="1" showErrorMessage="1" errorTitle="Неверно указано Количество" error="минимальное количество для заказа = 12" sqref="M2451 M2454">
      <formula1>12</formula1>
      <formula2>1831</formula2>
    </dataValidation>
    <dataValidation type="decimal" allowBlank="1" showErrorMessage="1" errorTitle="Неверно указано Количество" error="минимальное количество для заказа = 12" sqref="M2453">
      <formula1>12</formula1>
      <formula2>304</formula2>
    </dataValidation>
    <dataValidation type="decimal" allowBlank="1" showErrorMessage="1" errorTitle="Неверно указано Количество" error="минимальное количество для заказа = 150" sqref="M4026">
      <formula1>150</formula1>
      <formula2>5691</formula2>
    </dataValidation>
    <dataValidation type="decimal" allowBlank="1" showErrorMessage="1" errorTitle="Неверно указано Количество" error="минимальное количество для заказа = 12" sqref="M2455">
      <formula1>12</formula1>
      <formula2>641</formula2>
    </dataValidation>
    <dataValidation type="decimal" allowBlank="1" showErrorMessage="1" errorTitle="Неверно указано Количество" error="минимальное количество для заказа = 12" sqref="M2458">
      <formula1>12</formula1>
      <formula2>1112</formula2>
    </dataValidation>
    <dataValidation type="decimal" allowBlank="1" showErrorMessage="1" errorTitle="Неверно указано Количество" error="минимальное количество для заказа = 12" sqref="M2460">
      <formula1>12</formula1>
      <formula2>172</formula2>
    </dataValidation>
    <dataValidation type="decimal" allowBlank="1" showErrorMessage="1" errorTitle="Неверно указано Количество" error="минимальное количество для заказа = 6" sqref="M2554">
      <formula1>6</formula1>
      <formula2>12</formula2>
    </dataValidation>
    <dataValidation type="decimal" allowBlank="1" showErrorMessage="1" errorTitle="Неверно указано Количество" error="минимальное количество для заказа = 12" sqref="M2461">
      <formula1>12</formula1>
      <formula2>1396</formula2>
    </dataValidation>
    <dataValidation type="decimal" allowBlank="1" showErrorMessage="1" errorTitle="Неверно указано Количество" error="минимальное количество для заказа = 140" sqref="M3950">
      <formula1>140</formula1>
      <formula2>2160</formula2>
    </dataValidation>
    <dataValidation type="decimal" allowBlank="1" showErrorMessage="1" errorTitle="Неверно указано Количество" error="минимальное количество для заказа = 10" sqref="M2463">
      <formula1>10</formula1>
      <formula2>224</formula2>
    </dataValidation>
    <dataValidation type="decimal" allowBlank="1" showErrorMessage="1" errorTitle="Неверно указано Количество" error="минимальное количество для заказа = 12" sqref="M2465">
      <formula1>12</formula1>
      <formula2>594</formula2>
    </dataValidation>
    <dataValidation type="decimal" allowBlank="1" showErrorMessage="1" errorTitle="Неверно указано Количество" error="минимальное количество для заказа = 12" sqref="M2469">
      <formula1>12</formula1>
      <formula2>1756</formula2>
    </dataValidation>
    <dataValidation type="decimal" allowBlank="1" showErrorMessage="1" errorTitle="Неверно указано Количество" error="минимальное количество для заказа = 160" sqref="M3956">
      <formula1>160</formula1>
      <formula2>9600</formula2>
    </dataValidation>
    <dataValidation type="decimal" allowBlank="1" showErrorMessage="1" errorTitle="Неверно указано Количество" error="минимальное количество для заказа = 64" sqref="M3401">
      <formula1>64</formula1>
      <formula2>128</formula2>
    </dataValidation>
    <dataValidation type="decimal" allowBlank="1" showErrorMessage="1" errorTitle="Неверно указано Количество" error="минимальное количество для заказа = 4" sqref="M3143">
      <formula1>4</formula1>
      <formula2>204</formula2>
    </dataValidation>
    <dataValidation type="decimal" allowBlank="1" showErrorMessage="1" errorTitle="Неверно указано Количество" error="минимальное количество для заказа = 12" sqref="M2470">
      <formula1>12</formula1>
      <formula2>791</formula2>
    </dataValidation>
    <dataValidation type="decimal" allowBlank="1" showErrorMessage="1" errorTitle="Неверно указано Количество" error="минимальное количество для заказа = 12" sqref="M2471">
      <formula1>12</formula1>
      <formula2>577</formula2>
    </dataValidation>
    <dataValidation type="decimal" allowBlank="1" showErrorMessage="1" errorTitle="Неверно указано Количество" error="минимальное количество для заказа = 12" sqref="M2473">
      <formula1>12</formula1>
      <formula2>587</formula2>
    </dataValidation>
    <dataValidation type="decimal" allowBlank="1" showErrorMessage="1" errorTitle="Неверно указано Количество" error="минимальное количество для заказа = 12" sqref="M2474">
      <formula1>12</formula1>
      <formula2>420</formula2>
    </dataValidation>
    <dataValidation type="decimal" allowBlank="1" showErrorMessage="1" errorTitle="Неверно указано Количество" error="минимальное количество для заказа = 40" sqref="M2480">
      <formula1>40</formula1>
      <formula2>223</formula2>
    </dataValidation>
    <dataValidation type="decimal" allowBlank="1" showErrorMessage="1" errorTitle="Неверно указано Количество" error="минимальное количество для заказа = 24" sqref="M2482">
      <formula1>24</formula1>
      <formula2>38</formula2>
    </dataValidation>
    <dataValidation type="decimal" allowBlank="1" showErrorMessage="1" errorTitle="Неверно указано Количество" error="минимальное количество для заказа = 7" sqref="M2487 M2491:M2492 M2495 M2550 M2892">
      <formula1>7</formula1>
      <formula2>24</formula2>
    </dataValidation>
    <dataValidation type="decimal" allowBlank="1" showErrorMessage="1" errorTitle="Неверно указано Количество" error="минимальное количество для заказа = 140" sqref="M3912">
      <formula1>140</formula1>
      <formula2>20000</formula2>
    </dataValidation>
    <dataValidation type="decimal" allowBlank="1" showErrorMessage="1" errorTitle="Неверно указано Количество" error="минимальное количество для заказа = 3" sqref="M2607">
      <formula1>3</formula1>
      <formula2>1053</formula2>
    </dataValidation>
    <dataValidation type="decimal" allowBlank="1" showErrorMessage="1" errorTitle="Неверно указано Количество" error="минимальное количество для заказа = 7" sqref="M2490 M2494">
      <formula1>7</formula1>
      <formula2>10</formula2>
    </dataValidation>
    <dataValidation type="decimal" allowBlank="1" showErrorMessage="1" errorTitle="Неверно указано Количество" error="минимальное количество для заказа = 7" sqref="M2499">
      <formula1>7</formula1>
      <formula2>243</formula2>
    </dataValidation>
    <dataValidation type="decimal" allowBlank="1" showErrorMessage="1" errorTitle="Неверно указано Количество" error="минимальное количество для заказа = 3" sqref="M3350">
      <formula1>3</formula1>
      <formula2>421</formula2>
    </dataValidation>
    <dataValidation type="decimal" allowBlank="1" showErrorMessage="1" errorTitle="Неверно указано Количество" error="минимальное количество для заказа = 7" sqref="M2502">
      <formula1>7</formula1>
      <formula2>1004</formula2>
    </dataValidation>
    <dataValidation type="decimal" allowBlank="1" showErrorMessage="1" errorTitle="Неверно указано Количество" error="минимальное количество для заказа = 1" sqref="M3281">
      <formula1>1</formula1>
      <formula2>41</formula2>
    </dataValidation>
    <dataValidation type="decimal" allowBlank="1" showErrorMessage="1" errorTitle="Неверно указано Количество" error="минимальное количество для заказа = 7" sqref="M2503">
      <formula1>7</formula1>
      <formula2>941</formula2>
    </dataValidation>
    <dataValidation type="decimal" allowBlank="1" showErrorMessage="1" errorTitle="Неверно указано Количество" error="минимальное количество для заказа = 7" sqref="M2504">
      <formula1>7</formula1>
      <formula2>175</formula2>
    </dataValidation>
    <dataValidation type="decimal" allowBlank="1" showErrorMessage="1" errorTitle="Неверно указано Количество" error="минимальное количество для заказа = 240" sqref="M3783">
      <formula1>240</formula1>
      <formula2>3118</formula2>
    </dataValidation>
    <dataValidation type="decimal" allowBlank="1" showErrorMessage="1" errorTitle="Неверно указано Количество" error="минимальное количество для заказа = 6" sqref="M2507">
      <formula1>6</formula1>
      <formula2>181</formula2>
    </dataValidation>
    <dataValidation type="decimal" allowBlank="1" showErrorMessage="1" errorTitle="Неверно указано Количество" error="минимальное количество для заказа = 6" sqref="M2509">
      <formula1>6</formula1>
      <formula2>58</formula2>
    </dataValidation>
    <dataValidation type="decimal" allowBlank="1" showErrorMessage="1" errorTitle="Неверно указано Количество" error="минимальное количество для заказа = 250" sqref="M3934">
      <formula1>250</formula1>
      <formula2>1957</formula2>
    </dataValidation>
    <dataValidation type="decimal" allowBlank="1" showErrorMessage="1" errorTitle="Неверно указано Количество" error="минимальное количество для заказа = 6" sqref="M2520">
      <formula1>6</formula1>
      <formula2>1770</formula2>
    </dataValidation>
    <dataValidation type="decimal" allowBlank="1" showErrorMessage="1" errorTitle="Неверно указано Количество" error="минимальное количество для заказа = 160" sqref="M3987">
      <formula1>160</formula1>
      <formula2>13380</formula2>
    </dataValidation>
    <dataValidation type="decimal" allowBlank="1" showErrorMessage="1" errorTitle="Неверно указано Количество" error="минимальное количество для заказа = 6" sqref="M2734">
      <formula1>6</formula1>
      <formula2>130</formula2>
    </dataValidation>
    <dataValidation type="decimal" allowBlank="1" showErrorMessage="1" errorTitle="Неверно указано Количество" error="минимальное количество для заказа = 6" sqref="M2522">
      <formula1>6</formula1>
      <formula2>105</formula2>
    </dataValidation>
    <dataValidation type="decimal" allowBlank="1" showErrorMessage="1" errorTitle="Неверно указано Количество" error="минимальное количество для заказа = 30" sqref="M3659">
      <formula1>30</formula1>
      <formula2>209</formula2>
    </dataValidation>
    <dataValidation type="decimal" allowBlank="1" showErrorMessage="1" errorTitle="Неверно указано Количество" error="минимальное количество для заказа = 6" sqref="M2523">
      <formula1>6</formula1>
      <formula2>27</formula2>
    </dataValidation>
    <dataValidation type="decimal" allowBlank="1" showErrorMessage="1" errorTitle="Неверно указано Количество" error="минимальное количество для заказа = 5" sqref="M2531">
      <formula1>5</formula1>
      <formula2>109</formula2>
    </dataValidation>
    <dataValidation type="decimal" allowBlank="1" showErrorMessage="1" errorTitle="Неверно указано Количество" error="минимальное количество для заказа = 5" sqref="M2532">
      <formula1>5</formula1>
      <formula2>229</formula2>
    </dataValidation>
    <dataValidation type="decimal" allowBlank="1" showErrorMessage="1" errorTitle="Неверно указано Количество" error="минимальное количество для заказа = 6" sqref="M2536">
      <formula1>6</formula1>
      <formula2>217</formula2>
    </dataValidation>
    <dataValidation type="decimal" allowBlank="1" showErrorMessage="1" errorTitle="Неверно указано Количество" error="минимальное количество для заказа = 24" sqref="M2538">
      <formula1>24</formula1>
      <formula2>265</formula2>
    </dataValidation>
    <dataValidation type="decimal" allowBlank="1" showErrorMessage="1" errorTitle="Неверно указано Количество" error="минимальное количество для заказа = 24" sqref="M2539">
      <formula1>24</formula1>
      <formula2>227</formula2>
    </dataValidation>
    <dataValidation type="decimal" allowBlank="1" showErrorMessage="1" errorTitle="Неверно указано Количество" error="минимальное количество для заказа = 24" sqref="M2540">
      <formula1>24</formula1>
      <formula2>380</formula2>
    </dataValidation>
    <dataValidation type="decimal" allowBlank="1" showErrorMessage="1" errorTitle="Неверно указано Количество" error="минимальное количество для заказа = 6" sqref="M2544">
      <formula1>6</formula1>
      <formula2>510</formula2>
    </dataValidation>
    <dataValidation type="decimal" allowBlank="1" showErrorMessage="1" errorTitle="Неверно указано Количество" error="минимальное количество для заказа = 7" sqref="M2551">
      <formula1>7</formula1>
      <formula2>1246</formula2>
    </dataValidation>
    <dataValidation type="decimal" allowBlank="1" showErrorMessage="1" errorTitle="Неверно указано Количество" error="минимальное количество для заказа = 6" sqref="M2556">
      <formula1>6</formula1>
      <formula2>198</formula2>
    </dataValidation>
    <dataValidation type="decimal" allowBlank="1" showErrorMessage="1" errorTitle="Неверно указано Количество" error="минимальное количество для заказа = 16" sqref="M2907">
      <formula1>16</formula1>
      <formula2>693</formula2>
    </dataValidation>
    <dataValidation type="decimal" allowBlank="1" showErrorMessage="1" errorTitle="Неверно указано Количество" error="минимальное количество для заказа = 6" sqref="M2559">
      <formula1>6</formula1>
      <formula2>213</formula2>
    </dataValidation>
    <dataValidation type="decimal" allowBlank="1" showErrorMessage="1" errorTitle="Неверно указано Количество" error="минимальное количество для заказа = 12" sqref="M2818">
      <formula1>12</formula1>
      <formula2>278</formula2>
    </dataValidation>
    <dataValidation type="decimal" allowBlank="1" showErrorMessage="1" errorTitle="Неверно указано Количество" error="минимальное количество для заказа = 6" sqref="M2562">
      <formula1>6</formula1>
      <formula2>988</formula2>
    </dataValidation>
    <dataValidation type="decimal" allowBlank="1" showErrorMessage="1" errorTitle="Неверно указано Количество" error="минимальное количество для заказа = 6" sqref="M2564">
      <formula1>6</formula1>
      <formula2>731</formula2>
    </dataValidation>
    <dataValidation type="decimal" allowBlank="1" showErrorMessage="1" errorTitle="Неверно указано Количество" error="минимальное количество для заказа = 2" sqref="M2568">
      <formula1>2</formula1>
      <formula2>54</formula2>
    </dataValidation>
    <dataValidation type="decimal" allowBlank="1" showErrorMessage="1" errorTitle="Неверно указано Количество" error="минимальное количество для заказа = 2" sqref="M2571">
      <formula1>2</formula1>
      <formula2>834</formula2>
    </dataValidation>
    <dataValidation type="decimal" allowBlank="1" showErrorMessage="1" errorTitle="Неверно указано Количество" error="минимальное количество для заказа = 2" sqref="M2574">
      <formula1>2</formula1>
      <formula2>55</formula2>
    </dataValidation>
    <dataValidation type="decimal" allowBlank="1" showErrorMessage="1" errorTitle="Неверно указано Количество" error="минимальное количество для заказа = 1" sqref="M2576">
      <formula1>1</formula1>
      <formula2>233</formula2>
    </dataValidation>
    <dataValidation type="decimal" allowBlank="1" showErrorMessage="1" errorTitle="Неверно указано Количество" error="минимальное количество для заказа = 1" sqref="M2577">
      <formula1>1</formula1>
      <formula2>561</formula2>
    </dataValidation>
    <dataValidation type="decimal" allowBlank="1" showErrorMessage="1" errorTitle="Неверно указано Количество" error="минимальное количество для заказа = 2" sqref="M2580">
      <formula1>2</formula1>
      <formula2>446</formula2>
    </dataValidation>
    <dataValidation type="decimal" allowBlank="1" showErrorMessage="1" errorTitle="Неверно указано Количество" error="минимальное количество для заказа = 3" sqref="M2585">
      <formula1>3</formula1>
      <formula2>76</formula2>
    </dataValidation>
    <dataValidation type="decimal" allowBlank="1" showErrorMessage="1" errorTitle="Неверно указано Количество" error="минимальное количество для заказа = 80" sqref="M4432">
      <formula1>80</formula1>
      <formula2>3530</formula2>
    </dataValidation>
    <dataValidation type="decimal" allowBlank="1" showErrorMessage="1" errorTitle="Неверно указано Количество" error="минимальное количество для заказа = 3" sqref="M2589">
      <formula1>3</formula1>
      <formula2>212</formula2>
    </dataValidation>
    <dataValidation type="decimal" allowBlank="1" showErrorMessage="1" errorTitle="Неверно указано Количество" error="минимальное количество для заказа = 30" sqref="M3637">
      <formula1>30</formula1>
      <formula2>445</formula2>
    </dataValidation>
    <dataValidation type="decimal" allowBlank="1" showErrorMessage="1" errorTitle="Неверно указано Количество" error="минимальное количество для заказа = 40" sqref="M2594">
      <formula1>40</formula1>
      <formula2>292</formula2>
    </dataValidation>
    <dataValidation type="decimal" allowBlank="1" showErrorMessage="1" errorTitle="Неверно указано Количество" error="минимальное количество для заказа = 20" sqref="M2599">
      <formula1>20</formula1>
      <formula2>3066</formula2>
    </dataValidation>
    <dataValidation type="decimal" allowBlank="1" showErrorMessage="1" errorTitle="Неверно указано Количество" error="минимальное количество для заказа = 16" sqref="M2605">
      <formula1>16</formula1>
      <formula2>420</formula2>
    </dataValidation>
    <dataValidation type="decimal" allowBlank="1" showErrorMessage="1" errorTitle="Неверно указано Количество" error="минимальное количество для заказа = 3" sqref="M2608">
      <formula1>3</formula1>
      <formula2>1375</formula2>
    </dataValidation>
    <dataValidation type="decimal" allowBlank="1" showErrorMessage="1" errorTitle="Неверно указано Количество" error="минимальное количество для заказа = 3" sqref="M2609">
      <formula1>3</formula1>
      <formula2>13</formula2>
    </dataValidation>
    <dataValidation type="decimal" allowBlank="1" showErrorMessage="1" errorTitle="Неверно указано Количество" error="минимальное количество для заказа = 3" sqref="M2610">
      <formula1>3</formula1>
      <formula2>1262</formula2>
    </dataValidation>
    <dataValidation type="decimal" allowBlank="1" showErrorMessage="1" errorTitle="Неверно указано Количество" error="минимальное количество для заказа = 12" sqref="M2612">
      <formula1>12</formula1>
      <formula2>4086</formula2>
    </dataValidation>
    <dataValidation type="decimal" allowBlank="1" showErrorMessage="1" errorTitle="Неверно указано Количество" error="минимальное количество для заказа = 12" sqref="M2613">
      <formula1>12</formula1>
      <formula2>2735</formula2>
    </dataValidation>
    <dataValidation type="decimal" allowBlank="1" showErrorMessage="1" errorTitle="Неверно указано Количество" error="минимальное количество для заказа = 12" sqref="M2614">
      <formula1>12</formula1>
      <formula2>2431</formula2>
    </dataValidation>
    <dataValidation type="decimal" allowBlank="1" showErrorMessage="1" errorTitle="Неверно указано Количество" error="минимальное количество для заказа = 400" sqref="M4566">
      <formula1>400</formula1>
      <formula2>165138</formula2>
    </dataValidation>
    <dataValidation type="decimal" allowBlank="1" showErrorMessage="1" errorTitle="Неверно указано Количество" error="минимальное количество для заказа = 12" sqref="M2615">
      <formula1>12</formula1>
      <formula2>1308</formula2>
    </dataValidation>
    <dataValidation type="decimal" allowBlank="1" showErrorMessage="1" errorTitle="Неверно указано Количество" error="минимальное количество для заказа = 240" sqref="M3902">
      <formula1>240</formula1>
      <formula2>5050</formula2>
    </dataValidation>
    <dataValidation type="decimal" allowBlank="1" showErrorMessage="1" errorTitle="Неверно указано Количество" error="минимальное количество для заказа = 12" sqref="M2617">
      <formula1>12</formula1>
      <formula2>108</formula2>
    </dataValidation>
    <dataValidation type="decimal" allowBlank="1" showErrorMessage="1" errorTitle="Неверно указано Количество" error="минимальное количество для заказа = 20" sqref="M2621">
      <formula1>20</formula1>
      <formula2>4480</formula2>
    </dataValidation>
    <dataValidation type="decimal" allowBlank="1" showErrorMessage="1" errorTitle="Неверно указано Количество" error="минимальное количество для заказа = 20" sqref="M2622">
      <formula1>20</formula1>
      <formula2>3269</formula2>
    </dataValidation>
    <dataValidation type="decimal" allowBlank="1" showErrorMessage="1" errorTitle="Неверно указано Количество" error="минимальное количество для заказа = 20" sqref="M2623">
      <formula1>20</formula1>
      <formula2>2940</formula2>
    </dataValidation>
    <dataValidation type="decimal" allowBlank="1" showErrorMessage="1" errorTitle="Неверно указано Количество" error="минимальное количество для заказа = 16" sqref="M2625">
      <formula1>16</formula1>
      <formula2>368</formula2>
    </dataValidation>
    <dataValidation type="decimal" allowBlank="1" showErrorMessage="1" errorTitle="Неверно указано Количество" error="минимальное количество для заказа = 10" sqref="M3007">
      <formula1>10</formula1>
      <formula2>624</formula2>
    </dataValidation>
    <dataValidation type="decimal" allowBlank="1" showErrorMessage="1" errorTitle="Неверно указано Количество" error="минимальное количество для заказа = 16" sqref="M2626">
      <formula1>16</formula1>
      <formula2>250</formula2>
    </dataValidation>
    <dataValidation type="decimal" allowBlank="1" showErrorMessage="1" errorTitle="Неверно указано Количество" error="минимальное количество для заказа = 16" sqref="M2628">
      <formula1>16</formula1>
      <formula2>4970</formula2>
    </dataValidation>
    <dataValidation type="decimal" operator="equal" allowBlank="1" showErrorMessage="1" errorTitle="Не нужно менять минимальное количество для заказа:" error="минимальное количество для заказа = 64" sqref="K2633:K2634 K2636:K2642 K2644:K2655 K2658:K2659 K3374:K3377 K3379:K3381 K3399:K3402">
      <formula1>64</formula1>
    </dataValidation>
    <dataValidation type="decimal" allowBlank="1" showErrorMessage="1" errorTitle="Неверно указано Количество" error="минимальное количество для заказа = 64" sqref="M2633">
      <formula1>64</formula1>
      <formula2>863</formula2>
    </dataValidation>
    <dataValidation type="decimal" allowBlank="1" showErrorMessage="1" errorTitle="Неверно указано Количество" error="минимальное количество для заказа = 64" sqref="M2634">
      <formula1>64</formula1>
      <formula2>1024</formula2>
    </dataValidation>
    <dataValidation type="decimal" operator="equal" allowBlank="1" showErrorMessage="1" errorTitle="Не нужно менять минимальное количество для заказа:" error="минимальное количество для заказа = 17" sqref="K2635">
      <formula1>17</formula1>
    </dataValidation>
    <dataValidation type="decimal" allowBlank="1" showErrorMessage="1" errorTitle="Неверно указано Количество" error="минимальное количество для заказа = 17" sqref="M2635">
      <formula1>17</formula1>
      <formula2>17</formula2>
    </dataValidation>
    <dataValidation type="decimal" allowBlank="1" showErrorMessage="1" errorTitle="Неверно указано Количество" error="минимальное количество для заказа = 64" sqref="M2636">
      <formula1>64</formula1>
      <formula2>256</formula2>
    </dataValidation>
    <dataValidation type="decimal" allowBlank="1" showErrorMessage="1" errorTitle="Неверно указано Количество" error="минимальное количество для заказа = 64" sqref="M2637:M2638">
      <formula1>64</formula1>
      <formula2>3792</formula2>
    </dataValidation>
    <dataValidation type="decimal" operator="greaterThanOrEqual" allowBlank="1" showErrorMessage="1" errorTitle="Нельзя заказать меньше чем :" error="минимальное количество для заказа = 64" sqref="M2639 M2641:M2642 M2646:M2647 M2652:M2654 M2658:M2659">
      <formula1>64</formula1>
    </dataValidation>
    <dataValidation type="decimal" allowBlank="1" showErrorMessage="1" errorTitle="Неверно указано Количество" error="минимальное количество для заказа = 64" sqref="M2644">
      <formula1>64</formula1>
      <formula2>1331</formula2>
    </dataValidation>
    <dataValidation type="decimal" allowBlank="1" showErrorMessage="1" errorTitle="Неверно указано Количество" error="минимальное количество для заказа = 64" sqref="M2645">
      <formula1>64</formula1>
      <formula2>112</formula2>
    </dataValidation>
    <dataValidation type="decimal" allowBlank="1" showErrorMessage="1" errorTitle="Неверно указано Количество" error="минимальное количество для заказа = 64" sqref="M2649">
      <formula1>64</formula1>
      <formula2>400</formula2>
    </dataValidation>
    <dataValidation type="decimal" allowBlank="1" showErrorMessage="1" errorTitle="Неверно указано Количество" error="минимальное количество для заказа = 240" sqref="M3802">
      <formula1>240</formula1>
      <formula2>8380</formula2>
    </dataValidation>
    <dataValidation type="decimal" allowBlank="1" showErrorMessage="1" errorTitle="Неверно указано Количество" error="минимальное количество для заказа = 64" sqref="M2651">
      <formula1>64</formula1>
      <formula2>1711</formula2>
    </dataValidation>
    <dataValidation type="decimal" allowBlank="1" showErrorMessage="1" errorTitle="Неверно указано Количество" error="минимальное количество для заказа = 60" sqref="M2656 M4563">
      <formula1>60</formula1>
      <formula2>60</formula2>
    </dataValidation>
    <dataValidation type="decimal" allowBlank="1" showErrorMessage="1" errorTitle="Неверно указано Количество" error="минимальное количество для заказа = 16" sqref="M2657">
      <formula1>16</formula1>
      <formula2>16</formula2>
    </dataValidation>
    <dataValidation type="decimal" allowBlank="1" showErrorMessage="1" errorTitle="Неверно указано Количество" error="минимальное количество для заказа = 15" sqref="M2665">
      <formula1>15</formula1>
      <formula2>209</formula2>
    </dataValidation>
    <dataValidation type="decimal" allowBlank="1" showErrorMessage="1" errorTitle="Неверно указано Количество" error="минимальное количество для заказа = 20" sqref="M2670">
      <formula1>20</formula1>
      <formula2>970</formula2>
    </dataValidation>
    <dataValidation type="decimal" allowBlank="1" showErrorMessage="1" errorTitle="Неверно указано Количество" error="минимальное количество для заказа = 20" sqref="M2672">
      <formula1>20</formula1>
      <formula2>1740</formula2>
    </dataValidation>
    <dataValidation type="decimal" allowBlank="1" showErrorMessage="1" errorTitle="Неверно указано Количество" error="минимальное количество для заказа = 40" sqref="M2684">
      <formula1>40</formula1>
      <formula2>497</formula2>
    </dataValidation>
    <dataValidation type="decimal" allowBlank="1" showErrorMessage="1" errorTitle="Неверно указано Количество" error="минимальное количество для заказа = 80" sqref="M4469 M4489">
      <formula1>80</formula1>
      <formula2>990</formula2>
    </dataValidation>
    <dataValidation type="decimal" allowBlank="1" showErrorMessage="1" errorTitle="Неверно указано Количество" error="минимальное количество для заказа = 250" sqref="M3752">
      <formula1>250</formula1>
      <formula2>7254</formula2>
    </dataValidation>
    <dataValidation type="decimal" allowBlank="1" showErrorMessage="1" errorTitle="Неверно указано Количество" error="минимальное количество для заказа = 3" sqref="M2702">
      <formula1>3</formula1>
      <formula2>36</formula2>
    </dataValidation>
    <dataValidation type="decimal" allowBlank="1" showErrorMessage="1" errorTitle="Неверно указано Количество" error="минимальное количество для заказа = 10" sqref="M2886">
      <formula1>10</formula1>
      <formula2>325</formula2>
    </dataValidation>
    <dataValidation type="decimal" allowBlank="1" showErrorMessage="1" errorTitle="Неверно указано Количество" error="минимальное количество для заказа = 3" sqref="M2713 M3101">
      <formula1>3</formula1>
      <formula2>9</formula2>
    </dataValidation>
    <dataValidation type="decimal" allowBlank="1" showErrorMessage="1" errorTitle="Неверно указано Количество" error="минимальное количество для заказа = 7" sqref="M2723">
      <formula1>7</formula1>
      <formula2>98</formula2>
    </dataValidation>
    <dataValidation type="decimal" allowBlank="1" showErrorMessage="1" errorTitle="Неверно указано Количество" error="минимальное количество для заказа = 7" sqref="M2725">
      <formula1>7</formula1>
      <formula2>952</formula2>
    </dataValidation>
    <dataValidation type="decimal" allowBlank="1" showErrorMessage="1" errorTitle="Неверно указано Количество" error="минимальное количество для заказа = 7" sqref="M2726">
      <formula1>7</formula1>
      <formula2>366</formula2>
    </dataValidation>
    <dataValidation type="decimal" allowBlank="1" showErrorMessage="1" errorTitle="Неверно указано Количество" error="минимальное количество для заказа = 6" sqref="M2731">
      <formula1>6</formula1>
      <formula2>223</formula2>
    </dataValidation>
    <dataValidation type="decimal" allowBlank="1" showErrorMessage="1" errorTitle="Неверно указано Количество" error="минимальное количество для заказа = 6" sqref="M2732">
      <formula1>6</formula1>
      <formula2>102</formula2>
    </dataValidation>
    <dataValidation type="decimal" allowBlank="1" showErrorMessage="1" errorTitle="Неверно указано Количество" error="минимальное количество для заказа = 3" sqref="M3243">
      <formula1>3</formula1>
      <formula2>73</formula2>
    </dataValidation>
    <dataValidation type="decimal" allowBlank="1" showErrorMessage="1" errorTitle="Неверно указано Количество" error="минимальное количество для заказа = 6" sqref="M2733">
      <formula1>6</formula1>
      <formula2>21</formula2>
    </dataValidation>
    <dataValidation type="decimal" allowBlank="1" showErrorMessage="1" errorTitle="Неверно указано Количество" error="минимальное количество для заказа = 48" sqref="M4319">
      <formula1>48</formula1>
      <formula2>247</formula2>
    </dataValidation>
    <dataValidation type="decimal" allowBlank="1" showErrorMessage="1" errorTitle="Неверно указано Количество" error="минимальное количество для заказа = 6" sqref="M2735">
      <formula1>6</formula1>
      <formula2>986</formula2>
    </dataValidation>
    <dataValidation type="decimal" allowBlank="1" showErrorMessage="1" errorTitle="Неверно указано Количество" error="минимальное количество для заказа = 6" sqref="M2736">
      <formula1>6</formula1>
      <formula2>452</formula2>
    </dataValidation>
    <dataValidation type="decimal" allowBlank="1" showErrorMessage="1" errorTitle="Неверно указано Количество" error="минимальное количество для заказа = 6" sqref="M2738">
      <formula1>6</formula1>
      <formula2>135</formula2>
    </dataValidation>
    <dataValidation type="decimal" allowBlank="1" showErrorMessage="1" errorTitle="Неверно указано Количество" error="минимальное количество для заказа = 48" sqref="M4293">
      <formula1>48</formula1>
      <formula2>629</formula2>
    </dataValidation>
    <dataValidation type="decimal" allowBlank="1" showErrorMessage="1" errorTitle="Неверно указано Количество" error="минимальное количество для заказа = 6" sqref="M2740">
      <formula1>6</formula1>
      <formula2>20</formula2>
    </dataValidation>
    <dataValidation type="decimal" allowBlank="1" showErrorMessage="1" errorTitle="Неверно указано Количество" error="минимальное количество для заказа = 6" sqref="M2741">
      <formula1>6</formula1>
      <formula2>9</formula2>
    </dataValidation>
    <dataValidation type="decimal" allowBlank="1" showErrorMessage="1" errorTitle="Неверно указано Количество" error="минимальное количество для заказа = 10" sqref="M2749">
      <formula1>10</formula1>
      <formula2>878</formula2>
    </dataValidation>
    <dataValidation type="decimal" allowBlank="1" showErrorMessage="1" errorTitle="Неверно указано Количество" error="минимальное количество для заказа = 10" sqref="M2750">
      <formula1>10</formula1>
      <formula2>320</formula2>
    </dataValidation>
    <dataValidation type="decimal" allowBlank="1" showErrorMessage="1" errorTitle="Неверно указано Количество" error="минимальное количество для заказа = 10" sqref="M2753">
      <formula1>10</formula1>
      <formula2>422</formula2>
    </dataValidation>
    <dataValidation type="decimal" allowBlank="1" showErrorMessage="1" errorTitle="Неверно указано Количество" error="минимальное количество для заказа = 100" sqref="M4149">
      <formula1>100</formula1>
      <formula2>3330</formula2>
    </dataValidation>
    <dataValidation type="decimal" allowBlank="1" showErrorMessage="1" errorTitle="Неверно указано Количество" error="минимальное количество для заказа = 120" sqref="M4091">
      <formula1>120</formula1>
      <formula2>10244</formula2>
    </dataValidation>
    <dataValidation type="decimal" allowBlank="1" showErrorMessage="1" errorTitle="Неверно указано Количество" error="минимальное количество для заказа = 10" sqref="M2754">
      <formula1>10</formula1>
      <formula2>188</formula2>
    </dataValidation>
    <dataValidation type="decimal" allowBlank="1" showErrorMessage="1" errorTitle="Неверно указано Количество" error="минимальное количество для заказа = 100" sqref="M4192">
      <formula1>100</formula1>
      <formula2>5980</formula2>
    </dataValidation>
    <dataValidation type="decimal" allowBlank="1" showErrorMessage="1" errorTitle="Неверно указано Количество" error="минимальное количество для заказа = 2" sqref="M3081">
      <formula1>2</formula1>
      <formula2>444</formula2>
    </dataValidation>
    <dataValidation type="decimal" allowBlank="1" showErrorMessage="1" errorTitle="Неверно указано Количество" error="минимальное количество для заказа = 10" sqref="M2755">
      <formula1>10</formula1>
      <formula2>847</formula2>
    </dataValidation>
    <dataValidation type="decimal" allowBlank="1" showErrorMessage="1" errorTitle="Неверно указано Количество" error="минимальное количество для заказа = 80" sqref="M4356">
      <formula1>80</formula1>
      <formula2>1280</formula2>
    </dataValidation>
    <dataValidation type="decimal" allowBlank="1" showErrorMessage="1" errorTitle="Неверно указано Количество" error="минимальное количество для заказа = 10" sqref="M2757">
      <formula1>10</formula1>
      <formula2>507</formula2>
    </dataValidation>
    <dataValidation type="decimal" allowBlank="1" showErrorMessage="1" errorTitle="Неверно указано Количество" error="минимальное количество для заказа = 12" sqref="M2827">
      <formula1>12</formula1>
      <formula2>23</formula2>
    </dataValidation>
    <dataValidation type="decimal" allowBlank="1" showErrorMessage="1" errorTitle="Неверно указано Количество" error="минимальное количество для заказа = 10" sqref="M2758">
      <formula1>10</formula1>
      <formula2>244</formula2>
    </dataValidation>
    <dataValidation type="decimal" allowBlank="1" showErrorMessage="1" errorTitle="Неверно указано Количество" error="минимальное количество для заказа = 10" sqref="M2759">
      <formula1>10</formula1>
      <formula2>642</formula2>
    </dataValidation>
    <dataValidation type="decimal" allowBlank="1" showErrorMessage="1" errorTitle="Неверно указано Количество" error="минимальное количество для заказа = 10" sqref="M2760">
      <formula1>10</formula1>
      <formula2>573</formula2>
    </dataValidation>
    <dataValidation type="decimal" allowBlank="1" showErrorMessage="1" errorTitle="Неверно указано Количество" error="минимальное количество для заказа = 10" sqref="M2761">
      <formula1>10</formula1>
      <formula2>274</formula2>
    </dataValidation>
    <dataValidation type="decimal" allowBlank="1" showErrorMessage="1" errorTitle="Неверно указано Количество" error="минимальное количество для заказа = 5" sqref="M2766">
      <formula1>5</formula1>
      <formula2>320</formula2>
    </dataValidation>
    <dataValidation type="decimal" allowBlank="1" showErrorMessage="1" errorTitle="Неверно указано Количество" error="минимальное количество для заказа = 5" sqref="M2767">
      <formula1>5</formula1>
      <formula2>284</formula2>
    </dataValidation>
    <dataValidation type="decimal" allowBlank="1" showErrorMessage="1" errorTitle="Неверно указано Количество" error="минимальное количество для заказа = 48" sqref="M4281">
      <formula1>48</formula1>
      <formula2>10244</formula2>
    </dataValidation>
    <dataValidation type="decimal" allowBlank="1" showErrorMessage="1" errorTitle="Неверно указано Количество" error="минимальное количество для заказа = 5" sqref="M2768">
      <formula1>5</formula1>
      <formula2>1037</formula2>
    </dataValidation>
    <dataValidation type="decimal" allowBlank="1" showErrorMessage="1" errorTitle="Неверно указано Количество" error="минимальное количество для заказа = 5" sqref="M2769">
      <formula1>5</formula1>
      <formula2>125</formula2>
    </dataValidation>
    <dataValidation type="decimal" allowBlank="1" showErrorMessage="1" errorTitle="Неверно указано Количество" error="минимальное количество для заказа = 160" sqref="M3667">
      <formula1>160</formula1>
      <formula2>10887</formula2>
    </dataValidation>
    <dataValidation type="decimal" allowBlank="1" showErrorMessage="1" errorTitle="Неверно указано Количество" error="минимальное количество для заказа = 80" sqref="M3493">
      <formula1>80</formula1>
      <formula2>2903</formula2>
    </dataValidation>
    <dataValidation type="decimal" allowBlank="1" showErrorMessage="1" errorTitle="Неверно указано Количество" error="минимальное количество для заказа = 5" sqref="M2770">
      <formula1>5</formula1>
      <formula2>652</formula2>
    </dataValidation>
    <dataValidation type="decimal" allowBlank="1" showErrorMessage="1" errorTitle="Неверно указано Количество" error="минимальное количество для заказа = 5" sqref="M2771">
      <formula1>5</formula1>
      <formula2>421</formula2>
    </dataValidation>
    <dataValidation type="decimal" allowBlank="1" showErrorMessage="1" errorTitle="Неверно указано Количество" error="минимальное количество для заказа = 4" sqref="M2773">
      <formula1>4</formula1>
      <formula2>22</formula2>
    </dataValidation>
    <dataValidation type="decimal" allowBlank="1" showErrorMessage="1" errorTitle="Неверно указано Количество" error="минимальное количество для заказа = 45" sqref="M3969">
      <formula1>45</formula1>
      <formula2>370</formula2>
    </dataValidation>
    <dataValidation type="decimal" allowBlank="1" showErrorMessage="1" errorTitle="Неверно указано Количество" error="минимальное количество для заказа = 4" sqref="M2775">
      <formula1>4</formula1>
      <formula2>1000</formula2>
    </dataValidation>
    <dataValidation type="decimal" allowBlank="1" showErrorMessage="1" errorTitle="Неверно указано Количество" error="минимальное количество для заказа = 240" sqref="M3906">
      <formula1>240</formula1>
      <formula2>730</formula2>
    </dataValidation>
    <dataValidation type="decimal" allowBlank="1" showErrorMessage="1" errorTitle="Неверно указано Количество" error="минимальное количество для заказа = 4" sqref="M2778">
      <formula1>4</formula1>
      <formula2>17</formula2>
    </dataValidation>
    <dataValidation type="decimal" allowBlank="1" showErrorMessage="1" errorTitle="Неверно указано Количество" error="минимальное количество для заказа = 4" sqref="M2779">
      <formula1>4</formula1>
      <formula2>118</formula2>
    </dataValidation>
    <dataValidation type="decimal" allowBlank="1" showErrorMessage="1" errorTitle="Неверно указано Количество" error="минимальное количество для заказа = 4" sqref="M2780">
      <formula1>4</formula1>
      <formula2>761</formula2>
    </dataValidation>
    <dataValidation type="decimal" allowBlank="1" showErrorMessage="1" errorTitle="Неверно указано Количество" error="минимальное количество для заказа = 4" sqref="M2783 M3087">
      <formula1>4</formula1>
      <formula2>114</formula2>
    </dataValidation>
    <dataValidation type="decimal" allowBlank="1" showErrorMessage="1" errorTitle="Неверно указано Количество" error="минимальное количество для заказа = 4" sqref="M2784">
      <formula1>4</formula1>
      <formula2>48</formula2>
    </dataValidation>
    <dataValidation type="decimal" allowBlank="1" showErrorMessage="1" errorTitle="Неверно указано Количество" error="минимальное количество для заказа = 4" sqref="M2785">
      <formula1>4</formula1>
      <formula2>799</formula2>
    </dataValidation>
    <dataValidation type="decimal" allowBlank="1" showErrorMessage="1" errorTitle="Неверно указано Количество" error="минимальное количество для заказа = 4" sqref="M2786">
      <formula1>4</formula1>
      <formula2>9</formula2>
    </dataValidation>
    <dataValidation type="decimal" allowBlank="1" showErrorMessage="1" errorTitle="Неверно указано Количество" error="минимальное количество для заказа = 4" sqref="M2787">
      <formula1>4</formula1>
      <formula2>136</formula2>
    </dataValidation>
    <dataValidation type="decimal" allowBlank="1" showErrorMessage="1" errorTitle="Неверно указано Количество" error="минимальное количество для заказа = 4" sqref="M2788">
      <formula1>4</formula1>
      <formula2>1348</formula2>
    </dataValidation>
    <dataValidation type="decimal" allowBlank="1" showErrorMessage="1" errorTitle="Неверно указано Количество" error="минимальное количество для заказа = 4" sqref="M2790">
      <formula1>4</formula1>
      <formula2>1055</formula2>
    </dataValidation>
    <dataValidation type="decimal" allowBlank="1" showErrorMessage="1" errorTitle="Неверно указано Количество" error="минимальное количество для заказа = 48" sqref="M4326">
      <formula1>48</formula1>
      <formula2>8952</formula2>
    </dataValidation>
    <dataValidation type="decimal" allowBlank="1" showErrorMessage="1" errorTitle="Неверно указано Количество" error="минимальное количество для заказа = 4" sqref="M2791">
      <formula1>4</formula1>
      <formula2>574</formula2>
    </dataValidation>
    <dataValidation type="decimal" allowBlank="1" showErrorMessage="1" errorTitle="Неверно указано Количество" error="минимальное количество для заказа = 4" sqref="M2792">
      <formula1>4</formula1>
      <formula2>378</formula2>
    </dataValidation>
    <dataValidation type="decimal" allowBlank="1" showErrorMessage="1" errorTitle="Неверно указано Количество" error="минимальное количество для заказа = 4" sqref="M2794">
      <formula1>4</formula1>
      <formula2>772</formula2>
    </dataValidation>
    <dataValidation type="decimal" allowBlank="1" showErrorMessage="1" errorTitle="Неверно указано Количество" error="минимальное количество для заказа = 4" sqref="M2796">
      <formula1>4</formula1>
      <formula2>839</formula2>
    </dataValidation>
    <dataValidation type="decimal" allowBlank="1" showErrorMessage="1" errorTitle="Неверно указано Количество" error="минимальное количество для заказа = 4" sqref="M2798 M3580">
      <formula1>4</formula1>
      <formula2>963</formula2>
    </dataValidation>
    <dataValidation type="decimal" allowBlank="1" showErrorMessage="1" errorTitle="Неверно указано Количество" error="минимальное количество для заказа = 12" sqref="M2802">
      <formula1>12</formula1>
      <formula2>830</formula2>
    </dataValidation>
    <dataValidation type="decimal" allowBlank="1" showErrorMessage="1" errorTitle="Неверно указано Количество" error="минимальное количество для заказа = 12" sqref="M2803">
      <formula1>12</formula1>
      <formula2>318</formula2>
    </dataValidation>
    <dataValidation type="decimal" allowBlank="1" showErrorMessage="1" errorTitle="Неверно указано Количество" error="минимальное количество для заказа = 140" sqref="M3948">
      <formula1>140</formula1>
      <formula2>3315</formula2>
    </dataValidation>
    <dataValidation type="decimal" allowBlank="1" showErrorMessage="1" errorTitle="Неверно указано Количество" error="минимальное количество для заказа = 12" sqref="M2804 M2820">
      <formula1>12</formula1>
      <formula2>40</formula2>
    </dataValidation>
    <dataValidation type="decimal" allowBlank="1" showErrorMessage="1" errorTitle="Неверно указано Количество" error="минимальное количество для заказа = 12" sqref="M2805">
      <formula1>12</formula1>
      <formula2>308</formula2>
    </dataValidation>
    <dataValidation type="decimal" allowBlank="1" showErrorMessage="1" errorTitle="Неверно указано Количество" error="минимальное количество для заказа = 12" sqref="M2811">
      <formula1>12</formula1>
      <formula2>330</formula2>
    </dataValidation>
    <dataValidation type="decimal" allowBlank="1" showErrorMessage="1" errorTitle="Неверно указано Количество" error="минимальное количество для заказа = 12" sqref="M2814">
      <formula1>12</formula1>
      <formula2>41</formula2>
    </dataValidation>
    <dataValidation type="decimal" allowBlank="1" showErrorMessage="1" errorTitle="Неверно указано Количество" error="минимальное количество для заказа = 12" sqref="M2815">
      <formula1>12</formula1>
      <formula2>721</formula2>
    </dataValidation>
    <dataValidation type="decimal" allowBlank="1" showErrorMessage="1" errorTitle="Неверно указано Количество" error="минимальное количество для заказа = 80" sqref="M4518">
      <formula1>80</formula1>
      <formula2>2500</formula2>
    </dataValidation>
    <dataValidation type="decimal" allowBlank="1" showErrorMessage="1" errorTitle="Неверно указано Количество" error="минимальное количество для заказа = 12" sqref="M2816">
      <formula1>12</formula1>
      <formula2>119</formula2>
    </dataValidation>
    <dataValidation type="decimal" allowBlank="1" showErrorMessage="1" errorTitle="Неверно указано Количество" error="минимальное количество для заказа = 12" sqref="M2819">
      <formula1>12</formula1>
      <formula2>146</formula2>
    </dataValidation>
    <dataValidation type="decimal" allowBlank="1" showErrorMessage="1" errorTitle="Неверно указано Количество" error="минимальное количество для заказа = 12" sqref="M2822">
      <formula1>12</formula1>
      <formula2>66</formula2>
    </dataValidation>
    <dataValidation type="decimal" allowBlank="1" showErrorMessage="1" errorTitle="Неверно указано Количество" error="минимальное количество для заказа = 12" sqref="M2824">
      <formula1>12</formula1>
      <formula2>79</formula2>
    </dataValidation>
    <dataValidation type="decimal" allowBlank="1" showErrorMessage="1" errorTitle="Неверно указано Количество" error="минимальное количество для заказа = 240" sqref="M3681">
      <formula1>240</formula1>
      <formula2>9840</formula2>
    </dataValidation>
    <dataValidation type="decimal" allowBlank="1" showErrorMessage="1" errorTitle="Неверно указано Количество" error="минимальное количество для заказа = 12" sqref="M2826">
      <formula1>12</formula1>
      <formula2>418</formula2>
    </dataValidation>
    <dataValidation type="decimal" allowBlank="1" showErrorMessage="1" errorTitle="Неверно указано Количество" error="минимальное количество для заказа = 10" sqref="M2829">
      <formula1>10</formula1>
      <formula2>459</formula2>
    </dataValidation>
    <dataValidation type="decimal" allowBlank="1" showErrorMessage="1" errorTitle="Неверно указано Количество" error="минимальное количество для заказа = 10" sqref="M2830">
      <formula1>10</formula1>
      <formula2>435</formula2>
    </dataValidation>
    <dataValidation type="decimal" allowBlank="1" showErrorMessage="1" errorTitle="Неверно указано Количество" error="минимальное количество для заказа = 10" sqref="M2831">
      <formula1>10</formula1>
      <formula2>445</formula2>
    </dataValidation>
    <dataValidation type="decimal" allowBlank="1" showErrorMessage="1" errorTitle="Неверно указано Количество" error="минимальное количество для заказа = 10" sqref="M2832">
      <formula1>10</formula1>
      <formula2>574</formula2>
    </dataValidation>
    <dataValidation type="decimal" allowBlank="1" showErrorMessage="1" errorTitle="Неверно указано Количество" error="минимальное количество для заказа = 10" sqref="M2833">
      <formula1>10</formula1>
      <formula2>344</formula2>
    </dataValidation>
    <dataValidation type="decimal" allowBlank="1" showErrorMessage="1" errorTitle="Неверно указано Количество" error="минимальное количество для заказа = 10" sqref="M2834">
      <formula1>10</formula1>
      <formula2>45</formula2>
    </dataValidation>
    <dataValidation type="decimal" allowBlank="1" showErrorMessage="1" errorTitle="Неверно указано Количество" error="минимальное количество для заказа = 10" sqref="M2835 M3040">
      <formula1>10</formula1>
      <formula2>13</formula2>
    </dataValidation>
    <dataValidation type="decimal" allowBlank="1" showErrorMessage="1" errorTitle="Неверно указано Количество" error="минимальное количество для заказа = 10" sqref="M2836">
      <formula1>10</formula1>
      <formula2>738</formula2>
    </dataValidation>
    <dataValidation type="decimal" allowBlank="1" showErrorMessage="1" errorTitle="Неверно указано Количество" error="минимальное количество для заказа = 15" sqref="M2926">
      <formula1>15</formula1>
      <formula2>1455</formula2>
    </dataValidation>
    <dataValidation type="decimal" allowBlank="1" showErrorMessage="1" errorTitle="Неверно указано Количество" error="минимальное количество для заказа = 10" sqref="M2838">
      <formula1>10</formula1>
      <formula2>956</formula2>
    </dataValidation>
    <dataValidation type="decimal" operator="equal" allowBlank="1" showErrorMessage="1" errorTitle="Не нужно менять минимальное количество для заказа:" error="минимальное количество для заказа = 45" sqref="K3967 K3969 K3975">
      <formula1>45</formula1>
    </dataValidation>
    <dataValidation type="decimal" allowBlank="1" showErrorMessage="1" errorTitle="Неверно указано Количество" error="минимальное количество для заказа = 10" sqref="M2844">
      <formula1>10</formula1>
      <formula2>554</formula2>
    </dataValidation>
    <dataValidation type="decimal" allowBlank="1" showErrorMessage="1" errorTitle="Неверно указано Количество" error="минимальное количество для заказа = 250" sqref="M3872">
      <formula1>250</formula1>
      <formula2>4450</formula2>
    </dataValidation>
    <dataValidation type="decimal" allowBlank="1" showErrorMessage="1" errorTitle="Неверно указано Количество" error="минимальное количество для заказа = 10" sqref="M2846">
      <formula1>10</formula1>
      <formula2>219</formula2>
    </dataValidation>
    <dataValidation type="decimal" allowBlank="1" showErrorMessage="1" errorTitle="Неверно указано Количество" error="минимальное количество для заказа = 10" sqref="M2849">
      <formula1>10</formula1>
      <formula2>723</formula2>
    </dataValidation>
    <dataValidation type="decimal" allowBlank="1" showErrorMessage="1" errorTitle="Неверно указано Количество" error="минимальное количество для заказа = 10" sqref="M2850">
      <formula1>10</formula1>
      <formula2>981</formula2>
    </dataValidation>
    <dataValidation type="decimal" allowBlank="1" showErrorMessage="1" errorTitle="Неверно указано Количество" error="минимальное количество для заказа = 10" sqref="M2853">
      <formula1>10</formula1>
      <formula2>833</formula2>
    </dataValidation>
    <dataValidation type="decimal" allowBlank="1" showErrorMessage="1" errorTitle="Неверно указано Количество" error="минимальное количество для заказа = 10" sqref="M2854">
      <formula1>10</formula1>
      <formula2>494</formula2>
    </dataValidation>
    <dataValidation type="decimal" allowBlank="1" showErrorMessage="1" errorTitle="Неверно указано Количество" error="минимальное количество для заказа = 80" sqref="M4354 M4456">
      <formula1>80</formula1>
      <formula2>1500</formula2>
    </dataValidation>
    <dataValidation type="decimal" allowBlank="1" showErrorMessage="1" errorTitle="Неверно указано Количество" error="минимальное количество для заказа = 10" sqref="M2856">
      <formula1>10</formula1>
      <formula2>524</formula2>
    </dataValidation>
    <dataValidation type="decimal" allowBlank="1" showErrorMessage="1" errorTitle="Неверно указано Количество" error="минимальное количество для заказа = 10" sqref="M2860">
      <formula1>10</formula1>
      <formula2>954</formula2>
    </dataValidation>
    <dataValidation type="decimal" allowBlank="1" showErrorMessage="1" errorTitle="Неверно указано Количество" error="минимальное количество для заказа = 10" sqref="M2865">
      <formula1>10</formula1>
      <formula2>364</formula2>
    </dataValidation>
    <dataValidation type="decimal" allowBlank="1" showErrorMessage="1" errorTitle="Неверно указано Количество" error="минимальное количество для заказа = 10" sqref="M2867">
      <formula1>10</formula1>
      <formula2>790</formula2>
    </dataValidation>
    <dataValidation type="decimal" allowBlank="1" showErrorMessage="1" errorTitle="Неверно указано Количество" error="минимальное количество для заказа = 10" sqref="M2869">
      <formula1>10</formula1>
      <formula2>868</formula2>
    </dataValidation>
    <dataValidation type="decimal" allowBlank="1" showErrorMessage="1" errorTitle="Неверно указано Количество" error="минимальное количество для заказа = 80" sqref="M4427 M4447">
      <formula1>80</formula1>
      <formula2>790</formula2>
    </dataValidation>
    <dataValidation type="decimal" allowBlank="1" showErrorMessage="1" errorTitle="Неверно указано Количество" error="минимальное количество для заказа = 10" sqref="M2870">
      <formula1>10</formula1>
      <formula2>613</formula2>
    </dataValidation>
    <dataValidation type="decimal" allowBlank="1" showErrorMessage="1" errorTitle="Неверно указано Количество" error="минимальное количество для заказа = 5" sqref="M3131">
      <formula1>5</formula1>
      <formula2>1401</formula2>
    </dataValidation>
    <dataValidation type="decimal" allowBlank="1" showErrorMessage="1" errorTitle="Неверно указано Количество" error="минимальное количество для заказа = 7" sqref="M2879">
      <formula1>7</formula1>
      <formula2>709</formula2>
    </dataValidation>
    <dataValidation type="decimal" allowBlank="1" showErrorMessage="1" errorTitle="Неверно указано Количество" error="минимальное количество для заказа = 7" sqref="M2880">
      <formula1>7</formula1>
      <formula2>566</formula2>
    </dataValidation>
    <dataValidation type="decimal" allowBlank="1" showErrorMessage="1" errorTitle="Неверно указано Количество" error="минимальное количество для заказа = 100" sqref="M4129">
      <formula1>100</formula1>
      <formula2>10550</formula2>
    </dataValidation>
    <dataValidation type="decimal" allowBlank="1" showErrorMessage="1" errorTitle="Неверно указано Количество" error="минимальное количество для заказа = 10" sqref="M2888">
      <formula1>10</formula1>
      <formula2>169</formula2>
    </dataValidation>
    <dataValidation type="decimal" allowBlank="1" showErrorMessage="1" errorTitle="Неверно указано Количество" error="минимальное количество для заказа = 48" sqref="M4291">
      <formula1>48</formula1>
      <formula2>8422</formula2>
    </dataValidation>
    <dataValidation type="decimal" allowBlank="1" showErrorMessage="1" errorTitle="Неверно указано Количество" error="минимальное количество для заказа = 7" sqref="M2891">
      <formula1>7</formula1>
      <formula2>526</formula2>
    </dataValidation>
    <dataValidation type="decimal" allowBlank="1" showErrorMessage="1" errorTitle="Неверно указано Количество" error="минимальное количество для заказа = 7" sqref="M2893">
      <formula1>7</formula1>
      <formula2>783</formula2>
    </dataValidation>
    <dataValidation type="decimal" allowBlank="1" showErrorMessage="1" errorTitle="Неверно указано Количество" error="минимальное количество для заказа = 7" sqref="M2894">
      <formula1>7</formula1>
      <formula2>384</formula2>
    </dataValidation>
    <dataValidation type="decimal" allowBlank="1" showErrorMessage="1" errorTitle="Неверно указано Количество" error="минимальное количество для заказа = 7" sqref="M2895">
      <formula1>7</formula1>
      <formula2>839</formula2>
    </dataValidation>
    <dataValidation type="decimal" allowBlank="1" showErrorMessage="1" errorTitle="Неверно указано Количество" error="минимальное количество для заказа = 7" sqref="M2898">
      <formula1>7</formula1>
      <formula2>270</formula2>
    </dataValidation>
    <dataValidation type="decimal" allowBlank="1" showErrorMessage="1" errorTitle="Неверно указано Количество" error="минимальное количество для заказа = 7" sqref="M2899">
      <formula1>7</formula1>
      <formula2>429</formula2>
    </dataValidation>
    <dataValidation type="decimal" allowBlank="1" showErrorMessage="1" errorTitle="Неверно указано Количество" error="минимальное количество для заказа = 7" sqref="M2901">
      <formula1>7</formula1>
      <formula2>59</formula2>
    </dataValidation>
    <dataValidation type="decimal" allowBlank="1" showErrorMessage="1" errorTitle="Неверно указано Количество" error="минимальное количество для заказа = 7" sqref="M2902">
      <formula1>7</formula1>
      <formula2>744</formula2>
    </dataValidation>
    <dataValidation type="decimal" allowBlank="1" showErrorMessage="1" errorTitle="Неверно указано Количество" error="минимальное количество для заказа = 7" sqref="M2904">
      <formula1>7</formula1>
      <formula2>36</formula2>
    </dataValidation>
    <dataValidation type="decimal" allowBlank="1" showErrorMessage="1" errorTitle="Неверно указано Количество" error="минимальное количество для заказа = 16" sqref="M2909">
      <formula1>16</formula1>
      <formula2>249</formula2>
    </dataValidation>
    <dataValidation type="decimal" allowBlank="1" showErrorMessage="1" errorTitle="Неверно указано Количество" error="минимальное количество для заказа = 40" sqref="M3544">
      <formula1>40</formula1>
      <formula2>401</formula2>
    </dataValidation>
    <dataValidation type="decimal" allowBlank="1" showErrorMessage="1" errorTitle="Неверно указано Количество" error="минимальное количество для заказа = 16" sqref="M2910">
      <formula1>16</formula1>
      <formula2>111</formula2>
    </dataValidation>
    <dataValidation type="decimal" allowBlank="1" showErrorMessage="1" errorTitle="Неверно указано Количество" error="минимальное количество для заказа = 16" sqref="M2913">
      <formula1>16</formula1>
      <formula2>675</formula2>
    </dataValidation>
    <dataValidation type="decimal" allowBlank="1" showErrorMessage="1" errorTitle="Неверно указано Количество" error="минимальное количество для заказа = 16" sqref="M2914">
      <formula1>16</formula1>
      <formula2>1621</formula2>
    </dataValidation>
    <dataValidation type="decimal" allowBlank="1" showErrorMessage="1" errorTitle="Неверно указано Количество" error="минимальное количество для заказа = 16" sqref="M2915">
      <formula1>16</formula1>
      <formula2>40</formula2>
    </dataValidation>
    <dataValidation type="decimal" allowBlank="1" showErrorMessage="1" errorTitle="Неверно указано Количество" error="минимальное количество для заказа = 15" sqref="M2922">
      <formula1>15</formula1>
      <formula2>975</formula2>
    </dataValidation>
    <dataValidation type="decimal" allowBlank="1" showErrorMessage="1" errorTitle="Неверно указано Количество" error="минимальное количество для заказа = 15" sqref="M2923">
      <formula1>15</formula1>
      <formula2>313</formula2>
    </dataValidation>
    <dataValidation type="decimal" allowBlank="1" showErrorMessage="1" errorTitle="Неверно указано Количество" error="минимальное количество для заказа = 15" sqref="M2924">
      <formula1>15</formula1>
      <formula2>370</formula2>
    </dataValidation>
    <dataValidation type="decimal" allowBlank="1" showErrorMessage="1" errorTitle="Неверно указано Количество" error="минимальное количество для заказа = 15" sqref="M2925">
      <formula1>15</formula1>
      <formula2>850</formula2>
    </dataValidation>
    <dataValidation type="decimal" allowBlank="1" showErrorMessage="1" errorTitle="Неверно указано Количество" error="минимальное количество для заказа = 40" sqref="M3478">
      <formula1>40</formula1>
      <formula2>91</formula2>
    </dataValidation>
    <dataValidation type="decimal" allowBlank="1" showErrorMessage="1" errorTitle="Неверно указано Количество" error="минимальное количество для заказа = 15" sqref="M2927">
      <formula1>15</formula1>
      <formula2>380</formula2>
    </dataValidation>
    <dataValidation type="decimal" allowBlank="1" showErrorMessage="1" errorTitle="Неверно указано Количество" error="минимальное количество для заказа = 100" sqref="M4160">
      <formula1>100</formula1>
      <formula2>3470</formula2>
    </dataValidation>
    <dataValidation type="decimal" allowBlank="1" showErrorMessage="1" errorTitle="Неверно указано Количество" error="минимальное количество для заказа = 15" sqref="M2928">
      <formula1>15</formula1>
      <formula2>545</formula2>
    </dataValidation>
    <dataValidation type="decimal" allowBlank="1" showErrorMessage="1" errorTitle="Неверно указано Количество" error="минимальное количество для заказа = 250" sqref="M3735">
      <formula1>250</formula1>
      <formula2>14200</formula2>
    </dataValidation>
    <dataValidation type="decimal" allowBlank="1" showErrorMessage="1" errorTitle="Неверно указано Количество" error="минимальное количество для заказа = 15" sqref="M2930">
      <formula1>15</formula1>
      <formula2>475</formula2>
    </dataValidation>
    <dataValidation type="decimal" allowBlank="1" showErrorMessage="1" errorTitle="Неверно указано Количество" error="минимальное количество для заказа = 240" sqref="M3758">
      <formula1>240</formula1>
      <formula2>12600</formula2>
    </dataValidation>
    <dataValidation type="decimal" allowBlank="1" showErrorMessage="1" errorTitle="Неверно указано Количество" error="минимальное количество для заказа = 32" sqref="M3472">
      <formula1>32</formula1>
      <formula2>533</formula2>
    </dataValidation>
    <dataValidation type="decimal" allowBlank="1" showErrorMessage="1" errorTitle="Неверно указано Количество" error="минимальное количество для заказа = 15" sqref="M2931">
      <formula1>15</formula1>
      <formula2>230</formula2>
    </dataValidation>
    <dataValidation type="decimal" allowBlank="1" showErrorMessage="1" errorTitle="Неверно указано Количество" error="минимальное количество для заказа = 15" sqref="M2934">
      <formula1>15</formula1>
      <formula2>58</formula2>
    </dataValidation>
    <dataValidation type="decimal" allowBlank="1" showErrorMessage="1" errorTitle="Неверно указано Количество" error="минимальное количество для заказа = 15" sqref="M2935">
      <formula1>15</formula1>
      <formula2>2379</formula2>
    </dataValidation>
    <dataValidation type="decimal" allowBlank="1" showErrorMessage="1" errorTitle="Неверно указано Количество" error="минимальное количество для заказа = 15" sqref="M2936">
      <formula1>15</formula1>
      <formula2>215</formula2>
    </dataValidation>
    <dataValidation type="decimal" allowBlank="1" showErrorMessage="1" errorTitle="Неверно указано Количество" error="минимальное количество для заказа = 15" sqref="M2937">
      <formula1>15</formula1>
      <formula2>1612</formula2>
    </dataValidation>
    <dataValidation type="decimal" allowBlank="1" showErrorMessage="1" errorTitle="Неверно указано Количество" error="минимальное количество для заказа = 160" sqref="M4032">
      <formula1>160</formula1>
      <formula2>10060</formula2>
    </dataValidation>
    <dataValidation type="decimal" allowBlank="1" showErrorMessage="1" errorTitle="Неверно указано Количество" error="минимальное количество для заказа = 240" sqref="M3723">
      <formula1>240</formula1>
      <formula2>17295</formula2>
    </dataValidation>
    <dataValidation type="decimal" allowBlank="1" showErrorMessage="1" errorTitle="Неверно указано Количество" error="минимальное количество для заказа = 15" sqref="M2938">
      <formula1>15</formula1>
      <formula2>1644</formula2>
    </dataValidation>
    <dataValidation type="decimal" allowBlank="1" showErrorMessage="1" errorTitle="Неверно указано Количество" error="минимальное количество для заказа = 5" sqref="M3146">
      <formula1>5</formula1>
      <formula2>33</formula2>
    </dataValidation>
    <dataValidation type="decimal" allowBlank="1" showErrorMessage="1" errorTitle="Неверно указано Количество" error="минимальное количество для заказа = 15" sqref="M2940">
      <formula1>15</formula1>
      <formula2>670</formula2>
    </dataValidation>
    <dataValidation type="decimal" allowBlank="1" showErrorMessage="1" errorTitle="Неверно указано Количество" error="минимальное количество для заказа = 15" sqref="M2941">
      <formula1>15</formula1>
      <formula2>300</formula2>
    </dataValidation>
    <dataValidation type="decimal" allowBlank="1" showErrorMessage="1" errorTitle="Неверно указано Количество" error="минимальное количество для заказа = 5" sqref="M3133">
      <formula1>5</formula1>
      <formula2>1364</formula2>
    </dataValidation>
    <dataValidation type="decimal" allowBlank="1" showErrorMessage="1" errorTitle="Неверно указано Количество" error="минимальное количество для заказа = 15" sqref="M2942">
      <formula1>15</formula1>
      <formula2>540</formula2>
    </dataValidation>
    <dataValidation type="decimal" allowBlank="1" showErrorMessage="1" errorTitle="Неверно указано Количество" error="минимальное количество для заказа = 15" sqref="M2943">
      <formula1>15</formula1>
      <formula2>1208</formula2>
    </dataValidation>
    <dataValidation type="decimal" allowBlank="1" showErrorMessage="1" errorTitle="Неверно указано Количество" error="минимальное количество для заказа = 40" sqref="M3800">
      <formula1>40</formula1>
      <formula2>120</formula2>
    </dataValidation>
    <dataValidation type="decimal" allowBlank="1" showErrorMessage="1" errorTitle="Неверно указано Количество" error="минимальное количество для заказа = 15" sqref="M2944">
      <formula1>15</formula1>
      <formula2>20</formula2>
    </dataValidation>
    <dataValidation type="decimal" allowBlank="1" showErrorMessage="1" errorTitle="Неверно указано Количество" error="минимальное количество для заказа = 4" sqref="M2948">
      <formula1>4</formula1>
      <formula2>181</formula2>
    </dataValidation>
    <dataValidation type="decimal" allowBlank="1" showErrorMessage="1" errorTitle="Неверно указано Количество" error="минимальное количество для заказа = 3" sqref="M2954">
      <formula1>3</formula1>
      <formula2>374</formula2>
    </dataValidation>
    <dataValidation type="decimal" allowBlank="1" showErrorMessage="1" errorTitle="Неверно указано Количество" error="минимальное количество для заказа = 5" sqref="M2963">
      <formula1>5</formula1>
      <formula2>12</formula2>
    </dataValidation>
    <dataValidation type="decimal" allowBlank="1" showErrorMessage="1" errorTitle="Неверно указано Количество" error="минимальное количество для заказа = 10" sqref="M2970">
      <formula1>10</formula1>
      <formula2>186</formula2>
    </dataValidation>
    <dataValidation type="decimal" allowBlank="1" showErrorMessage="1" errorTitle="Неверно указано Количество" error="минимальное количество для заказа = 10" sqref="M2974">
      <formula1>10</formula1>
      <formula2>183</formula2>
    </dataValidation>
    <dataValidation type="decimal" allowBlank="1" showErrorMessage="1" errorTitle="Неверно указано Количество" error="минимальное количество для заказа = 2" sqref="M2992">
      <formula1>2</formula1>
      <formula2>104</formula2>
    </dataValidation>
    <dataValidation type="decimal" allowBlank="1" showErrorMessage="1" errorTitle="Неверно указано Количество" error="минимальное количество для заказа = 5" sqref="M2998">
      <formula1>5</formula1>
      <formula2>650</formula2>
    </dataValidation>
    <dataValidation type="decimal" allowBlank="1" showErrorMessage="1" errorTitle="Неверно указано Количество" error="минимальное количество для заказа = 5" sqref="M2999">
      <formula1>5</formula1>
      <formula2>1729</formula2>
    </dataValidation>
    <dataValidation type="decimal" allowBlank="1" showErrorMessage="1" errorTitle="Неверно указано Количество" error="минимальное количество для заказа = 10" sqref="M3005">
      <formula1>10</formula1>
      <formula2>128</formula2>
    </dataValidation>
    <dataValidation type="decimal" allowBlank="1" showErrorMessage="1" errorTitle="Неверно указано Количество" error="минимальное количество для заказа = 10" sqref="M3006">
      <formula1>10</formula1>
      <formula2>424</formula2>
    </dataValidation>
    <dataValidation type="decimal" allowBlank="1" showErrorMessage="1" errorTitle="Неверно указано Количество" error="минимальное количество для заказа = 2" sqref="M3010">
      <formula1>2</formula1>
      <formula2>753</formula2>
    </dataValidation>
    <dataValidation type="decimal" allowBlank="1" showErrorMessage="1" errorTitle="Неверно указано Количество" error="минимальное количество для заказа = 80" sqref="M4495">
      <formula1>80</formula1>
      <formula2>750</formula2>
    </dataValidation>
    <dataValidation type="decimal" allowBlank="1" showErrorMessage="1" errorTitle="Неверно указано Количество" error="минимальное количество для заказа = 2" sqref="M3013">
      <formula1>2</formula1>
      <formula2>27</formula2>
    </dataValidation>
    <dataValidation type="decimal" allowBlank="1" showErrorMessage="1" errorTitle="Неверно указано Количество" error="минимальное количество для заказа = 2" sqref="M3017">
      <formula1>2</formula1>
      <formula2>769</formula2>
    </dataValidation>
    <dataValidation type="decimal" allowBlank="1" showErrorMessage="1" errorTitle="Неверно указано Количество" error="минимальное количество для заказа = 80" sqref="M4517">
      <formula1>80</formula1>
      <formula2>3620</formula2>
    </dataValidation>
    <dataValidation type="decimal" allowBlank="1" showErrorMessage="1" errorTitle="Неверно указано Количество" error="минимальное количество для заказа = 3" sqref="M3029">
      <formula1>3</formula1>
      <formula2>254</formula2>
    </dataValidation>
    <dataValidation type="decimal" allowBlank="1" showErrorMessage="1" errorTitle="Неверно указано Количество" error="минимальное количество для заказа = 10" sqref="M3038">
      <formula1>10</formula1>
      <formula2>828</formula2>
    </dataValidation>
    <dataValidation type="decimal" allowBlank="1" showErrorMessage="1" errorTitle="Неверно указано Количество" error="минимальное количество для заказа = 30" sqref="M3656">
      <formula1>30</formula1>
      <formula2>2424</formula2>
    </dataValidation>
    <dataValidation type="decimal" allowBlank="1" showErrorMessage="1" errorTitle="Неверно указано Количество" error="минимальное количество для заказа = 10" sqref="M3039">
      <formula1>10</formula1>
      <formula2>46</formula2>
    </dataValidation>
    <dataValidation type="decimal" allowBlank="1" showErrorMessage="1" errorTitle="Неверно указано Количество" error="минимальное количество для заказа = 6" sqref="M3042">
      <formula1>6</formula1>
      <formula2>454</formula2>
    </dataValidation>
    <dataValidation type="decimal" allowBlank="1" showErrorMessage="1" errorTitle="Неверно указано Количество" error="минимальное количество для заказа = 4" sqref="M3050">
      <formula1>4</formula1>
      <formula2>699</formula2>
    </dataValidation>
    <dataValidation type="decimal" allowBlank="1" showErrorMessage="1" errorTitle="Неверно указано Количество" error="минимальное количество для заказа = 4" sqref="M3053">
      <formula1>4</formula1>
      <formula2>1181</formula2>
    </dataValidation>
    <dataValidation type="decimal" allowBlank="1" showErrorMessage="1" errorTitle="Неверно указано Количество" error="минимальное количество для заказа = 3" sqref="M3349">
      <formula1>3</formula1>
      <formula2>393</formula2>
    </dataValidation>
    <dataValidation type="decimal" allowBlank="1" showErrorMessage="1" errorTitle="Неверно указано Количество" error="минимальное количество для заказа = 4" sqref="M3055">
      <formula1>4</formula1>
      <formula2>784</formula2>
    </dataValidation>
    <dataValidation type="decimal" allowBlank="1" showErrorMessage="1" errorTitle="Неверно указано Количество" error="минимальное количество для заказа = 4" sqref="M3056">
      <formula1>4</formula1>
      <formula2>1949</formula2>
    </dataValidation>
    <dataValidation type="decimal" allowBlank="1" showErrorMessage="1" errorTitle="Неверно указано Количество" error="минимальное количество для заказа = 4" sqref="M3057">
      <formula1>4</formula1>
      <formula2>354</formula2>
    </dataValidation>
    <dataValidation type="decimal" allowBlank="1" showErrorMessage="1" errorTitle="Неверно указано Количество" error="минимальное количество для заказа = 240" sqref="M3822">
      <formula1>240</formula1>
      <formula2>15680</formula2>
    </dataValidation>
    <dataValidation type="decimal" allowBlank="1" showErrorMessage="1" errorTitle="Неверно указано Количество" error="минимальное количество для заказа = 4" sqref="M3058">
      <formula1>4</formula1>
      <formula2>76</formula2>
    </dataValidation>
    <dataValidation type="decimal" allowBlank="1" showErrorMessage="1" errorTitle="Неверно указано Количество" error="минимальное количество для заказа = 4" sqref="M3059">
      <formula1>4</formula1>
      <formula2>148</formula2>
    </dataValidation>
    <dataValidation type="decimal" allowBlank="1" showErrorMessage="1" errorTitle="Неверно указано Количество" error="минимальное количество для заказа = 4" sqref="M3060">
      <formula1>4</formula1>
      <formula2>1909</formula2>
    </dataValidation>
    <dataValidation type="decimal" allowBlank="1" showErrorMessage="1" errorTitle="Неверно указано Количество" error="минимальное количество для заказа = 4" sqref="M3062 M3317">
      <formula1>4</formula1>
      <formula2>331</formula2>
    </dataValidation>
    <dataValidation type="decimal" allowBlank="1" showErrorMessage="1" errorTitle="Неверно указано Количество" error="минимальное количество для заказа = 4" sqref="M3063">
      <formula1>4</formula1>
      <formula2>1022</formula2>
    </dataValidation>
    <dataValidation type="decimal" allowBlank="1" showErrorMessage="1" errorTitle="Неверно указано Количество" error="минимальное количество для заказа = 4" sqref="M3064">
      <formula1>4</formula1>
      <formula2>913</formula2>
    </dataValidation>
    <dataValidation type="decimal" allowBlank="1" showErrorMessage="1" errorTitle="Неверно указано Количество" error="минимальное количество для заказа = 3" sqref="M3066">
      <formula1>3</formula1>
      <formula2>912</formula2>
    </dataValidation>
    <dataValidation type="decimal" allowBlank="1" showErrorMessage="1" errorTitle="Неверно указано Количество" error="минимальное количество для заказа = 3" sqref="M3068">
      <formula1>3</formula1>
      <formula2>631</formula2>
    </dataValidation>
    <dataValidation type="decimal" allowBlank="1" showErrorMessage="1" errorTitle="Неверно указано Количество" error="минимальное количество для заказа = 3" sqref="M3070">
      <formula1>3</formula1>
      <formula2>1671</formula2>
    </dataValidation>
    <dataValidation type="decimal" allowBlank="1" showErrorMessage="1" errorTitle="Неверно указано Количество" error="минимальное количество для заказа = 3" sqref="M3072">
      <formula1>3</formula1>
      <formula2>1381</formula2>
    </dataValidation>
    <dataValidation type="decimal" allowBlank="1" showErrorMessage="1" errorTitle="Неверно указано Количество" error="минимальное количество для заказа = 2" sqref="M3078">
      <formula1>2</formula1>
      <formula2>1128</formula2>
    </dataValidation>
    <dataValidation type="decimal" allowBlank="1" showErrorMessage="1" errorTitle="Неверно указано Количество" error="минимальное количество для заказа = 2" sqref="M3079">
      <formula1>2</formula1>
      <formula2>177</formula2>
    </dataValidation>
    <dataValidation type="decimal" allowBlank="1" showErrorMessage="1" errorTitle="Неверно указано Количество" error="минимальное количество для заказа = 2" sqref="M3083">
      <formula1>2</formula1>
      <formula2>694</formula2>
    </dataValidation>
    <dataValidation type="decimal" allowBlank="1" showErrorMessage="1" errorTitle="Неверно указано Количество" error="минимальное количество для заказа = 3" sqref="M3104">
      <formula1>3</formula1>
      <formula2>939</formula2>
    </dataValidation>
    <dataValidation type="decimal" allowBlank="1" showErrorMessage="1" errorTitle="Неверно указано Количество" error="минимальное количество для заказа = 5" sqref="M3128 M3207">
      <formula1>5</formula1>
      <formula2>7</formula2>
    </dataValidation>
    <dataValidation type="decimal" allowBlank="1" showErrorMessage="1" errorTitle="Неверно указано Количество" error="минимальное количество для заказа = 5" sqref="M3129">
      <formula1>5</formula1>
      <formula2>1009</formula2>
    </dataValidation>
    <dataValidation type="decimal" allowBlank="1" showErrorMessage="1" errorTitle="Неверно указано Количество" error="минимальное количество для заказа = 4" sqref="M3585">
      <formula1>4</formula1>
      <formula2>335</formula2>
    </dataValidation>
    <dataValidation type="decimal" allowBlank="1" showErrorMessage="1" errorTitle="Неверно указано Количество" error="минимальное количество для заказа = 5" sqref="M3134">
      <formula1>5</formula1>
      <formula2>818</formula2>
    </dataValidation>
    <dataValidation type="decimal" allowBlank="1" showErrorMessage="1" errorTitle="Неверно указано Количество" error="минимальное количество для заказа = 100" sqref="M4191">
      <formula1>100</formula1>
      <formula2>300</formula2>
    </dataValidation>
    <dataValidation type="decimal" allowBlank="1" showErrorMessage="1" errorTitle="Неверно указано Количество" error="минимальное количество для заказа = 48" sqref="M3535">
      <formula1>48</formula1>
      <formula2>2773</formula2>
    </dataValidation>
    <dataValidation type="decimal" allowBlank="1" showErrorMessage="1" errorTitle="Неверно указано Количество" error="минимальное количество для заказа = 4" sqref="M3136">
      <formula1>4</formula1>
      <formula2>77</formula2>
    </dataValidation>
    <dataValidation type="decimal" allowBlank="1" showErrorMessage="1" errorTitle="Неверно указано Количество" error="минимальное количество для заказа = 4" sqref="M3312">
      <formula1>4</formula1>
      <formula2>376</formula2>
    </dataValidation>
    <dataValidation type="decimal" allowBlank="1" showErrorMessage="1" errorTitle="Неверно указано Количество" error="минимальное количество для заказа = 4" sqref="M3137">
      <formula1>4</formula1>
      <formula2>1311</formula2>
    </dataValidation>
    <dataValidation type="decimal" allowBlank="1" showErrorMessage="1" errorTitle="Неверно указано Количество" error="минимальное количество для заказа = 4" sqref="M3138">
      <formula1>4</formula1>
      <formula2>1037</formula2>
    </dataValidation>
    <dataValidation type="decimal" allowBlank="1" showErrorMessage="1" errorTitle="Неверно указано Количество" error="минимальное количество для заказа = 4" sqref="M3140">
      <formula1>4</formula1>
      <formula2>463</formula2>
    </dataValidation>
    <dataValidation type="decimal" allowBlank="1" showErrorMessage="1" errorTitle="Неверно указано Количество" error="минимальное количество для заказа = 4" sqref="M3141 M3314">
      <formula1>4</formula1>
      <formula2>411</formula2>
    </dataValidation>
    <dataValidation type="decimal" allowBlank="1" showErrorMessage="1" errorTitle="Неверно указано Количество" error="минимальное количество для заказа = 5" sqref="M3145">
      <formula1>5</formula1>
      <formula2>378</formula2>
    </dataValidation>
    <dataValidation type="decimal" allowBlank="1" showErrorMessage="1" errorTitle="Неверно указано Количество" error="минимальное количество для заказа = 4" sqref="M3156">
      <formula1>4</formula1>
      <formula2>52</formula2>
    </dataValidation>
    <dataValidation type="decimal" allowBlank="1" showErrorMessage="1" errorTitle="Неверно указано Количество" error="минимальное количество для заказа = 80" sqref="M4415">
      <formula1>80</formula1>
      <formula2>1770</formula2>
    </dataValidation>
    <dataValidation type="decimal" allowBlank="1" showErrorMessage="1" errorTitle="Неверно указано Количество" error="минимальное количество для заказа = 3" sqref="M3164">
      <formula1>3</formula1>
      <formula2>6</formula2>
    </dataValidation>
    <dataValidation type="decimal" allowBlank="1" showErrorMessage="1" errorTitle="Неверно указано Количество" error="минимальное количество для заказа = 1" sqref="M3168">
      <formula1>1</formula1>
      <formula2>58</formula2>
    </dataValidation>
    <dataValidation type="decimal" allowBlank="1" showErrorMessage="1" errorTitle="Неверно указано Количество" error="минимальное количество для заказа = 3" sqref="M3170">
      <formula1>3</formula1>
      <formula2>303</formula2>
    </dataValidation>
    <dataValidation type="decimal" allowBlank="1" showErrorMessage="1" errorTitle="Неверно указано Количество" error="минимальное количество для заказа = 3" sqref="M3171">
      <formula1>3</formula1>
      <formula2>491</formula2>
    </dataValidation>
    <dataValidation type="decimal" allowBlank="1" showErrorMessage="1" errorTitle="Неверно указано Количество" error="минимальное количество для заказа = 48" sqref="M4259">
      <formula1>48</formula1>
      <formula2>3144</formula2>
    </dataValidation>
    <dataValidation type="decimal" allowBlank="1" showErrorMessage="1" errorTitle="Неверно указано Количество" error="минимальное количество для заказа = 4" sqref="M3177">
      <formula1>4</formula1>
      <formula2>193</formula2>
    </dataValidation>
    <dataValidation type="decimal" allowBlank="1" showErrorMessage="1" errorTitle="Неверно указано Количество" error="минимальное количество для заказа = 4" sqref="M3178">
      <formula1>4</formula1>
      <formula2>342</formula2>
    </dataValidation>
    <dataValidation type="decimal" allowBlank="1" showErrorMessage="1" errorTitle="Неверно указано Количество" error="минимальное количество для заказа = 5" sqref="M3185">
      <formula1>5</formula1>
      <formula2>405</formula2>
    </dataValidation>
    <dataValidation type="decimal" allowBlank="1" showErrorMessage="1" errorTitle="Неверно указано Количество" error="минимальное количество для заказа = 5" sqref="M3188">
      <formula1>5</formula1>
      <formula2>337</formula2>
    </dataValidation>
    <dataValidation type="decimal" allowBlank="1" showErrorMessage="1" errorTitle="Неверно указано Количество" error="минимальное количество для заказа = 80" sqref="M4386">
      <formula1>80</formula1>
      <formula2>700</formula2>
    </dataValidation>
    <dataValidation type="decimal" allowBlank="1" showErrorMessage="1" errorTitle="Неверно указано Количество" error="минимальное количество для заказа = 5" sqref="M3193">
      <formula1>5</formula1>
      <formula2>42</formula2>
    </dataValidation>
    <dataValidation type="decimal" allowBlank="1" showErrorMessage="1" errorTitle="Неверно указано Количество" error="минимальное количество для заказа = 5" sqref="M3195">
      <formula1>5</formula1>
      <formula2>32</formula2>
    </dataValidation>
    <dataValidation type="decimal" allowBlank="1" showErrorMessage="1" errorTitle="Неверно указано Количество" error="минимальное количество для заказа = 140" sqref="M4023">
      <formula1>140</formula1>
      <formula2>2800</formula2>
    </dataValidation>
    <dataValidation type="decimal" allowBlank="1" showErrorMessage="1" errorTitle="Неверно указано Количество" error="минимальное количество для заказа = 5" sqref="M3204">
      <formula1>5</formula1>
      <formula2>395</formula2>
    </dataValidation>
    <dataValidation type="decimal" allowBlank="1" showErrorMessage="1" errorTitle="Неверно указано Количество" error="минимальное количество для заказа = 4" sqref="M3214">
      <formula1>4</formula1>
      <formula2>205</formula2>
    </dataValidation>
    <dataValidation type="decimal" allowBlank="1" showErrorMessage="1" errorTitle="Неверно указано Количество" error="минимальное количество для заказа = 4" sqref="M3219">
      <formula1>4</formula1>
      <formula2>224</formula2>
    </dataValidation>
    <dataValidation type="decimal" allowBlank="1" showErrorMessage="1" errorTitle="Неверно указано Количество" error="минимальное количество для заказа = 4" sqref="M3221">
      <formula1>4</formula1>
      <formula2>7</formula2>
    </dataValidation>
    <dataValidation type="decimal" allowBlank="1" showErrorMessage="1" errorTitle="Неверно указано Количество" error="минимальное количество для заказа = 4" sqref="M3223">
      <formula1>4</formula1>
      <formula2>328</formula2>
    </dataValidation>
    <dataValidation type="decimal" allowBlank="1" showErrorMessage="1" errorTitle="Неверно указано Количество" error="минимальное количество для заказа = 4" sqref="M3225">
      <formula1>4</formula1>
      <formula2>392</formula2>
    </dataValidation>
    <dataValidation type="decimal" allowBlank="1" showErrorMessage="1" errorTitle="Неверно указано Количество" error="минимальное количество для заказа = 4" sqref="M3227">
      <formula1>4</formula1>
      <formula2>251</formula2>
    </dataValidation>
    <dataValidation type="decimal" allowBlank="1" showErrorMessage="1" errorTitle="Неверно указано Количество" error="минимальное количество для заказа = 4" sqref="M3237">
      <formula1>4</formula1>
      <formula2>326</formula2>
    </dataValidation>
    <dataValidation type="decimal" allowBlank="1" showErrorMessage="1" errorTitle="Неверно указано Количество" error="минимальное количество для заказа = 4" sqref="M3239">
      <formula1>4</formula1>
      <formula2>404</formula2>
    </dataValidation>
    <dataValidation type="decimal" allowBlank="1" showErrorMessage="1" errorTitle="Неверно указано Количество" error="минимальное количество для заказа = 3" sqref="M3249">
      <formula1>3</formula1>
      <formula2>427</formula2>
    </dataValidation>
    <dataValidation type="decimal" allowBlank="1" showErrorMessage="1" errorTitle="Неверно указано Количество" error="минимальное количество для заказа = 7" sqref="M3258">
      <formula1>7</formula1>
      <formula2>201</formula2>
    </dataValidation>
    <dataValidation type="decimal" allowBlank="1" showErrorMessage="1" errorTitle="Неверно указано Количество" error="минимальное количество для заказа = 1" sqref="M3277">
      <formula1>1</formula1>
      <formula2>36</formula2>
    </dataValidation>
    <dataValidation type="decimal" allowBlank="1" showErrorMessage="1" errorTitle="Неверно указано Количество" error="минимальное количество для заказа = 1" sqref="M3282">
      <formula1>1</formula1>
      <formula2>113</formula2>
    </dataValidation>
    <dataValidation type="decimal" allowBlank="1" showErrorMessage="1" errorTitle="Неверно указано Количество" error="минимальное количество для заказа = 5" sqref="M3286">
      <formula1>5</formula1>
      <formula2>144</formula2>
    </dataValidation>
    <dataValidation type="decimal" allowBlank="1" showErrorMessage="1" errorTitle="Неверно указано Количество" error="минимальное количество для заказа = 5" sqref="M3287">
      <formula1>5</formula1>
      <formula2>20</formula2>
    </dataValidation>
    <dataValidation type="decimal" allowBlank="1" showErrorMessage="1" errorTitle="Неверно указано Количество" error="минимальное количество для заказа = 5" sqref="M3288">
      <formula1>5</formula1>
      <formula2>96</formula2>
    </dataValidation>
    <dataValidation type="decimal" allowBlank="1" showErrorMessage="1" errorTitle="Неверно указано Количество" error="минимальное количество для заказа = 5" sqref="M3292">
      <formula1>5</formula1>
      <formula2>59</formula2>
    </dataValidation>
    <dataValidation type="decimal" allowBlank="1" showErrorMessage="1" errorTitle="Неверно указано Количество" error="минимальное количество для заказа = 4" sqref="M3298">
      <formula1>4</formula1>
      <formula2>210</formula2>
    </dataValidation>
    <dataValidation type="decimal" allowBlank="1" showErrorMessage="1" errorTitle="Неверно указано Количество" error="минимальное количество для заказа = 5" sqref="M3300">
      <formula1>5</formula1>
      <formula2>86</formula2>
    </dataValidation>
    <dataValidation type="decimal" allowBlank="1" showErrorMessage="1" errorTitle="Неверно указано Количество" error="минимальное количество для заказа = 5" sqref="M3302">
      <formula1>5</formula1>
      <formula2>61</formula2>
    </dataValidation>
    <dataValidation type="decimal" allowBlank="1" showErrorMessage="1" errorTitle="Неверно указано Количество" error="минимальное количество для заказа = 4" sqref="M3316">
      <formula1>4</formula1>
      <formula2>291</formula2>
    </dataValidation>
    <dataValidation type="decimal" allowBlank="1" showErrorMessage="1" errorTitle="Неверно указано Количество" error="минимальное количество для заказа = 3" sqref="M3331">
      <formula1>3</formula1>
      <formula2>77</formula2>
    </dataValidation>
    <dataValidation type="decimal" allowBlank="1" showErrorMessage="1" errorTitle="Неверно указано Количество" error="минимальное количество для заказа = 6" sqref="M3342">
      <formula1>6</formula1>
      <formula2>358</formula2>
    </dataValidation>
    <dataValidation type="decimal" allowBlank="1" showErrorMessage="1" errorTitle="Неверно указано Количество" error="минимальное количество для заказа = 6" sqref="M3343">
      <formula1>6</formula1>
      <formula2>7</formula2>
    </dataValidation>
    <dataValidation type="decimal" allowBlank="1" showErrorMessage="1" errorTitle="Неверно указано Количество" error="минимальное количество для заказа = 250" sqref="M3750">
      <formula1>250</formula1>
      <formula2>15035</formula2>
    </dataValidation>
    <dataValidation type="decimal" allowBlank="1" showErrorMessage="1" errorTitle="Неверно указано Количество" error="минимальное количество для заказа = 6" sqref="M3344">
      <formula1>6</formula1>
      <formula2>347</formula2>
    </dataValidation>
    <dataValidation type="decimal" allowBlank="1" showErrorMessage="1" errorTitle="Неверно указано Количество" error="минимальное количество для заказа = 6" sqref="M3346">
      <formula1>6</formula1>
      <formula2>351</formula2>
    </dataValidation>
    <dataValidation type="decimal" allowBlank="1" showErrorMessage="1" errorTitle="Неверно указано Количество" error="минимальное количество для заказа = 20" sqref="M3356">
      <formula1>20</formula1>
      <formula2>507</formula2>
    </dataValidation>
    <dataValidation type="decimal" allowBlank="1" showErrorMessage="1" errorTitle="Неверно указано Количество" error="минимальное количество для заказа = 1" sqref="M3363">
      <formula1>1</formula1>
      <formula2>99</formula2>
    </dataValidation>
    <dataValidation type="decimal" allowBlank="1" showErrorMessage="1" errorTitle="Неверно указано Количество" error="минимальное количество для заказа = 80" sqref="M3369 M4423">
      <formula1>80</formula1>
      <formula2>210</formula2>
    </dataValidation>
    <dataValidation type="decimal" operator="greaterThanOrEqual" allowBlank="1" showErrorMessage="1" errorTitle="Нельзя заказать меньше чем :" error="минимальное количество для заказа = 96" sqref="M3370">
      <formula1>96</formula1>
    </dataValidation>
    <dataValidation type="decimal" allowBlank="1" showErrorMessage="1" errorTitle="Неверно указано Количество" error="минимальное количество для заказа = 64" sqref="M3374">
      <formula1>64</formula1>
      <formula2>576</formula2>
    </dataValidation>
    <dataValidation type="decimal" allowBlank="1" showErrorMessage="1" errorTitle="Неверно указано Количество" error="минимальное количество для заказа = 64" sqref="M3376">
      <formula1>64</formula1>
      <formula2>150</formula2>
    </dataValidation>
    <dataValidation type="decimal" allowBlank="1" showErrorMessage="1" errorTitle="Неверно указано Количество" error="минимальное количество для заказа = 64" sqref="M3377">
      <formula1>64</formula1>
      <formula2>460</formula2>
    </dataValidation>
    <dataValidation type="decimal" allowBlank="1" showErrorMessage="1" errorTitle="Неверно указано Количество" error="минимальное количество для заказа = 64" sqref="M3379">
      <formula1>64</formula1>
      <formula2>224</formula2>
    </dataValidation>
    <dataValidation type="decimal" allowBlank="1" showErrorMessage="1" errorTitle="Неверно указано Количество" error="минимальное количество для заказа = 64" sqref="M3380">
      <formula1>64</formula1>
      <formula2>82</formula2>
    </dataValidation>
    <dataValidation type="decimal" allowBlank="1" showErrorMessage="1" errorTitle="Неверно указано Количество" error="минимальное количество для заказа = 64" sqref="M3381">
      <formula1>64</formula1>
      <formula2>1520</formula2>
    </dataValidation>
    <dataValidation type="decimal" allowBlank="1" showErrorMessage="1" errorTitle="Неверно указано Количество" error="минимальное количество для заказа = 50" sqref="M3384">
      <formula1>50</formula1>
      <formula2>1000</formula2>
    </dataValidation>
    <dataValidation type="decimal" allowBlank="1" showErrorMessage="1" errorTitle="Неверно указано Количество" error="минимальное количество для заказа = 50" sqref="M3385">
      <formula1>50</formula1>
      <formula2>200</formula2>
    </dataValidation>
    <dataValidation type="decimal" allowBlank="1" showErrorMessage="1" errorTitle="Неверно указано Количество" error="минимальное количество для заказа = 50" sqref="M3386">
      <formula1>50</formula1>
      <formula2>450</formula2>
    </dataValidation>
    <dataValidation type="decimal" allowBlank="1" showErrorMessage="1" errorTitle="Неверно указано Количество" error="минимальное количество для заказа = 30" sqref="M3391">
      <formula1>30</formula1>
      <formula2>1044</formula2>
    </dataValidation>
    <dataValidation type="decimal" allowBlank="1" showErrorMessage="1" errorTitle="Неверно указано Количество" error="минимальное количество для заказа = 30" sqref="M3392">
      <formula1>30</formula1>
      <formula2>241</formula2>
    </dataValidation>
    <dataValidation type="decimal" allowBlank="1" showErrorMessage="1" errorTitle="Неверно указано Количество" error="минимальное количество для заказа = 100" sqref="M4222">
      <formula1>100</formula1>
      <formula2>690</formula2>
    </dataValidation>
    <dataValidation type="decimal" allowBlank="1" showErrorMessage="1" errorTitle="Неверно указано Количество" error="минимальное количество для заказа = 30" sqref="M3393">
      <formula1>30</formula1>
      <formula2>735</formula2>
    </dataValidation>
    <dataValidation type="decimal" allowBlank="1" showErrorMessage="1" errorTitle="Неверно указано Количество" error="минимальное количество для заказа = 250" sqref="M3731">
      <formula1>250</formula1>
      <formula2>3910</formula2>
    </dataValidation>
    <dataValidation type="decimal" allowBlank="1" showErrorMessage="1" errorTitle="Неверно указано Количество" error="минимальное количество для заказа = 50" sqref="M3396">
      <formula1>50</formula1>
      <formula2>251</formula2>
    </dataValidation>
    <dataValidation type="decimal" allowBlank="1" showErrorMessage="1" errorTitle="Неверно указано Количество" error="минимальное количество для заказа = 64" sqref="M3402">
      <formula1>64</formula1>
      <formula2>606</formula2>
    </dataValidation>
    <dataValidation type="decimal" allowBlank="1" showErrorMessage="1" errorTitle="Неверно указано Количество" error="минимальное количество для заказа = 80" sqref="M3407">
      <formula1>80</formula1>
      <formula2>3140</formula2>
    </dataValidation>
    <dataValidation type="decimal" allowBlank="1" showErrorMessage="1" errorTitle="Неверно указано Количество" error="минимальное количество для заказа = 240" sqref="M3806">
      <formula1>240</formula1>
      <formula2>3820</formula2>
    </dataValidation>
    <dataValidation type="decimal" allowBlank="1" showErrorMessage="1" errorTitle="Неверно указано Количество" error="минимальное количество для заказа = 80" sqref="M3408">
      <formula1>80</formula1>
      <formula2>418</formula2>
    </dataValidation>
    <dataValidation type="decimal" allowBlank="1" showErrorMessage="1" errorTitle="Неверно указано Количество" error="минимальное количество для заказа = 20" sqref="M3409">
      <formula1>20</formula1>
      <formula2>2340</formula2>
    </dataValidation>
    <dataValidation type="decimal" allowBlank="1" showErrorMessage="1" errorTitle="Неверно указано Количество" error="минимальное количество для заказа = 80" sqref="M3410">
      <formula1>80</formula1>
      <formula2>9229</formula2>
    </dataValidation>
    <dataValidation type="decimal" allowBlank="1" showErrorMessage="1" errorTitle="Неверно указано Количество" error="минимальное количество для заказа = 80" sqref="M3411">
      <formula1>80</formula1>
      <formula2>7120</formula2>
    </dataValidation>
    <dataValidation type="decimal" allowBlank="1" showErrorMessage="1" errorTitle="Неверно указано Количество" error="минимальное количество для заказа = 80" sqref="M3413">
      <formula1>80</formula1>
      <formula2>1050</formula2>
    </dataValidation>
    <dataValidation type="decimal" allowBlank="1" showErrorMessage="1" errorTitle="Неверно указано Количество" error="минимальное количество для заказа = 80" sqref="M4357">
      <formula1>80</formula1>
      <formula2>2560</formula2>
    </dataValidation>
    <dataValidation type="decimal" allowBlank="1" showErrorMessage="1" errorTitle="Неверно указано Количество" error="минимальное количество для заказа = 80" sqref="M3414">
      <formula1>80</formula1>
      <formula2>1106</formula2>
    </dataValidation>
    <dataValidation type="decimal" allowBlank="1" showErrorMessage="1" errorTitle="Неверно указано Количество" error="минимальное количество для заказа = 80" sqref="M3416">
      <formula1>80</formula1>
      <formula2>4068</formula2>
    </dataValidation>
    <dataValidation type="decimal" allowBlank="1" showErrorMessage="1" errorTitle="Неверно указано Количество" error="минимальное количество для заказа = 80" sqref="M3417">
      <formula1>80</formula1>
      <formula2>3556</formula2>
    </dataValidation>
    <dataValidation type="decimal" allowBlank="1" showErrorMessage="1" errorTitle="Неверно указано Количество" error="минимальное количество для заказа = 80" sqref="M3422">
      <formula1>80</formula1>
      <formula2>3517</formula2>
    </dataValidation>
    <dataValidation type="decimal" allowBlank="1" showErrorMessage="1" errorTitle="Неверно указано Количество" error="минимальное количество для заказа = 80" sqref="M3423">
      <formula1>80</formula1>
      <formula2>1710</formula2>
    </dataValidation>
    <dataValidation type="decimal" allowBlank="1" showErrorMessage="1" errorTitle="Неверно указано Количество" error="минимальное количество для заказа = 80" sqref="M3424">
      <formula1>80</formula1>
      <formula2>5418</formula2>
    </dataValidation>
    <dataValidation type="decimal" allowBlank="1" showErrorMessage="1" errorTitle="Неверно указано Количество" error="минимальное количество для заказа = 80" sqref="M3425">
      <formula1>80</formula1>
      <formula2>1873</formula2>
    </dataValidation>
    <dataValidation type="decimal" allowBlank="1" showErrorMessage="1" errorTitle="Неверно указано Количество" error="минимальное количество для заказа = 48" sqref="M3428">
      <formula1>48</formula1>
      <formula2>5455</formula2>
    </dataValidation>
    <dataValidation type="decimal" allowBlank="1" showErrorMessage="1" errorTitle="Неверно указано Количество" error="минимальное количество для заказа = 48" sqref="M3432">
      <formula1>48</formula1>
      <formula2>1938</formula2>
    </dataValidation>
    <dataValidation type="decimal" allowBlank="1" showErrorMessage="1" errorTitle="Неверно указано Количество" error="минимальное количество для заказа = 48" sqref="M3433">
      <formula1>48</formula1>
      <formula2>482</formula2>
    </dataValidation>
    <dataValidation type="decimal" allowBlank="1" showErrorMessage="1" errorTitle="Неверно указано Количество" error="минимальное количество для заказа = 50" sqref="M4284">
      <formula1>50</formula1>
      <formula2>6910</formula2>
    </dataValidation>
    <dataValidation type="decimal" allowBlank="1" showErrorMessage="1" errorTitle="Неверно указано Количество" error="минимальное количество для заказа = 48" sqref="M3436">
      <formula1>48</formula1>
      <formula2>84</formula2>
    </dataValidation>
    <dataValidation type="decimal" allowBlank="1" showErrorMessage="1" errorTitle="Неверно указано Количество" error="минимальное количество для заказа = 12" sqref="M3437">
      <formula1>12</formula1>
      <formula2>4800</formula2>
    </dataValidation>
    <dataValidation type="decimal" allowBlank="1" showErrorMessage="1" errorTitle="Неверно указано Количество" error="минимальное количество для заказа = 48" sqref="M3438">
      <formula1>48</formula1>
      <formula2>412</formula2>
    </dataValidation>
    <dataValidation type="decimal" allowBlank="1" showErrorMessage="1" errorTitle="Неверно указано Количество" error="минимальное количество для заказа = 100" sqref="M4139">
      <formula1>100</formula1>
      <formula2>1805</formula2>
    </dataValidation>
    <dataValidation type="decimal" allowBlank="1" showErrorMessage="1" errorTitle="Неверно указано Количество" error="минимальное количество для заказа = 48" sqref="M3439">
      <formula1>48</formula1>
      <formula2>1608</formula2>
    </dataValidation>
    <dataValidation type="decimal" allowBlank="1" showErrorMessage="1" errorTitle="Неверно указано Количество" error="минимальное количество для заказа = 8" sqref="M3441">
      <formula1>8</formula1>
      <formula2>1266</formula2>
    </dataValidation>
    <dataValidation type="decimal" allowBlank="1" showErrorMessage="1" errorTitle="Неверно указано Количество" error="минимальное количество для заказа = 8" sqref="M3442">
      <formula1>8</formula1>
      <formula2>594</formula2>
    </dataValidation>
    <dataValidation type="decimal" allowBlank="1" showErrorMessage="1" errorTitle="Неверно указано Количество" error="минимальное количество для заказа = 48" sqref="M3443">
      <formula1>48</formula1>
      <formula2>2051</formula2>
    </dataValidation>
    <dataValidation type="decimal" allowBlank="1" showErrorMessage="1" errorTitle="Неверно указано Количество" error="минимальное количество для заказа = 8" sqref="M3446">
      <formula1>8</formula1>
      <formula2>28</formula2>
    </dataValidation>
    <dataValidation type="decimal" operator="greaterThanOrEqual" allowBlank="1" showErrorMessage="1" errorTitle="Нельзя заказать меньше чем :" error="минимальное количество для заказа = 32" sqref="M3456">
      <formula1>32</formula1>
    </dataValidation>
    <dataValidation type="decimal" allowBlank="1" showErrorMessage="1" errorTitle="Неверно указано Количество" error="минимальное количество для заказа = 30" sqref="M3461">
      <formula1>30</formula1>
      <formula2>87</formula2>
    </dataValidation>
    <dataValidation type="decimal" allowBlank="1" showErrorMessage="1" errorTitle="Неверно указано Количество" error="минимальное количество для заказа = 30" sqref="M3462">
      <formula1>30</formula1>
      <formula2>1542</formula2>
    </dataValidation>
    <dataValidation type="decimal" allowBlank="1" showErrorMessage="1" errorTitle="Неверно указано Количество" error="минимальное количество для заказа = 32" sqref="M3465">
      <formula1>32</formula1>
      <formula2>1139</formula2>
    </dataValidation>
    <dataValidation type="decimal" allowBlank="1" showErrorMessage="1" errorTitle="Неверно указано Количество" error="минимальное количество для заказа = 32" sqref="M3468">
      <formula1>32</formula1>
      <formula2>1448</formula2>
    </dataValidation>
    <dataValidation type="decimal" allowBlank="1" showErrorMessage="1" errorTitle="Неверно указано Количество" error="минимальное количество для заказа = 32" sqref="M3473">
      <formula1>32</formula1>
      <formula2>736</formula2>
    </dataValidation>
    <dataValidation type="decimal" allowBlank="1" showErrorMessage="1" errorTitle="Неверно указано Количество" error="минимальное количество для заказа = 6" sqref="M3475">
      <formula1>6</formula1>
      <formula2>434</formula2>
    </dataValidation>
    <dataValidation type="decimal" allowBlank="1" showErrorMessage="1" errorTitle="Неверно указано Количество" error="минимальное количество для заказа = 30" sqref="M3476">
      <formula1>30</formula1>
      <formula2>1048</formula2>
    </dataValidation>
    <dataValidation type="decimal" allowBlank="1" showErrorMessage="1" errorTitle="Неверно указано Количество" error="минимальное количество для заказа = 100" sqref="M4143">
      <formula1>100</formula1>
      <formula2>4140</formula2>
    </dataValidation>
    <dataValidation type="decimal" allowBlank="1" showErrorMessage="1" errorTitle="Неверно указано Количество" error="минимальное количество для заказа = 40" sqref="M3479">
      <formula1>40</formula1>
      <formula2>288</formula2>
    </dataValidation>
    <dataValidation type="decimal" allowBlank="1" showErrorMessage="1" errorTitle="Неверно указано Количество" error="минимальное количество для заказа = 80" sqref="M3491">
      <formula1>80</formula1>
      <formula2>15380</formula2>
    </dataValidation>
    <dataValidation type="decimal" allowBlank="1" showErrorMessage="1" errorTitle="Неверно указано Количество" error="минимальное количество для заказа = 100" sqref="M4120">
      <formula1>100</formula1>
      <formula2>1560</formula2>
    </dataValidation>
    <dataValidation type="decimal" allowBlank="1" showErrorMessage="1" errorTitle="Неверно указано Количество" error="минимальное количество для заказа = 80" sqref="M3492">
      <formula1>80</formula1>
      <formula2>1031</formula2>
    </dataValidation>
    <dataValidation type="decimal" allowBlank="1" showErrorMessage="1" errorTitle="Неверно указано Количество" error="минимальное количество для заказа = 80" sqref="M3495">
      <formula1>80</formula1>
      <formula2>4474</formula2>
    </dataValidation>
    <dataValidation type="decimal" allowBlank="1" showErrorMessage="1" errorTitle="Неверно указано Количество" error="минимальное количество для заказа = 80" sqref="M3497">
      <formula1>80</formula1>
      <formula2>3662</formula2>
    </dataValidation>
    <dataValidation type="decimal" allowBlank="1" showErrorMessage="1" errorTitle="Неверно указано Количество" error="минимальное количество для заказа = 160" sqref="M3976">
      <formula1>160</formula1>
      <formula2>3122</formula2>
    </dataValidation>
    <dataValidation type="decimal" allowBlank="1" showErrorMessage="1" errorTitle="Неверно указано Количество" error="минимальное количество для заказа = 80" sqref="M3498">
      <formula1>80</formula1>
      <formula2>4514</formula2>
    </dataValidation>
    <dataValidation type="decimal" allowBlank="1" showErrorMessage="1" errorTitle="Неверно указано Количество" error="минимальное количество для заказа = 80" sqref="M3499">
      <formula1>80</formula1>
      <formula2>4066</formula2>
    </dataValidation>
    <dataValidation type="decimal" allowBlank="1" showErrorMessage="1" errorTitle="Неверно указано Количество" error="минимальное количество для заказа = 48" sqref="M3501">
      <formula1>48</formula1>
      <formula2>9758</formula2>
    </dataValidation>
    <dataValidation type="decimal" allowBlank="1" showErrorMessage="1" errorTitle="Неверно указано Количество" error="минимальное количество для заказа = 80" sqref="M4379">
      <formula1>80</formula1>
      <formula2>2510</formula2>
    </dataValidation>
    <dataValidation type="decimal" allowBlank="1" showErrorMessage="1" errorTitle="Неверно указано Количество" error="минимальное количество для заказа = 100" sqref="M4180">
      <formula1>100</formula1>
      <formula2>5750</formula2>
    </dataValidation>
    <dataValidation type="decimal" allowBlank="1" showErrorMessage="1" errorTitle="Неверно указано Количество" error="минимальное количество для заказа = 48" sqref="M3502">
      <formula1>48</formula1>
      <formula2>335</formula2>
    </dataValidation>
    <dataValidation type="decimal" operator="equal" allowBlank="1" showErrorMessage="1" errorTitle="Не нужно менять минимальное количество для заказа:" error="минимальное количество для заказа = 56" sqref="K3518 K4234:K4236 K4238:K4240">
      <formula1>56</formula1>
    </dataValidation>
    <dataValidation type="decimal" allowBlank="1" showErrorMessage="1" errorTitle="Неверно указано Количество" error="минимальное количество для заказа = 56" sqref="M3518">
      <formula1>56</formula1>
      <formula2>56</formula2>
    </dataValidation>
    <dataValidation type="decimal" allowBlank="1" showErrorMessage="1" errorTitle="Неверно указано Количество" error="минимальное количество для заказа = 48" sqref="M3531">
      <formula1>48</formula1>
      <formula2>90</formula2>
    </dataValidation>
    <dataValidation type="decimal" allowBlank="1" showErrorMessage="1" errorTitle="Неверно указано Количество" error="минимальное количество для заказа = 48" sqref="M3532">
      <formula1>48</formula1>
      <formula2>6475</formula2>
    </dataValidation>
    <dataValidation type="decimal" allowBlank="1" showErrorMessage="1" errorTitle="Неверно указано Количество" error="минимальное количество для заказа = 48" sqref="M3534">
      <formula1>48</formula1>
      <formula2>4109</formula2>
    </dataValidation>
    <dataValidation type="decimal" allowBlank="1" showErrorMessage="1" errorTitle="Неверно указано Количество" error="минимальное количество для заказа = 48" sqref="M3536">
      <formula1>48</formula1>
      <formula2>711</formula2>
    </dataValidation>
    <dataValidation type="decimal" allowBlank="1" showErrorMessage="1" errorTitle="Неверно указано Количество" error="минимальное количество для заказа = 48" sqref="M3538">
      <formula1>48</formula1>
      <formula2>1059</formula2>
    </dataValidation>
    <dataValidation type="decimal" allowBlank="1" showErrorMessage="1" errorTitle="Неверно указано Количество" error="минимальное количество для заказа = 48" sqref="M3539">
      <formula1>48</formula1>
      <formula2>5346</formula2>
    </dataValidation>
    <dataValidation type="decimal" allowBlank="1" showErrorMessage="1" errorTitle="Неверно указано Количество" error="минимальное количество для заказа = 48" sqref="M3540">
      <formula1>48</formula1>
      <formula2>1224</formula2>
    </dataValidation>
    <dataValidation type="decimal" allowBlank="1" showErrorMessage="1" errorTitle="Неверно указано Количество" error="минимальное количество для заказа = 8" sqref="M3543">
      <formula1>8</formula1>
      <formula2>752</formula2>
    </dataValidation>
    <dataValidation type="decimal" allowBlank="1" showErrorMessage="1" errorTitle="Неверно указано Количество" error="минимальное количество для заказа = 40" sqref="M3545">
      <formula1>40</formula1>
      <formula2>4949</formula2>
    </dataValidation>
    <dataValidation type="decimal" allowBlank="1" showErrorMessage="1" errorTitle="Неверно указано Количество" error="минимальное количество для заказа = 48" sqref="M3550">
      <formula1>48</formula1>
      <formula2>10159</formula2>
    </dataValidation>
    <dataValidation type="decimal" allowBlank="1" showErrorMessage="1" errorTitle="Неверно указано Количество" error="минимальное количество для заказа = 240" sqref="M3706">
      <formula1>240</formula1>
      <formula2>13825</formula2>
    </dataValidation>
    <dataValidation type="decimal" allowBlank="1" showErrorMessage="1" errorTitle="Неверно указано Количество" error="минимальное количество для заказа = 48" sqref="M3551">
      <formula1>48</formula1>
      <formula2>7899</formula2>
    </dataValidation>
    <dataValidation type="decimal" allowBlank="1" showErrorMessage="1" errorTitle="Неверно указано Количество" error="минимальное количество для заказа = 80" sqref="M4472">
      <formula1>80</formula1>
      <formula2>1370</formula2>
    </dataValidation>
    <dataValidation type="decimal" allowBlank="1" showErrorMessage="1" errorTitle="Неверно указано Количество" error="минимальное количество для заказа = 1" sqref="M3554">
      <formula1>1</formula1>
      <formula2>574</formula2>
    </dataValidation>
    <dataValidation type="decimal" allowBlank="1" showErrorMessage="1" errorTitle="Неверно указано Количество" error="минимальное количество для заказа = 1" sqref="M3556">
      <formula1>1</formula1>
      <formula2>383</formula2>
    </dataValidation>
    <dataValidation type="decimal" allowBlank="1" showErrorMessage="1" errorTitle="Неверно указано Количество" error="минимальное количество для заказа = 2" sqref="M3559">
      <formula1>2</formula1>
      <formula2>306</formula2>
    </dataValidation>
    <dataValidation type="decimal" allowBlank="1" showErrorMessage="1" errorTitle="Неверно указано Количество" error="минимальное количество для заказа = 4" sqref="M3563">
      <formula1>4</formula1>
      <formula2>591</formula2>
    </dataValidation>
    <dataValidation type="decimal" allowBlank="1" showErrorMessage="1" errorTitle="Неверно указано Количество" error="минимальное количество для заказа = 4" sqref="M3576">
      <formula1>4</formula1>
      <formula2>578</formula2>
    </dataValidation>
    <dataValidation type="decimal" allowBlank="1" showErrorMessage="1" errorTitle="Неверно указано Количество" error="минимальное количество для заказа = 80" sqref="M4398">
      <formula1>80</formula1>
      <formula2>3637</formula2>
    </dataValidation>
    <dataValidation type="decimal" allowBlank="1" showErrorMessage="1" errorTitle="Неверно указано Количество" error="минимальное количество для заказа = 4" sqref="M3581">
      <formula1>4</formula1>
      <formula2>422</formula2>
    </dataValidation>
    <dataValidation type="decimal" allowBlank="1" showErrorMessage="1" errorTitle="Неверно указано Количество" error="минимальное количество для заказа = 4" sqref="M3584">
      <formula1>4</formula1>
      <formula2>561</formula2>
    </dataValidation>
    <dataValidation type="decimal" allowBlank="1" showErrorMessage="1" errorTitle="Неверно указано Количество" error="минимальное количество для заказа = 140" sqref="M4011">
      <formula1>140</formula1>
      <formula2>2538</formula2>
    </dataValidation>
    <dataValidation type="decimal" allowBlank="1" showErrorMessage="1" errorTitle="Неверно указано Количество" error="минимальное количество для заказа = 3" sqref="M3593">
      <formula1>3</formula1>
      <formula2>247</formula2>
    </dataValidation>
    <dataValidation type="decimal" allowBlank="1" showErrorMessage="1" errorTitle="Неверно указано Количество" error="минимальное количество для заказа = 3" sqref="M3595">
      <formula1>3</formula1>
      <formula2>660</formula2>
    </dataValidation>
    <dataValidation type="decimal" allowBlank="1" showErrorMessage="1" errorTitle="Неверно указано Количество" error="минимальное количество для заказа = 3" sqref="M3596">
      <formula1>3</formula1>
      <formula2>141</formula2>
    </dataValidation>
    <dataValidation type="decimal" allowBlank="1" showErrorMessage="1" errorTitle="Неверно указано Количество" error="минимальное количество для заказа = 3" sqref="M3601">
      <formula1>3</formula1>
      <formula2>806</formula2>
    </dataValidation>
    <dataValidation type="decimal" allowBlank="1" showErrorMessage="1" errorTitle="Неверно указано Количество" error="минимальное количество для заказа = 3" sqref="M3605">
      <formula1>3</formula1>
      <formula2>70</formula2>
    </dataValidation>
    <dataValidation type="decimal" allowBlank="1" showErrorMessage="1" errorTitle="Неверно указано Количество" error="минимальное количество для заказа = 80" sqref="M4405">
      <formula1>80</formula1>
      <formula2>3109</formula2>
    </dataValidation>
    <dataValidation type="decimal" allowBlank="1" showErrorMessage="1" errorTitle="Неверно указано Количество" error="минимальное количество для заказа = 3" sqref="M3610">
      <formula1>3</formula1>
      <formula2>980</formula2>
    </dataValidation>
    <dataValidation type="decimal" allowBlank="1" showErrorMessage="1" errorTitle="Неверно указано Количество" error="минимальное количество для заказа = 3" sqref="M3611">
      <formula1>3</formula1>
      <formula2>47</formula2>
    </dataValidation>
    <dataValidation type="decimal" allowBlank="1" showErrorMessage="1" errorTitle="Неверно указано Количество" error="минимальное количество для заказа = 3" sqref="M3612">
      <formula1>3</formula1>
      <formula2>110</formula2>
    </dataValidation>
    <dataValidation type="decimal" allowBlank="1" showErrorMessage="1" errorTitle="Неверно указано Количество" error="минимальное количество для заказа = 40" sqref="M3619">
      <formula1>40</formula1>
      <formula2>395</formula2>
    </dataValidation>
    <dataValidation type="decimal" allowBlank="1" showErrorMessage="1" errorTitle="Неверно указано Количество" error="минимальное количество для заказа = 30" sqref="M3624 M3630">
      <formula1>30</formula1>
      <formula2>215</formula2>
    </dataValidation>
    <dataValidation type="decimal" allowBlank="1" showErrorMessage="1" errorTitle="Неверно указано Количество" error="минимальное количество для заказа = 30" sqref="M3627">
      <formula1>30</formula1>
      <formula2>645</formula2>
    </dataValidation>
    <dataValidation type="decimal" allowBlank="1" showErrorMessage="1" errorTitle="Неверно указано Количество" error="минимальное количество для заказа = 30" sqref="M3631">
      <formula1>30</formula1>
      <formula2>1150</formula2>
    </dataValidation>
    <dataValidation type="decimal" allowBlank="1" showErrorMessage="1" errorTitle="Неверно указано Количество" error="минимальное количество для заказа = 30" sqref="M3638">
      <formula1>30</formula1>
      <formula2>290</formula2>
    </dataValidation>
    <dataValidation type="decimal" allowBlank="1" showErrorMessage="1" errorTitle="Неверно указано Количество" error="минимальное количество для заказа = 30" sqref="M3642">
      <formula1>30</formula1>
      <formula2>875</formula2>
    </dataValidation>
    <dataValidation type="decimal" allowBlank="1" showErrorMessage="1" errorTitle="Неверно указано Количество" error="минимальное количество для заказа = 30" sqref="M3647">
      <formula1>30</formula1>
      <formula2>1404</formula2>
    </dataValidation>
    <dataValidation type="decimal" allowBlank="1" showErrorMessage="1" errorTitle="Неверно указано Количество" error="минимальное количество для заказа = 30" sqref="M3650">
      <formula1>30</formula1>
      <formula2>930</formula2>
    </dataValidation>
    <dataValidation type="decimal" allowBlank="1" showErrorMessage="1" errorTitle="Неверно указано Количество" error="минимальное количество для заказа = 30" sqref="M3651">
      <formula1>30</formula1>
      <formula2>580</formula2>
    </dataValidation>
    <dataValidation type="decimal" allowBlank="1" showErrorMessage="1" errorTitle="Неверно указано Количество" error="минимальное количество для заказа = 30" sqref="M3657">
      <formula1>30</formula1>
      <formula2>54</formula2>
    </dataValidation>
    <dataValidation type="decimal" allowBlank="1" showErrorMessage="1" errorTitle="Неверно указано Количество" error="минимальное количество для заказа = 30" sqref="M3660">
      <formula1>30</formula1>
      <formula2>2123</formula2>
    </dataValidation>
    <dataValidation type="decimal" operator="equal" allowBlank="1" showErrorMessage="1" errorTitle="Не нужно менять минимальное количество для заказа:" error="минимальное количество для заказа = 160" sqref="K3667 K3953 K3955:K3963 K3966 K3968 K3972 K3976 K3978:K3983 K3986:K3989 K3992:K3995 K3997:K3998 K4030:K4032 K4035:K4039 K4041:K4048">
      <formula1>160</formula1>
    </dataValidation>
    <dataValidation type="decimal" operator="equal" allowBlank="1" showErrorMessage="1" errorTitle="Не нужно менять минимальное количество для заказа:" error="минимальное количество для заказа = 240" sqref="K3671:K3678 K3680:K3683 K3685:K3690 K3695:K3696 K3699:K3700 K3702 K3704 K3706:K3712 K3715:K3717 K3723:K3726 K3745:K3746 K3755:K3759 K3763:K3764 K3766:K3783 K3785:K3789 K3791:K3792 K3796:K3797 K3801:K3802 K3804:K3806 K3809 K3816 K3818:K3825 K3827:K3829 K3831:K3832 K3834 K3845:K3846 K3862:K3866 K3870 K3883:K3884 K3886:K3888 K3890 K3901:K3902 K3904 K3906 K3909 K4557:K4558">
      <formula1>240</formula1>
    </dataValidation>
    <dataValidation type="decimal" operator="greaterThanOrEqual" allowBlank="1" showErrorMessage="1" errorTitle="Нельзя заказать меньше чем :" error="минимальное количество для заказа = 240" sqref="M3671 M3673 M3675:M3676 M3678 M3680 M3683 M3690 M3704 M3763:M3764 M3766 M3768:M3769 M3771 M3778:M3779 M3796:M3797 M3816 M3818:M3819 M3821 M3824:M3825 M3827 M3845">
      <formula1>240</formula1>
    </dataValidation>
    <dataValidation type="decimal" allowBlank="1" showErrorMessage="1" errorTitle="Неверно указано Количество" error="минимальное количество для заказа = 240" sqref="M3672">
      <formula1>240</formula1>
      <formula2>8590</formula2>
    </dataValidation>
    <dataValidation type="decimal" allowBlank="1" showErrorMessage="1" errorTitle="Неверно указано Количество" error="минимальное количество для заказа = 240" sqref="M3674">
      <formula1>240</formula1>
      <formula2>11768</formula2>
    </dataValidation>
    <dataValidation type="decimal" allowBlank="1" showErrorMessage="1" errorTitle="Неверно указано Количество" error="минимальное количество для заказа = 240" sqref="M3682">
      <formula1>240</formula1>
      <formula2>10530</formula2>
    </dataValidation>
    <dataValidation type="decimal" allowBlank="1" showErrorMessage="1" errorTitle="Неверно указано Количество" error="минимальное количество для заказа = 240" sqref="M3685">
      <formula1>240</formula1>
      <formula2>7840</formula2>
    </dataValidation>
    <dataValidation type="decimal" allowBlank="1" showErrorMessage="1" errorTitle="Неверно указано Количество" error="минимальное количество для заказа = 140" sqref="M4062">
      <formula1>140</formula1>
      <formula2>5440</formula2>
    </dataValidation>
    <dataValidation type="decimal" allowBlank="1" showErrorMessage="1" errorTitle="Неверно указано Количество" error="минимальное количество для заказа = 240" sqref="M3686">
      <formula1>240</formula1>
      <formula2>17160</formula2>
    </dataValidation>
    <dataValidation type="decimal" allowBlank="1" showErrorMessage="1" errorTitle="Неверно указано Количество" error="минимальное количество для заказа = 240" sqref="M3687">
      <formula1>240</formula1>
      <formula2>17831</formula2>
    </dataValidation>
    <dataValidation type="decimal" allowBlank="1" showErrorMessage="1" errorTitle="Неверно указано Количество" error="минимальное количество для заказа = 250" sqref="M3861">
      <formula1>250</formula1>
      <formula2>10325</formula2>
    </dataValidation>
    <dataValidation type="decimal" allowBlank="1" showErrorMessage="1" errorTitle="Неверно указано Количество" error="минимальное количество для заказа = 250" sqref="M3693">
      <formula1>250</formula1>
      <formula2>8800</formula2>
    </dataValidation>
    <dataValidation type="decimal" allowBlank="1" showErrorMessage="1" errorTitle="Неверно указано Количество" error="минимальное количество для заказа = 240" sqref="M3805">
      <formula1>240</formula1>
      <formula2>10195</formula2>
    </dataValidation>
    <dataValidation type="decimal" allowBlank="1" showErrorMessage="1" errorTitle="Неверно указано Количество" error="минимальное количество для заказа = 250" sqref="M3694">
      <formula1>250</formula1>
      <formula2>7018</formula2>
    </dataValidation>
    <dataValidation type="decimal" allowBlank="1" showErrorMessage="1" errorTitle="Неверно указано Количество" error="минимальное количество для заказа = 240" sqref="M3695">
      <formula1>240</formula1>
      <formula2>19786</formula2>
    </dataValidation>
    <dataValidation type="decimal" allowBlank="1" showErrorMessage="1" errorTitle="Неверно указано Количество" error="минимальное количество для заказа = 240" sqref="M3696">
      <formula1>240</formula1>
      <formula2>2400</formula2>
    </dataValidation>
    <dataValidation type="decimal" allowBlank="1" showErrorMessage="1" errorTitle="Неверно указано Количество" error="минимальное количество для заказа = 250" sqref="M3698">
      <formula1>250</formula1>
      <formula2>1498</formula2>
    </dataValidation>
    <dataValidation type="decimal" allowBlank="1" showErrorMessage="1" errorTitle="Неверно указано Количество" error="минимальное количество для заказа = 240" sqref="M3700">
      <formula1>240</formula1>
      <formula2>4070</formula2>
    </dataValidation>
    <dataValidation type="decimal" allowBlank="1" showErrorMessage="1" errorTitle="Неверно указано Количество" error="минимальное количество для заказа = 250" sqref="M3701">
      <formula1>250</formula1>
      <formula2>420</formula2>
    </dataValidation>
    <dataValidation type="decimal" allowBlank="1" showErrorMessage="1" errorTitle="Неверно указано Количество" error="минимальное количество для заказа = 240" sqref="M3702">
      <formula1>240</formula1>
      <formula2>19420</formula2>
    </dataValidation>
    <dataValidation type="decimal" allowBlank="1" showErrorMessage="1" errorTitle="Неверно указано Количество" error="минимальное количество для заказа = 140" sqref="M4053">
      <formula1>140</formula1>
      <formula2>2910</formula2>
    </dataValidation>
    <dataValidation type="decimal" allowBlank="1" showErrorMessage="1" errorTitle="Неверно указано Количество" error="минимальное количество для заказа = 250" sqref="M3703">
      <formula1>250</formula1>
      <formula2>3106</formula2>
    </dataValidation>
    <dataValidation type="decimal" allowBlank="1" showErrorMessage="1" errorTitle="Неверно указано Количество" error="минимальное количество для заказа = 100" sqref="M4108">
      <formula1>100</formula1>
      <formula2>4889</formula2>
    </dataValidation>
    <dataValidation type="decimal" allowBlank="1" showErrorMessage="1" errorTitle="Неверно указано Количество" error="минимальное количество для заказа = 240" sqref="M3707">
      <formula1>240</formula1>
      <formula2>5980</formula2>
    </dataValidation>
    <dataValidation type="decimal" allowBlank="1" showErrorMessage="1" errorTitle="Неверно указано Количество" error="минимальное количество для заказа = 140" sqref="M4054">
      <formula1>140</formula1>
      <formula2>1849</formula2>
    </dataValidation>
    <dataValidation type="decimal" allowBlank="1" showErrorMessage="1" errorTitle="Неверно указано Количество" error="минимальное количество для заказа = 240" sqref="M3708">
      <formula1>240</formula1>
      <formula2>9600</formula2>
    </dataValidation>
    <dataValidation type="decimal" allowBlank="1" showErrorMessage="1" errorTitle="Неверно указано Количество" error="минимальное количество для заказа = 240" sqref="M3709">
      <formula1>240</formula1>
      <formula2>4074</formula2>
    </dataValidation>
    <dataValidation type="decimal" allowBlank="1" showErrorMessage="1" errorTitle="Неверно указано Количество" error="минимальное количество для заказа = 240" sqref="M3710">
      <formula1>240</formula1>
      <formula2>5060</formula2>
    </dataValidation>
    <dataValidation type="decimal" allowBlank="1" showErrorMessage="1" errorTitle="Неверно указано Количество" error="минимальное количество для заказа = 240" sqref="M3711">
      <formula1>240</formula1>
      <formula2>5280</formula2>
    </dataValidation>
    <dataValidation type="decimal" allowBlank="1" showErrorMessage="1" errorTitle="Неверно указано Количество" error="минимальное количество для заказа = 80" sqref="M4459">
      <formula1>80</formula1>
      <formula2>4139</formula2>
    </dataValidation>
    <dataValidation type="decimal" allowBlank="1" showErrorMessage="1" errorTitle="Неверно указано Количество" error="минимальное количество для заказа = 240" sqref="M3712">
      <formula1>240</formula1>
      <formula2>5900</formula2>
    </dataValidation>
    <dataValidation type="decimal" allowBlank="1" showErrorMessage="1" errorTitle="Неверно указано Количество" error="минимальное количество для заказа = 250" sqref="M3713">
      <formula1>250</formula1>
      <formula2>9348</formula2>
    </dataValidation>
    <dataValidation type="decimal" allowBlank="1" showErrorMessage="1" errorTitle="Неверно указано Количество" error="минимальное количество для заказа = 100" sqref="M4195">
      <formula1>100</formula1>
      <formula2>2749</formula2>
    </dataValidation>
    <dataValidation type="decimal" allowBlank="1" showErrorMessage="1" errorTitle="Неверно указано Количество" error="минимальное количество для заказа = 240" sqref="M3715">
      <formula1>240</formula1>
      <formula2>8120</formula2>
    </dataValidation>
    <dataValidation type="decimal" allowBlank="1" showErrorMessage="1" errorTitle="Неверно указано Количество" error="минимальное количество для заказа = 240" sqref="M3716">
      <formula1>240</formula1>
      <formula2>751</formula2>
    </dataValidation>
    <dataValidation type="decimal" allowBlank="1" showErrorMessage="1" errorTitle="Неверно указано Количество" error="минимальное количество для заказа = 250" sqref="M3720">
      <formula1>250</formula1>
      <formula2>9915</formula2>
    </dataValidation>
    <dataValidation type="decimal" allowBlank="1" showErrorMessage="1" errorTitle="Неверно указано Количество" error="минимальное количество для заказа = 250" sqref="M3721">
      <formula1>250</formula1>
      <formula2>8135</formula2>
    </dataValidation>
    <dataValidation type="decimal" allowBlank="1" showErrorMessage="1" errorTitle="Неверно указано Количество" error="минимальное количество для заказа = 240" sqref="M3724">
      <formula1>240</formula1>
      <formula2>930</formula2>
    </dataValidation>
    <dataValidation type="decimal" allowBlank="1" showErrorMessage="1" errorTitle="Неверно указано Количество" error="минимальное количество для заказа = 240" sqref="M3725">
      <formula1>240</formula1>
      <formula2>15979</formula2>
    </dataValidation>
    <dataValidation type="decimal" allowBlank="1" showErrorMessage="1" errorTitle="Неверно указано Количество" error="минимальное количество для заказа = 240" sqref="M3726">
      <formula1>240</formula1>
      <formula2>643</formula2>
    </dataValidation>
    <dataValidation type="decimal" allowBlank="1" showErrorMessage="1" errorTitle="Неверно указано Количество" error="минимальное количество для заказа = 250" sqref="M3727">
      <formula1>250</formula1>
      <formula2>14829</formula2>
    </dataValidation>
    <dataValidation type="decimal" allowBlank="1" showErrorMessage="1" errorTitle="Неверно указано Количество" error="минимальное количество для заказа = 140" sqref="M3923">
      <formula1>140</formula1>
      <formula2>14680</formula2>
    </dataValidation>
    <dataValidation type="decimal" allowBlank="1" showErrorMessage="1" errorTitle="Неверно указано Количество" error="минимальное количество для заказа = 250" sqref="M3728">
      <formula1>250</formula1>
      <formula2>16202</formula2>
    </dataValidation>
    <dataValidation type="decimal" allowBlank="1" showErrorMessage="1" errorTitle="Неверно указано Количество" error="минимальное количество для заказа = 240" sqref="M3759 M3866">
      <formula1>240</formula1>
      <formula2>6040</formula2>
    </dataValidation>
    <dataValidation type="decimal" allowBlank="1" showErrorMessage="1" errorTitle="Неверно указано Количество" error="минимальное количество для заказа = 250" sqref="M3730">
      <formula1>250</formula1>
      <formula2>2175</formula2>
    </dataValidation>
    <dataValidation type="decimal" allowBlank="1" showErrorMessage="1" errorTitle="Неверно указано Количество" error="минимальное количество для заказа = 48" sqref="M4253">
      <formula1>48</formula1>
      <formula2>3588</formula2>
    </dataValidation>
    <dataValidation type="decimal" allowBlank="1" showErrorMessage="1" errorTitle="Неверно указано Количество" error="минимальное количество для заказа = 250" sqref="M3733">
      <formula1>250</formula1>
      <formula2>3271</formula2>
    </dataValidation>
    <dataValidation type="decimal" allowBlank="1" showErrorMessage="1" errorTitle="Неверно указано Количество" error="минимальное количество для заказа = 100" sqref="M4157">
      <formula1>100</formula1>
      <formula2>4965</formula2>
    </dataValidation>
    <dataValidation type="decimal" allowBlank="1" showErrorMessage="1" errorTitle="Неверно указано Количество" error="минимальное количество для заказа = 250" sqref="M3736">
      <formula1>250</formula1>
      <formula2>10675</formula2>
    </dataValidation>
    <dataValidation type="decimal" allowBlank="1" showErrorMessage="1" errorTitle="Неверно указано Количество" error="минимальное количество для заказа = 250" sqref="M3738">
      <formula1>250</formula1>
      <formula2>3900</formula2>
    </dataValidation>
    <dataValidation type="decimal" allowBlank="1" showErrorMessage="1" errorTitle="Неверно указано Количество" error="минимальное количество для заказа = 250" sqref="M3739">
      <formula1>250</formula1>
      <formula2>9675</formula2>
    </dataValidation>
    <dataValidation type="decimal" allowBlank="1" showErrorMessage="1" errorTitle="Неверно указано Количество" error="минимальное количество для заказа = 250" sqref="M3740">
      <formula1>250</formula1>
      <formula2>5525</formula2>
    </dataValidation>
    <dataValidation type="decimal" allowBlank="1" showErrorMessage="1" errorTitle="Неверно указано Количество" error="минимальное количество для заказа = 250" sqref="M3741">
      <formula1>250</formula1>
      <formula2>4374</formula2>
    </dataValidation>
    <dataValidation type="decimal" allowBlank="1" showErrorMessage="1" errorTitle="Неверно указано Количество" error="минимальное количество для заказа = 250" sqref="M3743">
      <formula1>250</formula1>
      <formula2>18450</formula2>
    </dataValidation>
    <dataValidation type="decimal" allowBlank="1" showErrorMessage="1" errorTitle="Неверно указано Количество" error="минимальное количество для заказа = 240" sqref="M3745">
      <formula1>240</formula1>
      <formula2>3980</formula2>
    </dataValidation>
    <dataValidation type="decimal" allowBlank="1" showErrorMessage="1" errorTitle="Неверно указано Количество" error="минимальное количество для заказа = 240" sqref="M3746 M3887">
      <formula1>240</formula1>
      <formula2>4800</formula2>
    </dataValidation>
    <dataValidation type="decimal" allowBlank="1" showErrorMessage="1" errorTitle="Неверно указано Количество" error="минимальное количество для заказа = 250" sqref="M3748">
      <formula1>250</formula1>
      <formula2>16685</formula2>
    </dataValidation>
    <dataValidation type="decimal" allowBlank="1" showErrorMessage="1" errorTitle="Неверно указано Количество" error="минимальное количество для заказа = 250" sqref="M3749">
      <formula1>250</formula1>
      <formula2>19700</formula2>
    </dataValidation>
    <dataValidation type="decimal" allowBlank="1" showErrorMessage="1" errorTitle="Неверно указано Количество" error="минимальное количество для заказа = 250" sqref="M3751">
      <formula1>250</formula1>
      <formula2>7766</formula2>
    </dataValidation>
    <dataValidation type="decimal" allowBlank="1" showErrorMessage="1" errorTitle="Неверно указано Количество" error="минимальное количество для заказа = 240" sqref="M3755">
      <formula1>240</formula1>
      <formula2>6815</formula2>
    </dataValidation>
    <dataValidation type="decimal" allowBlank="1" showErrorMessage="1" errorTitle="Неверно указано Количество" error="минимальное количество для заказа = 240" sqref="M3756">
      <formula1>240</formula1>
      <formula2>2620</formula2>
    </dataValidation>
    <dataValidation type="decimal" allowBlank="1" showErrorMessage="1" errorTitle="Неверно указано Количество" error="минимальное количество для заказа = 240" sqref="M3757">
      <formula1>240</formula1>
      <formula2>7000</formula2>
    </dataValidation>
    <dataValidation type="decimal" allowBlank="1" showErrorMessage="1" errorTitle="Неверно указано Количество" error="минимальное количество для заказа = 250" sqref="M3760">
      <formula1>250</formula1>
      <formula2>3370</formula2>
    </dataValidation>
    <dataValidation type="decimal" allowBlank="1" showErrorMessage="1" errorTitle="Неверно указано Количество" error="минимальное количество для заказа = 240" sqref="M3767">
      <formula1>240</formula1>
      <formula2>18335</formula2>
    </dataValidation>
    <dataValidation type="decimal" allowBlank="1" showErrorMessage="1" errorTitle="Неверно указано Количество" error="минимальное количество для заказа = 240" sqref="M3770">
      <formula1>240</formula1>
      <formula2>9673</formula2>
    </dataValidation>
    <dataValidation type="decimal" allowBlank="1" showErrorMessage="1" errorTitle="Неверно указано Количество" error="минимальное количество для заказа = 240" sqref="M3772">
      <formula1>240</formula1>
      <formula2>13199</formula2>
    </dataValidation>
    <dataValidation type="decimal" allowBlank="1" showErrorMessage="1" errorTitle="Неверно указано Количество" error="минимальное количество для заказа = 240" sqref="M3775">
      <formula1>240</formula1>
      <formula2>480</formula2>
    </dataValidation>
    <dataValidation type="decimal" allowBlank="1" showErrorMessage="1" errorTitle="Неверно указано Количество" error="минимальное количество для заказа = 240" sqref="M3776">
      <formula1>240</formula1>
      <formula2>960</formula2>
    </dataValidation>
    <dataValidation type="decimal" allowBlank="1" showErrorMessage="1" errorTitle="Неверно указано Количество" error="минимальное количество для заказа = 240" sqref="M3780">
      <formula1>240</formula1>
      <formula2>1400</formula2>
    </dataValidation>
    <dataValidation type="decimal" allowBlank="1" showErrorMessage="1" errorTitle="Неверно указано Количество" error="минимальное количество для заказа = 240" sqref="M3781">
      <formula1>240</formula1>
      <formula2>6585</formula2>
    </dataValidation>
    <dataValidation type="decimal" allowBlank="1" showErrorMessage="1" errorTitle="Неверно указано Количество" error="минимальное количество для заказа = 240" sqref="M3786">
      <formula1>240</formula1>
      <formula2>15580</formula2>
    </dataValidation>
    <dataValidation type="decimal" allowBlank="1" showErrorMessage="1" errorTitle="Неверно указано Количество" error="минимальное количество для заказа = 240" sqref="M3789">
      <formula1>240</formula1>
      <formula2>5920</formula2>
    </dataValidation>
    <dataValidation type="decimal" allowBlank="1" showErrorMessage="1" errorTitle="Неверно указано Количество" error="минимальное количество для заказа = 240" sqref="M3791 M3809">
      <formula1>240</formula1>
      <formula2>2820</formula2>
    </dataValidation>
    <dataValidation type="decimal" allowBlank="1" showErrorMessage="1" errorTitle="Неверно указано Количество" error="минимальное количество для заказа = 120" sqref="M4090">
      <formula1>120</formula1>
      <formula2>11893</formula2>
    </dataValidation>
    <dataValidation type="decimal" allowBlank="1" showErrorMessage="1" errorTitle="Неверно указано Количество" error="минимальное количество для заказа = 240" sqref="M3792">
      <formula1>240</formula1>
      <formula2>4980</formula2>
    </dataValidation>
    <dataValidation type="decimal" allowBlank="1" showErrorMessage="1" errorTitle="Неверно указано Количество" error="минимальное количество для заказа = 250" sqref="M3793">
      <formula1>250</formula1>
      <formula2>3010</formula2>
    </dataValidation>
    <dataValidation type="decimal" allowBlank="1" showErrorMessage="1" errorTitle="Неверно указано Количество" error="минимальное количество для заказа = 250" sqref="M3794">
      <formula1>250</formula1>
      <formula2>394</formula2>
    </dataValidation>
    <dataValidation type="decimal" allowBlank="1" showErrorMessage="1" errorTitle="Неверно указано Количество" error="минимальное количество для заказа = 40" sqref="M3795">
      <formula1>40</formula1>
      <formula2>480</formula2>
    </dataValidation>
    <dataValidation type="decimal" allowBlank="1" showErrorMessage="1" errorTitle="Неверно указано Количество" error="минимальное количество для заказа = 240" sqref="M3801">
      <formula1>240</formula1>
      <formula2>2075</formula2>
    </dataValidation>
    <dataValidation type="decimal" allowBlank="1" showErrorMessage="1" errorTitle="Неверно указано Количество" error="минимальное количество для заказа = 240" sqref="M3804">
      <formula1>240</formula1>
      <formula2>7680</formula2>
    </dataValidation>
    <dataValidation type="decimal" allowBlank="1" showErrorMessage="1" errorTitle="Неверно указано Количество" error="минимальное количество для заказа = 250" sqref="M3808">
      <formula1>250</formula1>
      <formula2>7424</formula2>
    </dataValidation>
    <dataValidation type="decimal" allowBlank="1" showErrorMessage="1" errorTitle="Неверно указано Количество" error="минимальное количество для заказа = 250" sqref="M3811">
      <formula1>250</formula1>
      <formula2>6305</formula2>
    </dataValidation>
    <dataValidation type="decimal" allowBlank="1" showErrorMessage="1" errorTitle="Неверно указано Количество" error="минимальное количество для заказа = 100" sqref="M4105">
      <formula1>100</formula1>
      <formula2>120</formula2>
    </dataValidation>
    <dataValidation type="decimal" allowBlank="1" showErrorMessage="1" errorTitle="Неверно указано Количество" error="минимальное количество для заказа = 240" sqref="M3820">
      <formula1>240</formula1>
      <formula2>15660</formula2>
    </dataValidation>
    <dataValidation type="decimal" allowBlank="1" showErrorMessage="1" errorTitle="Неверно указано Количество" error="минимальное количество для заказа = 240" sqref="M3823">
      <formula1>240</formula1>
      <formula2>8360</formula2>
    </dataValidation>
    <dataValidation type="decimal" allowBlank="1" showErrorMessage="1" errorTitle="Неверно указано Количество" error="минимальное количество для заказа = 240" sqref="M3829">
      <formula1>240</formula1>
      <formula2>2120</formula2>
    </dataValidation>
    <dataValidation type="decimal" allowBlank="1" showErrorMessage="1" errorTitle="Неверно указано Количество" error="минимальное количество для заказа = 240" sqref="M3832">
      <formula1>240</formula1>
      <formula2>9686</formula2>
    </dataValidation>
    <dataValidation type="decimal" allowBlank="1" showErrorMessage="1" errorTitle="Неверно указано Количество" error="минимальное количество для заказа = 240" sqref="M3834">
      <formula1>240</formula1>
      <formula2>16780</formula2>
    </dataValidation>
    <dataValidation type="decimal" allowBlank="1" showErrorMessage="1" errorTitle="Неверно указано Количество" error="минимальное количество для заказа = 250" sqref="M3837">
      <formula1>250</formula1>
      <formula2>12646</formula2>
    </dataValidation>
    <dataValidation type="decimal" allowBlank="1" showErrorMessage="1" errorTitle="Неверно указано Количество" error="минимальное количество для заказа = 250" sqref="M3838">
      <formula1>250</formula1>
      <formula2>14249</formula2>
    </dataValidation>
    <dataValidation type="decimal" allowBlank="1" showErrorMessage="1" errorTitle="Неверно указано Количество" error="минимальное количество для заказа = 250" sqref="M3839">
      <formula1>250</formula1>
      <formula2>6252</formula2>
    </dataValidation>
    <dataValidation type="decimal" allowBlank="1" showErrorMessage="1" errorTitle="Неверно указано Количество" error="минимальное количество для заказа = 250" sqref="M3840 M3889">
      <formula1>250</formula1>
      <formula2>6000</formula2>
    </dataValidation>
    <dataValidation type="decimal" allowBlank="1" showErrorMessage="1" errorTitle="Неверно указано Количество" error="минимальное количество для заказа = 250" sqref="M3841">
      <formula1>250</formula1>
      <formula2>3250</formula2>
    </dataValidation>
    <dataValidation type="decimal" allowBlank="1" showErrorMessage="1" errorTitle="Неверно указано Количество" error="минимальное количество для заказа = 250" sqref="M3843">
      <formula1>250</formula1>
      <formula2>13873</formula2>
    </dataValidation>
    <dataValidation type="decimal" allowBlank="1" showErrorMessage="1" errorTitle="Неверно указано Количество" error="минимальное количество для заказа = 250" sqref="M3844">
      <formula1>250</formula1>
      <formula2>7085</formula2>
    </dataValidation>
    <dataValidation type="decimal" allowBlank="1" showErrorMessage="1" errorTitle="Неверно указано Количество" error="минимальное количество для заказа = 240" sqref="M3846">
      <formula1>240</formula1>
      <formula2>19770</formula2>
    </dataValidation>
    <dataValidation type="decimal" allowBlank="1" showErrorMessage="1" errorTitle="Неверно указано Количество" error="минимальное количество для заказа = 250" sqref="M3851">
      <formula1>250</formula1>
      <formula2>8601</formula2>
    </dataValidation>
    <dataValidation type="decimal" allowBlank="1" showErrorMessage="1" errorTitle="Неверно указано Количество" error="минимальное количество для заказа = 250" sqref="M3853">
      <formula1>250</formula1>
      <formula2>10475</formula2>
    </dataValidation>
    <dataValidation type="decimal" allowBlank="1" showErrorMessage="1" errorTitle="Неверно указано Количество" error="минимальное количество для заказа = 250" sqref="M3854">
      <formula1>250</formula1>
      <formula2>16225</formula2>
    </dataValidation>
    <dataValidation type="decimal" allowBlank="1" showErrorMessage="1" errorTitle="Неверно указано Количество" error="минимальное количество для заказа = 250" sqref="M3856">
      <formula1>250</formula1>
      <formula2>8450</formula2>
    </dataValidation>
    <dataValidation type="decimal" allowBlank="1" showErrorMessage="1" errorTitle="Неверно указано Количество" error="минимальное количество для заказа = 250" sqref="M3857">
      <formula1>250</formula1>
      <formula2>6361</formula2>
    </dataValidation>
    <dataValidation type="decimal" allowBlank="1" showErrorMessage="1" errorTitle="Неверно указано Количество" error="минимальное количество для заказа = 240" sqref="M3862">
      <formula1>240</formula1>
      <formula2>6720</formula2>
    </dataValidation>
    <dataValidation type="decimal" allowBlank="1" showErrorMessage="1" errorTitle="Неверно указано Количество" error="минимальное количество для заказа = 48" sqref="M4266">
      <formula1>48</formula1>
      <formula2>5172</formula2>
    </dataValidation>
    <dataValidation type="decimal" allowBlank="1" showErrorMessage="1" errorTitle="Неверно указано Количество" error="минимальное количество для заказа = 240" sqref="M3863">
      <formula1>240</formula1>
      <formula2>3510</formula2>
    </dataValidation>
    <dataValidation type="decimal" allowBlank="1" showErrorMessage="1" errorTitle="Неверно указано Количество" error="минимальное количество для заказа = 240" sqref="M3865">
      <formula1>240</formula1>
      <formula2>8440</formula2>
    </dataValidation>
    <dataValidation type="decimal" allowBlank="1" showErrorMessage="1" errorTitle="Неверно указано Количество" error="минимальное количество для заказа = 240" sqref="M3870">
      <formula1>240</formula1>
      <formula2>8880</formula2>
    </dataValidation>
    <dataValidation type="decimal" allowBlank="1" showErrorMessage="1" errorTitle="Неверно указано Количество" error="минимальное количество для заказа = 100" sqref="M4181">
      <formula1>100</formula1>
      <formula2>9460</formula2>
    </dataValidation>
    <dataValidation type="decimal" allowBlank="1" showErrorMessage="1" errorTitle="Неверно указано Количество" error="минимальное количество для заказа = 250" sqref="M3875">
      <formula1>250</formula1>
      <formula2>3399</formula2>
    </dataValidation>
    <dataValidation type="decimal" allowBlank="1" showErrorMessage="1" errorTitle="Неверно указано Количество" error="минимальное количество для заказа = 250" sqref="M3878">
      <formula1>250</formula1>
      <formula2>2520</formula2>
    </dataValidation>
    <dataValidation type="decimal" allowBlank="1" showErrorMessage="1" errorTitle="Неверно указано Количество" error="минимальное количество для заказа = 250" sqref="M3881">
      <formula1>250</formula1>
      <formula2>6005</formula2>
    </dataValidation>
    <dataValidation type="decimal" allowBlank="1" showErrorMessage="1" errorTitle="Неверно указано Количество" error="минимальное количество для заказа = 240" sqref="M3883">
      <formula1>240</formula1>
      <formula2>2530</formula2>
    </dataValidation>
    <dataValidation type="decimal" allowBlank="1" showErrorMessage="1" errorTitle="Неверно указано Количество" error="минимальное количество для заказа = 240" sqref="M3888">
      <formula1>240</formula1>
      <formula2>2574</formula2>
    </dataValidation>
    <dataValidation type="decimal" allowBlank="1" showErrorMessage="1" errorTitle="Неверно указано Количество" error="минимальное количество для заказа = 240" sqref="M3890">
      <formula1>240</formula1>
      <formula2>15960</formula2>
    </dataValidation>
    <dataValidation type="decimal" allowBlank="1" showErrorMessage="1" errorTitle="Неверно указано Количество" error="минимальное количество для заказа = 250" sqref="M3892">
      <formula1>250</formula1>
      <formula2>14612</formula2>
    </dataValidation>
    <dataValidation type="decimal" allowBlank="1" showErrorMessage="1" errorTitle="Неверно указано Количество" error="минимальное количество для заказа = 250" sqref="M3894">
      <formula1>250</formula1>
      <formula2>1025</formula2>
    </dataValidation>
    <dataValidation type="decimal" allowBlank="1" showErrorMessage="1" errorTitle="Неверно указано Количество" error="минимальное количество для заказа = 250" sqref="M3895">
      <formula1>250</formula1>
      <formula2>8725</formula2>
    </dataValidation>
    <dataValidation type="decimal" allowBlank="1" showErrorMessage="1" errorTitle="Неверно указано Количество" error="минимальное количество для заказа = 250" sqref="M3896">
      <formula1>250</formula1>
      <formula2>800</formula2>
    </dataValidation>
    <dataValidation type="decimal" allowBlank="1" showErrorMessage="1" errorTitle="Неверно указано Количество" error="минимальное количество для заказа = 240" sqref="M3909">
      <formula1>240</formula1>
      <formula2>290</formula2>
    </dataValidation>
    <dataValidation type="decimal" allowBlank="1" showErrorMessage="1" errorTitle="Неверно указано Количество" error="минимальное количество для заказа = 140" sqref="M3913">
      <formula1>140</formula1>
      <formula2>15130</formula2>
    </dataValidation>
    <dataValidation type="decimal" allowBlank="1" showErrorMessage="1" errorTitle="Неверно указано Количество" error="минимальное количество для заказа = 140" sqref="M3917">
      <formula1>140</formula1>
      <formula2>7530</formula2>
    </dataValidation>
    <dataValidation type="decimal" allowBlank="1" showErrorMessage="1" errorTitle="Неверно указано Количество" error="минимальное количество для заказа = 140" sqref="M3919">
      <formula1>140</formula1>
      <formula2>13430</formula2>
    </dataValidation>
    <dataValidation type="decimal" allowBlank="1" showErrorMessage="1" errorTitle="Неверно указано Количество" error="минимальное количество для заказа = 140" sqref="M3920">
      <formula1>140</formula1>
      <formula2>16810</formula2>
    </dataValidation>
    <dataValidation type="decimal" allowBlank="1" showErrorMessage="1" errorTitle="Неверно указано Количество" error="минимальное количество для заказа = 140" sqref="M3921">
      <formula1>140</formula1>
      <formula2>17170</formula2>
    </dataValidation>
    <dataValidation type="decimal" allowBlank="1" showErrorMessage="1" errorTitle="Неверно указано Количество" error="минимальное количество для заказа = 140" sqref="M3922">
      <formula1>140</formula1>
      <formula2>540</formula2>
    </dataValidation>
    <dataValidation type="decimal" allowBlank="1" showErrorMessage="1" errorTitle="Неверно указано Количество" error="минимальное количество для заказа = 140" sqref="M3924">
      <formula1>140</formula1>
      <formula2>32430</formula2>
    </dataValidation>
    <dataValidation type="decimal" allowBlank="1" showErrorMessage="1" errorTitle="Неверно указано Количество" error="минимальное количество для заказа = 140" sqref="M3926">
      <formula1>140</formula1>
      <formula2>7130</formula2>
    </dataValidation>
    <dataValidation type="decimal" allowBlank="1" showErrorMessage="1" errorTitle="Неверно указано Количество" error="минимальное количество для заказа = 140" sqref="M3927">
      <formula1>140</formula1>
      <formula2>1110</formula2>
    </dataValidation>
    <dataValidation type="decimal" allowBlank="1" showErrorMessage="1" errorTitle="Неверно указано Количество" error="минимальное количество для заказа = 140" sqref="M3928">
      <formula1>140</formula1>
      <formula2>16090</formula2>
    </dataValidation>
    <dataValidation type="decimal" allowBlank="1" showErrorMessage="1" errorTitle="Неверно указано Количество" error="минимальное количество для заказа = 140" sqref="M3929">
      <formula1>140</formula1>
      <formula2>830</formula2>
    </dataValidation>
    <dataValidation type="decimal" allowBlank="1" showErrorMessage="1" errorTitle="Неверно указано Количество" error="минимальное количество для заказа = 140" sqref="M3930">
      <formula1>140</formula1>
      <formula2>4610</formula2>
    </dataValidation>
    <dataValidation type="decimal" allowBlank="1" showErrorMessage="1" errorTitle="Неверно указано Количество" error="минимальное количество для заказа = 250" sqref="M3932">
      <formula1>250</formula1>
      <formula2>1075</formula2>
    </dataValidation>
    <dataValidation type="decimal" allowBlank="1" showErrorMessage="1" errorTitle="Неверно указано Количество" error="минимальное количество для заказа = 250" sqref="M3933">
      <formula1>250</formula1>
      <formula2>4226</formula2>
    </dataValidation>
    <dataValidation type="decimal" allowBlank="1" showErrorMessage="1" errorTitle="Неверно указано Количество" error="минимальное количество для заказа = 250" sqref="M3935">
      <formula1>250</formula1>
      <formula2>1325</formula2>
    </dataValidation>
    <dataValidation type="decimal" allowBlank="1" showErrorMessage="1" errorTitle="Неверно указано Количество" error="минимальное количество для заказа = 140" sqref="M3945">
      <formula1>140</formula1>
      <formula2>9340</formula2>
    </dataValidation>
    <dataValidation type="decimal" allowBlank="1" showErrorMessage="1" errorTitle="Неверно указано Количество" error="минимальное количество для заказа = 140" sqref="M4085">
      <formula1>140</formula1>
      <formula2>5470</formula2>
    </dataValidation>
    <dataValidation type="decimal" allowBlank="1" showErrorMessage="1" errorTitle="Неверно указано Количество" error="минимальное количество для заказа = 150" sqref="M3954">
      <formula1>150</formula1>
      <formula2>855</formula2>
    </dataValidation>
    <dataValidation type="decimal" allowBlank="1" showErrorMessage="1" errorTitle="Неверно указано Количество" error="минимальное количество для заказа = 160" sqref="M3957">
      <formula1>160</formula1>
      <formula2>4500</formula2>
    </dataValidation>
    <dataValidation type="decimal" allowBlank="1" showErrorMessage="1" errorTitle="Неверно указано Количество" error="минимальное количество для заказа = 160" sqref="M3958">
      <formula1>160</formula1>
      <formula2>12115</formula2>
    </dataValidation>
    <dataValidation type="decimal" allowBlank="1" showErrorMessage="1" errorTitle="Неверно указано Количество" error="минимальное количество для заказа = 160" sqref="M3959">
      <formula1>160</formula1>
      <formula2>180</formula2>
    </dataValidation>
    <dataValidation type="decimal" allowBlank="1" showErrorMessage="1" errorTitle="Неверно указано Количество" error="минимальное количество для заказа = 160" sqref="M3961">
      <formula1>160</formula1>
      <formula2>9231</formula2>
    </dataValidation>
    <dataValidation type="decimal" allowBlank="1" showErrorMessage="1" errorTitle="Неверно указано Количество" error="минимальное количество для заказа = 160" sqref="M3963">
      <formula1>160</formula1>
      <formula2>1600</formula2>
    </dataValidation>
    <dataValidation type="decimal" allowBlank="1" showErrorMessage="1" errorTitle="Неверно указано Количество" error="минимальное количество для заказа = 160" sqref="M3966">
      <formula1>160</formula1>
      <formula2>4180</formula2>
    </dataValidation>
    <dataValidation type="decimal" allowBlank="1" showErrorMessage="1" errorTitle="Неверно указано Количество" error="минимальное количество для заказа = 100" sqref="M4142">
      <formula1>100</formula1>
      <formula2>11900</formula2>
    </dataValidation>
    <dataValidation type="decimal" allowBlank="1" showErrorMessage="1" errorTitle="Неверно указано Количество" error="минимальное количество для заказа = 45" sqref="M3967">
      <formula1>45</formula1>
      <formula2>1225</formula2>
    </dataValidation>
    <dataValidation type="decimal" allowBlank="1" showErrorMessage="1" errorTitle="Неверно указано Количество" error="минимальное количество для заказа = 160" sqref="M3968">
      <formula1>160</formula1>
      <formula2>14967</formula2>
    </dataValidation>
    <dataValidation type="decimal" allowBlank="1" showErrorMessage="1" errorTitle="Неверно указано Количество" error="минимальное количество для заказа = 45" sqref="M3975">
      <formula1>45</formula1>
      <formula2>45</formula2>
    </dataValidation>
    <dataValidation type="decimal" allowBlank="1" showErrorMessage="1" errorTitle="Неверно указано Количество" error="минимальное количество для заказа = 40" sqref="M3977">
      <formula1>40</formula1>
      <formula2>3810</formula2>
    </dataValidation>
    <dataValidation type="decimal" allowBlank="1" showErrorMessage="1" errorTitle="Неверно указано Количество" error="минимальное количество для заказа = 160" sqref="M3979">
      <formula1>160</formula1>
      <formula2>13180</formula2>
    </dataValidation>
    <dataValidation type="decimal" allowBlank="1" showErrorMessage="1" errorTitle="Неверно указано Количество" error="минимальное количество для заказа = 160" sqref="M3980">
      <formula1>160</formula1>
      <formula2>4990</formula2>
    </dataValidation>
    <dataValidation type="decimal" allowBlank="1" showErrorMessage="1" errorTitle="Неверно указано Количество" error="минимальное количество для заказа = 160" sqref="M3981">
      <formula1>160</formula1>
      <formula2>2320</formula2>
    </dataValidation>
    <dataValidation type="decimal" operator="greaterThanOrEqual" allowBlank="1" showErrorMessage="1" errorTitle="Нельзя заказать меньше чем :" error="минимальное количество для заказа = 160" sqref="M3982">
      <formula1>160</formula1>
    </dataValidation>
    <dataValidation type="decimal" allowBlank="1" showErrorMessage="1" errorTitle="Неверно указано Количество" error="минимальное количество для заказа = 80" sqref="M4353">
      <formula1>80</formula1>
      <formula2>460</formula2>
    </dataValidation>
    <dataValidation type="decimal" allowBlank="1" showErrorMessage="1" errorTitle="Неверно указано Количество" error="минимальное количество для заказа = 160" sqref="M3983">
      <formula1>160</formula1>
      <formula2>13130</formula2>
    </dataValidation>
    <dataValidation type="decimal" allowBlank="1" showErrorMessage="1" errorTitle="Неверно указано Количество" error="минимальное количество для заказа = 150" sqref="M3985">
      <formula1>150</formula1>
      <formula2>18065</formula2>
    </dataValidation>
    <dataValidation type="decimal" allowBlank="1" showErrorMessage="1" errorTitle="Неверно указано Количество" error="минимальное количество для заказа = 160" sqref="M3989">
      <formula1>160</formula1>
      <formula2>6315</formula2>
    </dataValidation>
    <dataValidation type="decimal" allowBlank="1" showErrorMessage="1" errorTitle="Неверно указано Количество" error="минимальное количество для заказа = 160" sqref="M3992">
      <formula1>160</formula1>
      <formula2>3360</formula2>
    </dataValidation>
    <dataValidation type="decimal" allowBlank="1" showErrorMessage="1" errorTitle="Неверно указано Количество" error="минимальное количество для заказа = 160" sqref="M3994">
      <formula1>160</formula1>
      <formula2>16680</formula2>
    </dataValidation>
    <dataValidation type="decimal" allowBlank="1" showErrorMessage="1" errorTitle="Неверно указано Количество" error="минимальное количество для заказа = 160" sqref="M3995">
      <formula1>160</formula1>
      <formula2>8000</formula2>
    </dataValidation>
    <dataValidation type="decimal" allowBlank="1" showErrorMessage="1" errorTitle="Неверно указано Количество" error="минимальное количество для заказа = 160" sqref="M3997">
      <formula1>160</formula1>
      <formula2>7536</formula2>
    </dataValidation>
    <dataValidation type="decimal" allowBlank="1" showErrorMessage="1" errorTitle="Неверно указано Количество" error="минимальное количество для заказа = 160" sqref="M3998">
      <formula1>160</formula1>
      <formula2>12480</formula2>
    </dataValidation>
    <dataValidation type="decimal" allowBlank="1" showErrorMessage="1" errorTitle="Неверно указано Количество" error="минимальное количество для заказа = 50" sqref="M4272 M4302">
      <formula1>50</formula1>
      <formula2>1440</formula2>
    </dataValidation>
    <dataValidation type="decimal" allowBlank="1" showErrorMessage="1" errorTitle="Неверно указано Количество" error="минимальное количество для заказа = 140" sqref="M4004">
      <formula1>140</formula1>
      <formula2>3560</formula2>
    </dataValidation>
    <dataValidation type="decimal" allowBlank="1" showErrorMessage="1" errorTitle="Неверно указано Количество" error="минимальное количество для заказа = 140" sqref="M4008">
      <formula1>140</formula1>
      <formula2>5320</formula2>
    </dataValidation>
    <dataValidation type="decimal" allowBlank="1" showErrorMessage="1" errorTitle="Неверно указано Количество" error="минимальное количество для заказа = 140" sqref="M4009">
      <formula1>140</formula1>
      <formula2>9520</formula2>
    </dataValidation>
    <dataValidation type="decimal" allowBlank="1" showErrorMessage="1" errorTitle="Неверно указано Количество" error="минимальное количество для заказа = 140" sqref="M4010">
      <formula1>140</formula1>
      <formula2>3780</formula2>
    </dataValidation>
    <dataValidation type="decimal" allowBlank="1" showErrorMessage="1" errorTitle="Неверно указано Количество" error="минимальное количество для заказа = 140" sqref="M4012">
      <formula1>140</formula1>
      <formula2>5180</formula2>
    </dataValidation>
    <dataValidation type="decimal" allowBlank="1" showErrorMessage="1" errorTitle="Неверно указано Количество" error="минимальное количество для заказа = 140" sqref="M4015">
      <formula1>140</formula1>
      <formula2>260</formula2>
    </dataValidation>
    <dataValidation type="decimal" allowBlank="1" showErrorMessage="1" errorTitle="Неверно указано Количество" error="минимальное количество для заказа = 140" sqref="M4018">
      <formula1>140</formula1>
      <formula2>6550</formula2>
    </dataValidation>
    <dataValidation type="decimal" allowBlank="1" showErrorMessage="1" errorTitle="Неверно указано Количество" error="минимальное количество для заказа = 140" sqref="M4020">
      <formula1>140</formula1>
      <formula2>3270</formula2>
    </dataValidation>
    <dataValidation type="decimal" allowBlank="1" showErrorMessage="1" errorTitle="Неверно указано Количество" error="минимальное количество для заказа = 140" sqref="M4021">
      <formula1>140</formula1>
      <formula2>1380</formula2>
    </dataValidation>
    <dataValidation type="decimal" allowBlank="1" showErrorMessage="1" errorTitle="Неверно указано Количество" error="минимальное количество для заказа = 140" sqref="M4022 M4068">
      <formula1>140</formula1>
      <formula2>140</formula2>
    </dataValidation>
    <dataValidation type="decimal" allowBlank="1" showErrorMessage="1" errorTitle="Неверно указано Количество" error="минимальное количество для заказа = 15" sqref="M4025">
      <formula1>15</formula1>
      <formula2>345</formula2>
    </dataValidation>
    <dataValidation type="decimal" allowBlank="1" showErrorMessage="1" errorTitle="Неверно указано Количество" error="минимальное количество для заказа = 160" sqref="M4030">
      <formula1>160</formula1>
      <formula2>259</formula2>
    </dataValidation>
    <dataValidation type="decimal" allowBlank="1" showErrorMessage="1" errorTitle="Неверно указано Количество" error="минимальное количество для заказа = 160" sqref="M4031">
      <formula1>160</formula1>
      <formula2>5560</formula2>
    </dataValidation>
    <dataValidation type="decimal" allowBlank="1" showErrorMessage="1" errorTitle="Неверно указано Количество" error="минимальное количество для заказа = 160" sqref="M4036">
      <formula1>160</formula1>
      <formula2>7320</formula2>
    </dataValidation>
    <dataValidation type="decimal" allowBlank="1" showErrorMessage="1" errorTitle="Неверно указано Количество" error="минимальное количество для заказа = 160" sqref="M4037">
      <formula1>160</formula1>
      <formula2>10260</formula2>
    </dataValidation>
    <dataValidation type="decimal" allowBlank="1" showErrorMessage="1" errorTitle="Неверно указано Количество" error="минимальное количество для заказа = 160" sqref="M4039">
      <formula1>160</formula1>
      <formula2>11740</formula2>
    </dataValidation>
    <dataValidation type="decimal" allowBlank="1" showErrorMessage="1" errorTitle="Неверно указано Количество" error="минимальное количество для заказа = 160" sqref="M4041">
      <formula1>160</formula1>
      <formula2>5859</formula2>
    </dataValidation>
    <dataValidation type="decimal" allowBlank="1" showErrorMessage="1" errorTitle="Неверно указано Количество" error="минимальное количество для заказа = 160" sqref="M4043">
      <formula1>160</formula1>
      <formula2>320</formula2>
    </dataValidation>
    <dataValidation type="decimal" allowBlank="1" showErrorMessage="1" errorTitle="Неверно указано Количество" error="минимальное количество для заказа = 160" sqref="M4044">
      <formula1>160</formula1>
      <formula2>10325</formula2>
    </dataValidation>
    <dataValidation type="decimal" allowBlank="1" showErrorMessage="1" errorTitle="Неверно указано Количество" error="минимальное количество для заказа = 160" sqref="M4046">
      <formula1>160</formula1>
      <formula2>11800</formula2>
    </dataValidation>
    <dataValidation type="decimal" allowBlank="1" showErrorMessage="1" errorTitle="Неверно указано Количество" error="минимальное количество для заказа = 48" sqref="M4320">
      <formula1>48</formula1>
      <formula2>9913</formula2>
    </dataValidation>
    <dataValidation type="decimal" allowBlank="1" showErrorMessage="1" errorTitle="Неверно указано Количество" error="минимальное количество для заказа = 160" sqref="M4047">
      <formula1>160</formula1>
      <formula2>2695</formula2>
    </dataValidation>
    <dataValidation type="decimal" allowBlank="1" showErrorMessage="1" errorTitle="Неверно указано Количество" error="минимальное количество для заказа = 140" sqref="M4057">
      <formula1>140</formula1>
      <formula2>1710</formula2>
    </dataValidation>
    <dataValidation type="decimal" allowBlank="1" showErrorMessage="1" errorTitle="Неверно указано Количество" error="минимальное количество для заказа = 140" sqref="M4059">
      <formula1>140</formula1>
      <formula2>2100</formula2>
    </dataValidation>
    <dataValidation type="decimal" allowBlank="1" showErrorMessage="1" errorTitle="Неверно указано Количество" error="минимальное количество для заказа = 140" sqref="M4060">
      <formula1>140</formula1>
      <formula2>5230</formula2>
    </dataValidation>
    <dataValidation type="decimal" allowBlank="1" showErrorMessage="1" errorTitle="Неверно указано Количество" error="минимальное количество для заказа = 140" sqref="M4061">
      <formula1>140</formula1>
      <formula2>9380</formula2>
    </dataValidation>
    <dataValidation type="decimal" allowBlank="1" showErrorMessage="1" errorTitle="Неверно указано Количество" error="минимальное количество для заказа = 140" sqref="M4063">
      <formula1>140</formula1>
      <formula2>2520</formula2>
    </dataValidation>
    <dataValidation type="decimal" allowBlank="1" showErrorMessage="1" errorTitle="Неверно указано Количество" error="минимальное количество для заказа = 140" sqref="M4067">
      <formula1>140</formula1>
      <formula2>230</formula2>
    </dataValidation>
    <dataValidation type="decimal" allowBlank="1" showErrorMessage="1" errorTitle="Неверно указано Количество" error="минимальное количество для заказа = 140" sqref="M4069">
      <formula1>140</formula1>
      <formula2>418</formula2>
    </dataValidation>
    <dataValidation type="decimal" allowBlank="1" showErrorMessage="1" errorTitle="Неверно указано Количество" error="минимальное количество для заказа = 140" sqref="M4070">
      <formula1>140</formula1>
      <formula2>780</formula2>
    </dataValidation>
    <dataValidation type="decimal" allowBlank="1" showErrorMessage="1" errorTitle="Неверно указано Количество" error="минимальное количество для заказа = 140" sqref="M4073">
      <formula1>140</formula1>
      <formula2>3220</formula2>
    </dataValidation>
    <dataValidation type="decimal" allowBlank="1" showErrorMessage="1" errorTitle="Неверно указано Количество" error="минимальное количество для заказа = 140" sqref="M4074">
      <formula1>140</formula1>
      <formula2>840</formula2>
    </dataValidation>
    <dataValidation type="decimal" allowBlank="1" showErrorMessage="1" errorTitle="Неверно указано Количество" error="минимальное количество для заказа = 140" sqref="M4075">
      <formula1>140</formula1>
      <formula2>2378</formula2>
    </dataValidation>
    <dataValidation type="decimal" allowBlank="1" showErrorMessage="1" errorTitle="Неверно указано Количество" error="минимальное количество для заказа = 140" sqref="M4076">
      <formula1>140</formula1>
      <formula2>280</formula2>
    </dataValidation>
    <dataValidation type="decimal" allowBlank="1" showErrorMessage="1" errorTitle="Неверно указано Количество" error="минимальное количество для заказа = 140" sqref="M4079">
      <formula1>140</formula1>
      <formula2>5471</formula2>
    </dataValidation>
    <dataValidation type="decimal" allowBlank="1" showErrorMessage="1" errorTitle="Неверно указано Количество" error="минимальное количество для заказа = 140" sqref="M4082">
      <formula1>140</formula1>
      <formula2>9240</formula2>
    </dataValidation>
    <dataValidation type="decimal" allowBlank="1" showErrorMessage="1" errorTitle="Неверно указано Количество" error="минимальное количество для заказа = 140" sqref="M4083">
      <formula1>140</formula1>
      <formula2>7833</formula2>
    </dataValidation>
    <dataValidation type="decimal" allowBlank="1" showErrorMessage="1" errorTitle="Неверно указано Количество" error="минимальное количество для заказа = 100" sqref="M4138">
      <formula1>100</formula1>
      <formula2>3075</formula2>
    </dataValidation>
    <dataValidation type="decimal" allowBlank="1" showErrorMessage="1" errorTitle="Неверно указано Количество" error="минимальное количество для заказа = 140" sqref="M4084">
      <formula1>140</formula1>
      <formula2>8297</formula2>
    </dataValidation>
    <dataValidation type="decimal" allowBlank="1" showErrorMessage="1" errorTitle="Неверно указано Количество" error="минимальное количество для заказа = 140" sqref="M4086">
      <formula1>140</formula1>
      <formula2>9933</formula2>
    </dataValidation>
    <dataValidation type="decimal" allowBlank="1" showErrorMessage="1" errorTitle="Неверно указано Количество" error="минимальное количество для заказа = 120" sqref="M4092">
      <formula1>120</formula1>
      <formula2>762</formula2>
    </dataValidation>
    <dataValidation type="decimal" allowBlank="1" showErrorMessage="1" errorTitle="Неверно указано Количество" error="минимальное количество для заказа = 80" sqref="M4493">
      <formula1>80</formula1>
      <formula2>3080</formula2>
    </dataValidation>
    <dataValidation type="decimal" allowBlank="1" showErrorMessage="1" errorTitle="Неверно указано Количество" error="минимальное количество для заказа = 120" sqref="M4093">
      <formula1>120</formula1>
      <formula2>1610</formula2>
    </dataValidation>
    <dataValidation type="decimal" allowBlank="1" showErrorMessage="1" errorTitle="Неверно указано Количество" error="минимальное количество для заказа = 120" sqref="M4094">
      <formula1>120</formula1>
      <formula2>4658</formula2>
    </dataValidation>
    <dataValidation type="decimal" allowBlank="1" showErrorMessage="1" errorTitle="Неверно указано Количество" error="минимальное количество для заказа = 120" sqref="M4095">
      <formula1>120</formula1>
      <formula2>5999</formula2>
    </dataValidation>
    <dataValidation type="decimal" allowBlank="1" showErrorMessage="1" errorTitle="Неверно указано Количество" error="минимальное количество для заказа = 400" sqref="M4552">
      <formula1>400</formula1>
      <formula2>131570</formula2>
    </dataValidation>
    <dataValidation type="decimal" allowBlank="1" showErrorMessage="1" errorTitle="Неверно указано Количество" error="минимальное количество для заказа = 80" sqref="M4099">
      <formula1>80</formula1>
      <formula2>11652</formula2>
    </dataValidation>
    <dataValidation type="decimal" allowBlank="1" showErrorMessage="1" errorTitle="Неверно указано Количество" error="минимальное количество для заказа = 80" sqref="M4101">
      <formula1>80</formula1>
      <formula2>8207</formula2>
    </dataValidation>
    <dataValidation type="decimal" allowBlank="1" showErrorMessage="1" errorTitle="Неверно указано Количество" error="минимальное количество для заказа = 80" sqref="M4102">
      <formula1>80</formula1>
      <formula2>5600</formula2>
    </dataValidation>
    <dataValidation type="decimal" allowBlank="1" showErrorMessage="1" errorTitle="Неверно указано Количество" error="минимальное количество для заказа = 80" sqref="M4103 M4374">
      <formula1>80</formula1>
      <formula2>5080</formula2>
    </dataValidation>
    <dataValidation type="decimal" allowBlank="1" showErrorMessage="1" errorTitle="Неверно указано Количество" error="минимальное количество для заказа = 100" sqref="M4106">
      <formula1>100</formula1>
      <formula2>2399</formula2>
    </dataValidation>
    <dataValidation type="decimal" allowBlank="1" showErrorMessage="1" errorTitle="Неверно указано Количество" error="минимальное количество для заказа = 100" sqref="M4107">
      <formula1>100</formula1>
      <formula2>1022</formula2>
    </dataValidation>
    <dataValidation type="decimal" allowBlank="1" showErrorMessage="1" errorTitle="Неверно указано Количество" error="минимальное количество для заказа = 100" sqref="M4109">
      <formula1>100</formula1>
      <formula2>2150</formula2>
    </dataValidation>
    <dataValidation type="decimal" allowBlank="1" showErrorMessage="1" errorTitle="Неверно указано Количество" error="минимальное количество для заказа = 100" sqref="M4111">
      <formula1>100</formula1>
      <formula2>4260</formula2>
    </dataValidation>
    <dataValidation type="decimal" allowBlank="1" showErrorMessage="1" errorTitle="Неверно указано Количество" error="минимальное количество для заказа = 100" sqref="M4112">
      <formula1>100</formula1>
      <formula2>5355</formula2>
    </dataValidation>
    <dataValidation type="decimal" allowBlank="1" showErrorMessage="1" errorTitle="Неверно указано Количество" error="минимальное количество для заказа = 100" sqref="M4114">
      <formula1>100</formula1>
      <formula2>7620</formula2>
    </dataValidation>
    <dataValidation type="decimal" allowBlank="1" showErrorMessage="1" errorTitle="Неверно указано Количество" error="минимальное количество для заказа = 100" sqref="M4116">
      <formula1>100</formula1>
      <formula2>770</formula2>
    </dataValidation>
    <dataValidation type="decimal" allowBlank="1" showErrorMessage="1" errorTitle="Неверно указано Количество" error="минимальное количество для заказа = 100" sqref="M4118">
      <formula1>100</formula1>
      <formula2>880</formula2>
    </dataValidation>
    <dataValidation type="decimal" allowBlank="1" showErrorMessage="1" errorTitle="Неверно указано Количество" error="минимальное количество для заказа = 100" sqref="M4119 M4126 M4539">
      <formula1>100</formula1>
      <formula2>100</formula2>
    </dataValidation>
    <dataValidation type="decimal" allowBlank="1" showErrorMessage="1" errorTitle="Неверно указано Количество" error="минимальное количество для заказа = 100" sqref="M4122">
      <formula1>100</formula1>
      <formula2>9535</formula2>
    </dataValidation>
    <dataValidation type="decimal" allowBlank="1" showErrorMessage="1" errorTitle="Неверно указано Количество" error="минимальное количество для заказа = 100" sqref="M4125">
      <formula1>100</formula1>
      <formula2>200</formula2>
    </dataValidation>
    <dataValidation type="decimal" allowBlank="1" showErrorMessage="1" errorTitle="Неверно указано Количество" error="минимальное количество для заказа = 100" sqref="M4128">
      <formula1>100</formula1>
      <formula2>5075</formula2>
    </dataValidation>
    <dataValidation type="decimal" allowBlank="1" showErrorMessage="1" errorTitle="Неверно указано Количество" error="минимальное количество для заказа = 100" sqref="M4130">
      <formula1>100</formula1>
      <formula2>7819</formula2>
    </dataValidation>
    <dataValidation type="decimal" allowBlank="1" showErrorMessage="1" errorTitle="Неверно указано Количество" error="минимальное количество для заказа = 100" sqref="M4131">
      <formula1>100</formula1>
      <formula2>360</formula2>
    </dataValidation>
    <dataValidation type="decimal" allowBlank="1" showErrorMessage="1" errorTitle="Неверно указано Количество" error="минимальное количество для заказа = 100" sqref="M4132">
      <formula1>100</formula1>
      <formula2>15395</formula2>
    </dataValidation>
    <dataValidation type="decimal" allowBlank="1" showErrorMessage="1" errorTitle="Неверно указано Количество" error="минимальное количество для заказа = 100" sqref="M4223">
      <formula1>100</formula1>
      <formula2>11260</formula2>
    </dataValidation>
    <dataValidation type="decimal" allowBlank="1" showErrorMessage="1" errorTitle="Неверно указано Количество" error="минимальное количество для заказа = 100" sqref="M4140">
      <formula1>100</formula1>
      <formula2>1470</formula2>
    </dataValidation>
    <dataValidation type="decimal" allowBlank="1" showErrorMessage="1" errorTitle="Неверно указано Количество" error="минимальное количество для заказа = 100" sqref="M4141">
      <formula1>100</formula1>
      <formula2>2780</formula2>
    </dataValidation>
    <dataValidation type="decimal" allowBlank="1" showErrorMessage="1" errorTitle="Неверно указано Количество" error="минимальное количество для заказа = 100" sqref="M4144">
      <formula1>100</formula1>
      <formula2>4855</formula2>
    </dataValidation>
    <dataValidation type="decimal" allowBlank="1" showErrorMessage="1" errorTitle="Неверно указано Количество" error="минимальное количество для заказа = 100" sqref="M4146">
      <formula1>100</formula1>
      <formula2>2075</formula2>
    </dataValidation>
    <dataValidation type="decimal" allowBlank="1" showErrorMessage="1" errorTitle="Неверно указано Количество" error="минимальное количество для заказа = 100" sqref="M4151">
      <formula1>100</formula1>
      <formula2>103</formula2>
    </dataValidation>
    <dataValidation type="decimal" allowBlank="1" showErrorMessage="1" errorTitle="Неверно указано Количество" error="минимальное количество для заказа = 100" sqref="M4153">
      <formula1>100</formula1>
      <formula2>5795</formula2>
    </dataValidation>
    <dataValidation type="decimal" allowBlank="1" showErrorMessage="1" errorTitle="Неверно указано Количество" error="минимальное количество для заказа = 100" sqref="M4154">
      <formula1>100</formula1>
      <formula2>4125</formula2>
    </dataValidation>
    <dataValidation type="decimal" allowBlank="1" showErrorMessage="1" errorTitle="Неверно указано Количество" error="минимальное количество для заказа = 100" sqref="M4155">
      <formula1>100</formula1>
      <formula2>755</formula2>
    </dataValidation>
    <dataValidation type="decimal" allowBlank="1" showErrorMessage="1" errorTitle="Неверно указано Количество" error="минимальное количество для заказа = 100" sqref="M4156">
      <formula1>100</formula1>
      <formula2>5200</formula2>
    </dataValidation>
    <dataValidation type="decimal" allowBlank="1" showErrorMessage="1" errorTitle="Неверно указано Количество" error="минимальное количество для заказа = 100" sqref="M4158">
      <formula1>100</formula1>
      <formula2>6490</formula2>
    </dataValidation>
    <dataValidation type="decimal" allowBlank="1" showErrorMessage="1" errorTitle="Неверно указано Количество" error="минимальное количество для заказа = 100" sqref="M4161">
      <formula1>100</formula1>
      <formula2>3800</formula2>
    </dataValidation>
    <dataValidation type="decimal" allowBlank="1" showErrorMessage="1" errorTitle="Неверно указано Количество" error="минимальное количество для заказа = 100" sqref="M4163">
      <formula1>100</formula1>
      <formula2>6400</formula2>
    </dataValidation>
    <dataValidation type="decimal" allowBlank="1" showErrorMessage="1" errorTitle="Неверно указано Количество" error="минимальное количество для заказа = 80" sqref="M4165">
      <formula1>80</formula1>
      <formula2>520</formula2>
    </dataValidation>
    <dataValidation type="decimal" allowBlank="1" showErrorMessage="1" errorTitle="Неверно указано Количество" error="минимальное количество для заказа = 80" sqref="M4166">
      <formula1>80</formula1>
      <formula2>4600</formula2>
    </dataValidation>
    <dataValidation type="decimal" allowBlank="1" showErrorMessage="1" errorTitle="Неверно указано Количество" error="минимальное количество для заказа = 80" sqref="M4168">
      <formula1>80</formula1>
      <formula2>141</formula2>
    </dataValidation>
    <dataValidation type="decimal" allowBlank="1" showErrorMessage="1" errorTitle="Неверно указано Количество" error="минимальное количество для заказа = 80" sqref="M4169">
      <formula1>80</formula1>
      <formula2>3451</formula2>
    </dataValidation>
    <dataValidation type="decimal" allowBlank="1" showErrorMessage="1" errorTitle="Неверно указано Количество" error="минимальное количество для заказа = 100" sqref="M4170">
      <formula1>100</formula1>
      <formula2>458</formula2>
    </dataValidation>
    <dataValidation type="decimal" allowBlank="1" showErrorMessage="1" errorTitle="Неверно указано Количество" error="минимальное количество для заказа = 100" sqref="M4171">
      <formula1>100</formula1>
      <formula2>640</formula2>
    </dataValidation>
    <dataValidation type="decimal" allowBlank="1" showErrorMessage="1" errorTitle="Неверно указано Количество" error="минимальное количество для заказа = 100" sqref="M4172">
      <formula1>100</formula1>
      <formula2>1990</formula2>
    </dataValidation>
    <dataValidation type="decimal" allowBlank="1" showErrorMessage="1" errorTitle="Неверно указано Количество" error="минимальное количество для заказа = 80" sqref="M4395">
      <formula1>80</formula1>
      <formula2>2540</formula2>
    </dataValidation>
    <dataValidation type="decimal" allowBlank="1" showErrorMessage="1" errorTitle="Неверно указано Количество" error="минимальное количество для заказа = 100" sqref="M4175">
      <formula1>100</formula1>
      <formula2>2980</formula2>
    </dataValidation>
    <dataValidation type="decimal" allowBlank="1" showErrorMessage="1" errorTitle="Неверно указано Количество" error="минимальное количество для заказа = 100" sqref="M4176">
      <formula1>100</formula1>
      <formula2>3000</formula2>
    </dataValidation>
    <dataValidation type="decimal" allowBlank="1" showErrorMessage="1" errorTitle="Неверно указано Количество" error="минимальное количество для заказа = 100" sqref="M4178">
      <formula1>100</formula1>
      <formula2>5910</formula2>
    </dataValidation>
    <dataValidation type="decimal" allowBlank="1" showErrorMessage="1" errorTitle="Неверно указано Количество" error="минимальное количество для заказа = 100" sqref="M4179">
      <formula1>100</formula1>
      <formula2>2939</formula2>
    </dataValidation>
    <dataValidation type="decimal" allowBlank="1" showErrorMessage="1" errorTitle="Неверно указано Количество" error="минимальное количество для заказа = 100" sqref="M4183">
      <formula1>100</formula1>
      <formula2>5050</formula2>
    </dataValidation>
    <dataValidation type="decimal" allowBlank="1" showErrorMessage="1" errorTitle="Неверно указано Количество" error="минимальное количество для заказа = 100" sqref="M4185">
      <formula1>100</formula1>
      <formula2>220</formula2>
    </dataValidation>
    <dataValidation type="decimal" allowBlank="1" showErrorMessage="1" errorTitle="Неверно указано Количество" error="минимальное количество для заказа = 100" sqref="M4186">
      <formula1>100</formula1>
      <formula2>3060</formula2>
    </dataValidation>
    <dataValidation type="decimal" allowBlank="1" showErrorMessage="1" errorTitle="Неверно указано Количество" error="минимальное количество для заказа = 100" sqref="M4190">
      <formula1>100</formula1>
      <formula2>1010</formula2>
    </dataValidation>
    <dataValidation type="decimal" allowBlank="1" showErrorMessage="1" errorTitle="Неверно указано Количество" error="минимальное количество для заказа = 100" sqref="M4194">
      <formula1>100</formula1>
      <formula2>5347</formula2>
    </dataValidation>
    <dataValidation type="decimal" allowBlank="1" showErrorMessage="1" errorTitle="Неверно указано Количество" error="минимальное количество для заказа = 50" sqref="M4287">
      <formula1>50</formula1>
      <formula2>5265</formula2>
    </dataValidation>
    <dataValidation type="decimal" allowBlank="1" showErrorMessage="1" errorTitle="Неверно указано Количество" error="минимальное количество для заказа = 100" sqref="M4203">
      <formula1>100</formula1>
      <formula2>9059</formula2>
    </dataValidation>
    <dataValidation type="decimal" allowBlank="1" showErrorMessage="1" errorTitle="Неверно указано Количество" error="минимальное количество для заказа = 100" sqref="M4204">
      <formula1>100</formula1>
      <formula2>6559</formula2>
    </dataValidation>
    <dataValidation type="decimal" allowBlank="1" showErrorMessage="1" errorTitle="Неверно указано Количество" error="минимальное количество для заказа = 100" sqref="M4207">
      <formula1>100</formula1>
      <formula2>2119</formula2>
    </dataValidation>
    <dataValidation type="decimal" allowBlank="1" showErrorMessage="1" errorTitle="Неверно указано Количество" error="минимальное количество для заказа = 20" sqref="M4208 M4221">
      <formula1>20</formula1>
      <formula2>5000</formula2>
    </dataValidation>
    <dataValidation type="decimal" allowBlank="1" showErrorMessage="1" errorTitle="Неверно указано Количество" error="минимальное количество для заказа = 100" sqref="M4211">
      <formula1>100</formula1>
      <formula2>18634</formula2>
    </dataValidation>
    <dataValidation type="decimal" allowBlank="1" showErrorMessage="1" errorTitle="Неверно указано Количество" error="минимальное количество для заказа = 100" sqref="M4212">
      <formula1>100</formula1>
      <formula2>5360</formula2>
    </dataValidation>
    <dataValidation type="decimal" allowBlank="1" showErrorMessage="1" errorTitle="Неверно указано Количество" error="минимальное количество для заказа = 100" sqref="M4214">
      <formula1>100</formula1>
      <formula2>10450</formula2>
    </dataValidation>
    <dataValidation type="decimal" allowBlank="1" showErrorMessage="1" errorTitle="Неверно указано Количество" error="минимальное количество для заказа = 100" sqref="M4215">
      <formula1>100</formula1>
      <formula2>10449</formula2>
    </dataValidation>
    <dataValidation type="decimal" allowBlank="1" showErrorMessage="1" errorTitle="Неверно указано Количество" error="минимальное количество для заказа = 100" sqref="M4217">
      <formula1>100</formula1>
      <formula2>1711</formula2>
    </dataValidation>
    <dataValidation type="decimal" operator="equal" allowBlank="1" showErrorMessage="1" errorTitle="Не нужно менять минимальное количество для заказа:" error="минимальное количество для заказа = 13" sqref="K4218">
      <formula1>13</formula1>
    </dataValidation>
    <dataValidation type="decimal" allowBlank="1" showErrorMessage="1" errorTitle="Неверно указано Количество" error="минимальное количество для заказа = 13" sqref="M4218">
      <formula1>13</formula1>
      <formula2>13</formula2>
    </dataValidation>
    <dataValidation type="decimal" allowBlank="1" showErrorMessage="1" errorTitle="Неверно указано Количество" error="минимальное количество для заказа = 80" sqref="M4452">
      <formula1>80</formula1>
      <formula2>1599</formula2>
    </dataValidation>
    <dataValidation type="decimal" allowBlank="1" showErrorMessage="1" errorTitle="Неверно указано Количество" error="минимальное количество для заказа = 100" sqref="M4226">
      <formula1>100</formula1>
      <formula2>14129</formula2>
    </dataValidation>
    <dataValidation type="decimal" allowBlank="1" showErrorMessage="1" errorTitle="Неверно указано Количество" error="минимальное количество для заказа = 100" sqref="M4227">
      <formula1>100</formula1>
      <formula2>10385</formula2>
    </dataValidation>
    <dataValidation type="decimal" allowBlank="1" showErrorMessage="1" errorTitle="Неверно указано Количество" error="минимальное количество для заказа = 100" sqref="M4229">
      <formula1>100</formula1>
      <formula2>4556</formula2>
    </dataValidation>
    <dataValidation type="decimal" allowBlank="1" showErrorMessage="1" errorTitle="Неверно указано Количество" error="минимальное количество для заказа = 100" sqref="M4230">
      <formula1>100</formula1>
      <formula2>9300</formula2>
    </dataValidation>
    <dataValidation type="decimal" operator="greaterThanOrEqual" allowBlank="1" showErrorMessage="1" errorTitle="Нельзя заказать меньше чем :" error="минимальное количество для заказа = 56" sqref="M4234:M4236 M4238:M4240">
      <formula1>56</formula1>
    </dataValidation>
    <dataValidation type="decimal" allowBlank="1" showErrorMessage="1" errorTitle="Неверно указано Количество" error="минимальное количество для заказа = 1" sqref="M4581">
      <formula1>1</formula1>
      <formula2>518</formula2>
    </dataValidation>
    <dataValidation type="decimal" allowBlank="1" showErrorMessage="1" errorTitle="Неверно указано Количество" error="минимальное количество для заказа = 48" sqref="M4244">
      <formula1>48</formula1>
      <formula2>1712</formula2>
    </dataValidation>
    <dataValidation type="decimal" allowBlank="1" showErrorMessage="1" errorTitle="Неверно указано Количество" error="минимальное количество для заказа = 48" sqref="M4246">
      <formula1>48</formula1>
      <formula2>2581</formula2>
    </dataValidation>
    <dataValidation type="decimal" allowBlank="1" showErrorMessage="1" errorTitle="Неверно указано Количество" error="минимальное количество для заказа = 48" sqref="M4247">
      <formula1>48</formula1>
      <formula2>1908</formula2>
    </dataValidation>
    <dataValidation type="decimal" allowBlank="1" showErrorMessage="1" errorTitle="Неверно указано Количество" error="минимальное количество для заказа = 48" sqref="M4248">
      <formula1>48</formula1>
      <formula2>62</formula2>
    </dataValidation>
    <dataValidation type="decimal" allowBlank="1" showErrorMessage="1" errorTitle="Неверно указано Количество" error="минимальное количество для заказа = 48" sqref="M4249">
      <formula1>48</formula1>
      <formula2>1030</formula2>
    </dataValidation>
    <dataValidation type="decimal" allowBlank="1" showErrorMessage="1" errorTitle="Неверно указано Количество" error="минимальное количество для заказа = 48" sqref="M4251">
      <formula1>48</formula1>
      <formula2>8206</formula2>
    </dataValidation>
    <dataValidation type="decimal" allowBlank="1" showErrorMessage="1" errorTitle="Неверно указано Количество" error="минимальное количество для заказа = 48" sqref="M4252">
      <formula1>48</formula1>
      <formula2>3888</formula2>
    </dataValidation>
    <dataValidation type="decimal" allowBlank="1" showErrorMessage="1" errorTitle="Неверно указано Количество" error="минимальное количество для заказа = 48" sqref="M4254">
      <formula1>48</formula1>
      <formula2>1929</formula2>
    </dataValidation>
    <dataValidation type="decimal" allowBlank="1" showErrorMessage="1" errorTitle="Неверно указано Количество" error="минимальное количество для заказа = 48" sqref="M4255">
      <formula1>48</formula1>
      <formula2>9209</formula2>
    </dataValidation>
    <dataValidation type="decimal" allowBlank="1" showErrorMessage="1" errorTitle="Неверно указано Количество" error="минимальное количество для заказа = 48" sqref="M4262">
      <formula1>48</formula1>
      <formula2>2576</formula2>
    </dataValidation>
    <dataValidation type="decimal" allowBlank="1" showErrorMessage="1" errorTitle="Неверно указано Количество" error="минимальное количество для заказа = 48" sqref="M4263">
      <formula1>48</formula1>
      <formula2>1524</formula2>
    </dataValidation>
    <dataValidation type="decimal" allowBlank="1" showErrorMessage="1" errorTitle="Неверно указано Количество" error="минимальное количество для заказа = 48" sqref="M4264">
      <formula1>48</formula1>
      <formula2>3704</formula2>
    </dataValidation>
    <dataValidation type="decimal" allowBlank="1" showErrorMessage="1" errorTitle="Неверно указано Количество" error="минимальное количество для заказа = 48" sqref="M4267">
      <formula1>48</formula1>
      <formula2>16362</formula2>
    </dataValidation>
    <dataValidation type="decimal" allowBlank="1" showErrorMessage="1" errorTitle="Неверно указано Количество" error="минимальное количество для заказа = 48" sqref="M4268">
      <formula1>48</formula1>
      <formula2>1044</formula2>
    </dataValidation>
    <dataValidation type="decimal" allowBlank="1" showErrorMessage="1" errorTitle="Неверно указано Количество" error="минимальное количество для заказа = 48" sqref="M4269">
      <formula1>48</formula1>
      <formula2>4908</formula2>
    </dataValidation>
    <dataValidation type="decimal" allowBlank="1" showErrorMessage="1" errorTitle="Неверно указано Количество" error="минимальное количество для заказа = 48" sqref="M4270">
      <formula1>48</formula1>
      <formula2>6410</formula2>
    </dataValidation>
    <dataValidation type="decimal" allowBlank="1" showErrorMessage="1" errorTitle="Неверно указано Количество" error="минимальное количество для заказа = 50" sqref="M4273">
      <formula1>50</formula1>
      <formula2>5155</formula2>
    </dataValidation>
    <dataValidation type="decimal" allowBlank="1" showErrorMessage="1" errorTitle="Неверно указано Количество" error="минимальное количество для заказа = 50" sqref="M4274">
      <formula1>50</formula1>
      <formula2>850</formula2>
    </dataValidation>
    <dataValidation type="decimal" allowBlank="1" showErrorMessage="1" errorTitle="Неверно указано Количество" error="минимальное количество для заказа = 50" sqref="M4275">
      <formula1>50</formula1>
      <formula2>1245</formula2>
    </dataValidation>
    <dataValidation type="decimal" allowBlank="1" showErrorMessage="1" errorTitle="Неверно указано Количество" error="минимальное количество для заказа = 50" sqref="M4276">
      <formula1>50</formula1>
      <formula2>1075</formula2>
    </dataValidation>
    <dataValidation type="decimal" allowBlank="1" showErrorMessage="1" errorTitle="Неверно указано Количество" error="минимальное количество для заказа = 48" sqref="M4277">
      <formula1>48</formula1>
      <formula2>9518</formula2>
    </dataValidation>
    <dataValidation type="decimal" allowBlank="1" showErrorMessage="1" errorTitle="Неверно указано Количество" error="минимальное количество для заказа = 48" sqref="M4278">
      <formula1>48</formula1>
      <formula2>5148</formula2>
    </dataValidation>
    <dataValidation type="decimal" allowBlank="1" showErrorMessage="1" errorTitle="Неверно указано Количество" error="минимальное количество для заказа = 48" sqref="M4279">
      <formula1>48</formula1>
      <formula2>9656</formula2>
    </dataValidation>
    <dataValidation type="decimal" allowBlank="1" showErrorMessage="1" errorTitle="Неверно указано Количество" error="минимальное количество для заказа = 48" sqref="M4280">
      <formula1>48</formula1>
      <formula2>4172</formula2>
    </dataValidation>
    <dataValidation type="decimal" allowBlank="1" showErrorMessage="1" errorTitle="Неверно указано Количество" error="минимальное количество для заказа = 48" sqref="M4282">
      <formula1>48</formula1>
      <formula2>11935</formula2>
    </dataValidation>
    <dataValidation type="decimal" allowBlank="1" showErrorMessage="1" errorTitle="Неверно указано Количество" error="минимальное количество для заказа = 50" sqref="M4283">
      <formula1>50</formula1>
      <formula2>6660</formula2>
    </dataValidation>
    <dataValidation type="decimal" allowBlank="1" showErrorMessage="1" errorTitle="Неверно указано Количество" error="минимальное количество для заказа = 50" sqref="M4285">
      <formula1>50</formula1>
      <formula2>4485</formula2>
    </dataValidation>
    <dataValidation type="decimal" allowBlank="1" showErrorMessage="1" errorTitle="Неверно указано Количество" error="минимальное количество для заказа = 50" sqref="M4286">
      <formula1>50</formula1>
      <formula2>5395</formula2>
    </dataValidation>
    <dataValidation type="decimal" allowBlank="1" showErrorMessage="1" errorTitle="Неверно указано Количество" error="минимальное количество для заказа = 48" sqref="M4290">
      <formula1>48</formula1>
      <formula2>8584</formula2>
    </dataValidation>
    <dataValidation type="decimal" allowBlank="1" showErrorMessage="1" errorTitle="Неверно указано Количество" error="минимальное количество для заказа = 6" sqref="M4294">
      <formula1>6</formula1>
      <formula2>6216</formula2>
    </dataValidation>
    <dataValidation type="decimal" allowBlank="1" showErrorMessage="1" errorTitle="Неверно указано Количество" error="минимальное количество для заказа = 48" sqref="M4295">
      <formula1>48</formula1>
      <formula2>6654</formula2>
    </dataValidation>
    <dataValidation type="decimal" allowBlank="1" showErrorMessage="1" errorTitle="Неверно указано Количество" error="минимальное количество для заказа = 50" sqref="M4299">
      <formula1>50</formula1>
      <formula2>9875</formula2>
    </dataValidation>
    <dataValidation type="decimal" allowBlank="1" showErrorMessage="1" errorTitle="Неверно указано Количество" error="минимальное количество для заказа = 50" sqref="M4300">
      <formula1>50</formula1>
      <formula2>3830</formula2>
    </dataValidation>
    <dataValidation type="decimal" allowBlank="1" showErrorMessage="1" errorTitle="Неверно указано Количество" error="минимальное количество для заказа = 50" sqref="M4301">
      <formula1>50</formula1>
      <formula2>2438</formula2>
    </dataValidation>
    <dataValidation type="decimal" allowBlank="1" showErrorMessage="1" errorTitle="Неверно указано Количество" error="минимальное количество для заказа = 50" sqref="M4304">
      <formula1>50</formula1>
      <formula2>4395</formula2>
    </dataValidation>
    <dataValidation type="decimal" allowBlank="1" showErrorMessage="1" errorTitle="Неверно указано Количество" error="минимальное количество для заказа = 50" sqref="M4305">
      <formula1>50</formula1>
      <formula2>6555</formula2>
    </dataValidation>
    <dataValidation type="decimal" allowBlank="1" showErrorMessage="1" errorTitle="Неверно указано Количество" error="минимальное количество для заказа = 50" sqref="M4306">
      <formula1>50</formula1>
      <formula2>9990</formula2>
    </dataValidation>
    <dataValidation type="decimal" allowBlank="1" showErrorMessage="1" errorTitle="Неверно указано Количество" error="минимальное количество для заказа = 50" sqref="M4307">
      <formula1>50</formula1>
      <formula2>8795</formula2>
    </dataValidation>
    <dataValidation type="decimal" allowBlank="1" showErrorMessage="1" errorTitle="Неверно указано Количество" error="минимальное количество для заказа = 50" sqref="M4308">
      <formula1>50</formula1>
      <formula2>9720</formula2>
    </dataValidation>
    <dataValidation type="decimal" allowBlank="1" showErrorMessage="1" errorTitle="Неверно указано Количество" error="минимальное количество для заказа = 50" sqref="M4310">
      <formula1>50</formula1>
      <formula2>4560</formula2>
    </dataValidation>
    <dataValidation type="decimal" allowBlank="1" showErrorMessage="1" errorTitle="Неверно указано Количество" error="минимальное количество для заказа = 50" sqref="M4311">
      <formula1>50</formula1>
      <formula2>4945</formula2>
    </dataValidation>
    <dataValidation type="decimal" allowBlank="1" showErrorMessage="1" errorTitle="Неверно указано Количество" error="минимальное количество для заказа = 50" sqref="M4312">
      <formula1>50</formula1>
      <formula2>7690</formula2>
    </dataValidation>
    <dataValidation type="decimal" allowBlank="1" showErrorMessage="1" errorTitle="Неверно указано Количество" error="минимальное количество для заказа = 50" sqref="M4313">
      <formula1>50</formula1>
      <formula2>11850</formula2>
    </dataValidation>
    <dataValidation type="decimal" allowBlank="1" showErrorMessage="1" errorTitle="Неверно указано Количество" error="минимальное количество для заказа = 400" sqref="M4549">
      <formula1>400</formula1>
      <formula2>319028</formula2>
    </dataValidation>
    <dataValidation type="decimal" allowBlank="1" showErrorMessage="1" errorTitle="Неверно указано Количество" error="минимальное количество для заказа = 48" sqref="M4316">
      <formula1>48</formula1>
      <formula2>4192</formula2>
    </dataValidation>
    <dataValidation type="decimal" allowBlank="1" showErrorMessage="1" errorTitle="Неверно указано Количество" error="минимальное количество для заказа = 50" sqref="M4330">
      <formula1>50</formula1>
      <formula2>4164</formula2>
    </dataValidation>
    <dataValidation type="decimal" allowBlank="1" showErrorMessage="1" errorTitle="Неверно указано Количество" error="минимальное количество для заказа = 50" sqref="M4335">
      <formula1>50</formula1>
      <formula2>9235</formula2>
    </dataValidation>
    <dataValidation type="decimal" allowBlank="1" showErrorMessage="1" errorTitle="Неверно указано Количество" error="минимальное количество для заказа = 48" sqref="M4338">
      <formula1>48</formula1>
      <formula2>8417</formula2>
    </dataValidation>
    <dataValidation type="decimal" allowBlank="1" showErrorMessage="1" errorTitle="Неверно указано Количество" error="минимальное количество для заказа = 8" sqref="M4343">
      <formula1>8</formula1>
      <formula2>286</formula2>
    </dataValidation>
    <dataValidation type="decimal" allowBlank="1" showErrorMessage="1" errorTitle="Неверно указано Количество" error="минимальное количество для заказа = 8" sqref="M4344">
      <formula1>8</formula1>
      <formula2>205</formula2>
    </dataValidation>
    <dataValidation type="decimal" allowBlank="1" showErrorMessage="1" errorTitle="Неверно указано Количество" error="минимальное количество для заказа = 80" sqref="M4352">
      <formula1>80</formula1>
      <formula2>6320</formula2>
    </dataValidation>
    <dataValidation type="decimal" allowBlank="1" showErrorMessage="1" errorTitle="Неверно указано Количество" error="минимальное количество для заказа = 80" sqref="M4358">
      <formula1>80</formula1>
      <formula2>4420</formula2>
    </dataValidation>
    <dataValidation type="decimal" allowBlank="1" showErrorMessage="1" errorTitle="Неверно указано Количество" error="минимальное количество для заказа = 80" sqref="M4359 M4377 M4509">
      <formula1>80</formula1>
      <formula2>2710</formula2>
    </dataValidation>
    <dataValidation type="decimal" allowBlank="1" showErrorMessage="1" errorTitle="Неверно указано Количество" error="минимальное количество для заказа = 80" sqref="M4360 M4467">
      <formula1>80</formula1>
      <formula2>380</formula2>
    </dataValidation>
    <dataValidation type="decimal" allowBlank="1" showErrorMessage="1" errorTitle="Неверно указано Количество" error="минимальное количество для заказа = 80" sqref="M4361 M4446">
      <formula1>80</formula1>
      <formula2>470</formula2>
    </dataValidation>
    <dataValidation type="decimal" allowBlank="1" showErrorMessage="1" errorTitle="Неверно указано Количество" error="минимальное количество для заказа = 200" sqref="M4540">
      <formula1>200</formula1>
      <formula2>400</formula2>
    </dataValidation>
    <dataValidation type="decimal" allowBlank="1" showErrorMessage="1" errorTitle="Неверно указано Количество" error="минимальное количество для заказа = 80" sqref="M4362 M4488">
      <formula1>80</formula1>
      <formula2>3510</formula2>
    </dataValidation>
    <dataValidation type="decimal" allowBlank="1" showErrorMessage="1" errorTitle="Неверно указано Количество" error="минимальное количество для заказа = 80" sqref="M4364">
      <formula1>80</formula1>
      <formula2>1420</formula2>
    </dataValidation>
    <dataValidation type="decimal" allowBlank="1" showErrorMessage="1" errorTitle="Неверно указано Количество" error="минимальное количество для заказа = 240" sqref="M4557">
      <formula1>240</formula1>
      <formula2>616866</formula2>
    </dataValidation>
    <dataValidation type="decimal" allowBlank="1" showErrorMessage="1" errorTitle="Неверно указано Количество" error="минимальное количество для заказа = 80" sqref="M4366 M4396">
      <formula1>80</formula1>
      <formula2>3260</formula2>
    </dataValidation>
    <dataValidation type="decimal" allowBlank="1" showErrorMessage="1" errorTitle="Неверно указано Количество" error="минимальное количество для заказа = 80" sqref="M4371 M4478">
      <formula1>80</formula1>
      <formula2>480</formula2>
    </dataValidation>
    <dataValidation type="decimal" allowBlank="1" showErrorMessage="1" errorTitle="Неверно указано Количество" error="минимальное количество для заказа = 80" sqref="M4373">
      <formula1>80</formula1>
      <formula2>5100</formula2>
    </dataValidation>
    <dataValidation type="decimal" allowBlank="1" showErrorMessage="1" errorTitle="Неверно указано Количество" error="минимальное количество для заказа = 80" sqref="M4375">
      <formula1>80</formula1>
      <formula2>1940</formula2>
    </dataValidation>
    <dataValidation type="decimal" allowBlank="1" showErrorMessage="1" errorTitle="Неверно указано Количество" error="минимальное количество для заказа = 80" sqref="M4378">
      <formula1>80</formula1>
      <formula2>6450</formula2>
    </dataValidation>
    <dataValidation type="decimal" allowBlank="1" showErrorMessage="1" errorTitle="Неверно указано Количество" error="минимальное количество для заказа = 80" sqref="M4380">
      <formula1>80</formula1>
      <formula2>3490</formula2>
    </dataValidation>
    <dataValidation type="decimal" allowBlank="1" showErrorMessage="1" errorTitle="Неверно указано Количество" error="минимальное количество для заказа = 80" sqref="M4384">
      <formula1>80</formula1>
      <formula2>2160</formula2>
    </dataValidation>
    <dataValidation type="decimal" allowBlank="1" showErrorMessage="1" errorTitle="Неверно указано Количество" error="минимальное количество для заказа = 80" sqref="M4385">
      <formula1>80</formula1>
      <formula2>1490</formula2>
    </dataValidation>
    <dataValidation type="decimal" allowBlank="1" showErrorMessage="1" errorTitle="Неверно указано Количество" error="минимальное количество для заказа = 80" sqref="M4387">
      <formula1>80</formula1>
      <formula2>3890</formula2>
    </dataValidation>
    <dataValidation type="decimal" allowBlank="1" showErrorMessage="1" errorTitle="Неверно указано Количество" error="минимальное количество для заказа = 80" sqref="M4388 M4426">
      <formula1>80</formula1>
      <formula2>3420</formula2>
    </dataValidation>
    <dataValidation type="decimal" allowBlank="1" showErrorMessage="1" errorTitle="Неверно указано Количество" error="минимальное количество для заказа = 80" sqref="M4389">
      <formula1>80</formula1>
      <formula2>3660</formula2>
    </dataValidation>
    <dataValidation type="decimal" allowBlank="1" showErrorMessage="1" errorTitle="Неверно указано Количество" error="минимальное количество для заказа = 80" sqref="M4392">
      <formula1>80</formula1>
      <formula2>1330</formula2>
    </dataValidation>
    <dataValidation type="decimal" allowBlank="1" showErrorMessage="1" errorTitle="Неверно указано Количество" error="минимальное количество для заказа = 80" sqref="M4393">
      <formula1>80</formula1>
      <formula2>3820</formula2>
    </dataValidation>
    <dataValidation type="decimal" allowBlank="1" showErrorMessage="1" errorTitle="Неверно указано Количество" error="минимальное количество для заказа = 80" sqref="M4394">
      <formula1>80</formula1>
      <formula2>3580</formula2>
    </dataValidation>
    <dataValidation type="decimal" allowBlank="1" showErrorMessage="1" errorTitle="Неверно указано Количество" error="минимальное количество для заказа = 80" sqref="M4400">
      <formula1>80</formula1>
      <formula2>1510</formula2>
    </dataValidation>
    <dataValidation type="decimal" allowBlank="1" showErrorMessage="1" errorTitle="Неверно указано Количество" error="минимальное количество для заказа = 80" sqref="M4403">
      <formula1>80</formula1>
      <formula2>3179</formula2>
    </dataValidation>
    <dataValidation type="decimal" allowBlank="1" showErrorMessage="1" errorTitle="Неверно указано Количество" error="минимальное количество для заказа = 80" sqref="M4406">
      <formula1>80</formula1>
      <formula2>1540</formula2>
    </dataValidation>
    <dataValidation type="decimal" allowBlank="1" showErrorMessage="1" errorTitle="Неверно указано Количество" error="минимальное количество для заказа = 80" sqref="M4407">
      <formula1>80</formula1>
      <formula2>4709</formula2>
    </dataValidation>
    <dataValidation type="decimal" allowBlank="1" showErrorMessage="1" errorTitle="Неверно указано Количество" error="минимальное количество для заказа = 80" sqref="M4409">
      <formula1>80</formula1>
      <formula2>2449</formula2>
    </dataValidation>
    <dataValidation type="decimal" allowBlank="1" showErrorMessage="1" errorTitle="Неверно указано Количество" error="минимальное количество для заказа = 80" sqref="M4413">
      <formula1>80</formula1>
      <formula2>4170</formula2>
    </dataValidation>
    <dataValidation type="decimal" allowBlank="1" showErrorMessage="1" errorTitle="Неверно указано Количество" error="минимальное количество для заказа = 80" sqref="M4414">
      <formula1>80</formula1>
      <formula2>4730</formula2>
    </dataValidation>
    <dataValidation type="decimal" allowBlank="1" showErrorMessage="1" errorTitle="Неверно указано Количество" error="минимальное количество для заказа = 80" sqref="M4419">
      <formula1>80</formula1>
      <formula2>1750</formula2>
    </dataValidation>
    <dataValidation type="decimal" allowBlank="1" showErrorMessage="1" errorTitle="Неверно указано Количество" error="минимальное количество для заказа = 80" sqref="M4420">
      <formula1>80</formula1>
      <formula2>1170</formula2>
    </dataValidation>
    <dataValidation type="decimal" allowBlank="1" showErrorMessage="1" errorTitle="Неверно указано Количество" error="минимальное количество для заказа = 80" sqref="M4429">
      <formula1>80</formula1>
      <formula2>2900</formula2>
    </dataValidation>
    <dataValidation type="decimal" allowBlank="1" showErrorMessage="1" errorTitle="Неверно указано Количество" error="минимальное количество для заказа = 80" sqref="M4433 M4505">
      <formula1>80</formula1>
      <formula2>1380</formula2>
    </dataValidation>
    <dataValidation type="decimal" allowBlank="1" showErrorMessage="1" errorTitle="Неверно указано Количество" error="минимальное количество для заказа = 80" sqref="M4434">
      <formula1>80</formula1>
      <formula2>1530</formula2>
    </dataValidation>
    <dataValidation type="decimal" allowBlank="1" showErrorMessage="1" errorTitle="Неверно указано Количество" error="минимальное количество для заказа = 80" sqref="M4435 M4465 M4502">
      <formula1>80</formula1>
      <formula2>1450</formula2>
    </dataValidation>
    <dataValidation type="decimal" allowBlank="1" showErrorMessage="1" errorTitle="Неверно указано Количество" error="минимальное количество для заказа = 80" sqref="M4442">
      <formula1>80</formula1>
      <formula2>870</formula2>
    </dataValidation>
    <dataValidation type="decimal" allowBlank="1" showErrorMessage="1" errorTitle="Неверно указано Количество" error="минимальное количество для заказа = 80" sqref="M4443 M4492">
      <formula1>80</formula1>
      <formula2>3570</formula2>
    </dataValidation>
    <dataValidation type="decimal" allowBlank="1" showErrorMessage="1" errorTitle="Неверно указано Количество" error="минимальное количество для заказа = 80" sqref="M4444">
      <formula1>80</formula1>
      <formula2>2380</formula2>
    </dataValidation>
    <dataValidation type="decimal" allowBlank="1" showErrorMessage="1" errorTitle="Неверно указано Количество" error="минимальное количество для заказа = 80" sqref="M4445">
      <formula1>80</formula1>
      <formula2>4330</formula2>
    </dataValidation>
    <dataValidation type="decimal" allowBlank="1" showErrorMessage="1" errorTitle="Неверно указано Количество" error="минимальное количество для заказа = 80" sqref="M4453">
      <formula1>80</formula1>
      <formula2>799</formula2>
    </dataValidation>
    <dataValidation type="decimal" allowBlank="1" showErrorMessage="1" errorTitle="Неверно указано Количество" error="минимальное количество для заказа = 80" sqref="M4454">
      <formula1>80</formula1>
      <formula2>3579</formula2>
    </dataValidation>
    <dataValidation type="decimal" allowBlank="1" showErrorMessage="1" errorTitle="Неверно указано Количество" error="минимальное количество для заказа = 80" sqref="M4457">
      <formula1>80</formula1>
      <formula2>4059</formula2>
    </dataValidation>
    <dataValidation type="decimal" allowBlank="1" showErrorMessage="1" errorTitle="Неверно указано Количество" error="минимальное количество для заказа = 80" sqref="M4458">
      <formula1>80</formula1>
      <formula2>2459</formula2>
    </dataValidation>
    <dataValidation type="decimal" allowBlank="1" showErrorMessage="1" errorTitle="Неверно указано Количество" error="минимальное количество для заказа = 80" sqref="M4461">
      <formula1>80</formula1>
      <formula2>639</formula2>
    </dataValidation>
    <dataValidation type="decimal" allowBlank="1" showErrorMessage="1" errorTitle="Неверно указано Количество" error="минимальное количество для заказа = 80" sqref="M4468">
      <formula1>80</formula1>
      <formula2>3040</formula2>
    </dataValidation>
    <dataValidation type="decimal" allowBlank="1" showErrorMessage="1" errorTitle="Неверно указано Количество" error="минимальное количество для заказа = 80" sqref="M4470">
      <formula1>80</formula1>
      <formula2>550</formula2>
    </dataValidation>
    <dataValidation type="decimal" allowBlank="1" showErrorMessage="1" errorTitle="Неверно указано Количество" error="минимальное количество для заказа = 80" sqref="M4471">
      <formula1>80</formula1>
      <formula2>670</formula2>
    </dataValidation>
    <dataValidation type="decimal" allowBlank="1" showErrorMessage="1" errorTitle="Неверно указано Количество" error="минимальное количество для заказа = 80" sqref="M4473">
      <formula1>80</formula1>
      <formula2>890</formula2>
    </dataValidation>
    <dataValidation type="decimal" allowBlank="1" showErrorMessage="1" errorTitle="Неверно указано Количество" error="минимальное количество для заказа = 80" sqref="M4476">
      <formula1>80</formula1>
      <formula2>7050</formula2>
    </dataValidation>
    <dataValidation type="decimal" allowBlank="1" showErrorMessage="1" errorTitle="Неверно указано Количество" error="минимальное количество для заказа = 80" sqref="M4480 M4511">
      <formula1>80</formula1>
      <formula2>3400</formula2>
    </dataValidation>
    <dataValidation type="decimal" allowBlank="1" showErrorMessage="1" errorTitle="Неверно указано Количество" error="минимальное количество для заказа = 80" sqref="M4481">
      <formula1>80</formula1>
      <formula2>740</formula2>
    </dataValidation>
    <dataValidation type="decimal" allowBlank="1" showErrorMessage="1" errorTitle="Неверно указано Количество" error="минимальное количество для заказа = 80" sqref="M4486">
      <formula1>80</formula1>
      <formula2>4070</formula2>
    </dataValidation>
    <dataValidation type="decimal" allowBlank="1" showErrorMessage="1" errorTitle="Неверно указано Количество" error="минимальное количество для заказа = 80" sqref="M4487">
      <formula1>80</formula1>
      <formula2>810</formula2>
    </dataValidation>
    <dataValidation type="decimal" allowBlank="1" showErrorMessage="1" errorTitle="Неверно указано Количество" error="минимальное количество для заказа = 80" sqref="M4490">
      <formula1>80</formula1>
      <formula2>3170</formula2>
    </dataValidation>
    <dataValidation type="decimal" allowBlank="1" showErrorMessage="1" errorTitle="Неверно указано Количество" error="минимальное количество для заказа = 80" sqref="M4494">
      <formula1>80</formula1>
      <formula2>250</formula2>
    </dataValidation>
    <dataValidation type="decimal" allowBlank="1" showErrorMessage="1" errorTitle="Неверно указано Количество" error="минимальное количество для заказа = 80" sqref="M4496 M4506">
      <formula1>80</formula1>
      <formula2>190</formula2>
    </dataValidation>
    <dataValidation type="decimal" allowBlank="1" showErrorMessage="1" errorTitle="Неверно указано Количество" error="минимальное количество для заказа = 80" sqref="M4499">
      <formula1>80</formula1>
      <formula2>910</formula2>
    </dataValidation>
    <dataValidation type="decimal" allowBlank="1" showErrorMessage="1" errorTitle="Неверно указано Количество" error="минимальное количество для заказа = 80" sqref="M4503">
      <formula1>80</formula1>
      <formula2>3440</formula2>
    </dataValidation>
    <dataValidation type="decimal" allowBlank="1" showErrorMessage="1" errorTitle="Неверно указано Количество" error="минимальное количество для заказа = 80" sqref="M4512">
      <formula1>80</formula1>
      <formula2>2810</formula2>
    </dataValidation>
    <dataValidation type="decimal" allowBlank="1" showErrorMessage="1" errorTitle="Неверно указано Количество" error="минимальное количество для заказа = 80" sqref="M4516">
      <formula1>80</formula1>
      <formula2>663</formula2>
    </dataValidation>
    <dataValidation type="decimal" allowBlank="1" showErrorMessage="1" errorTitle="Неверно указано Количество" error="минимальное количество для заказа = 80" sqref="M4519">
      <formula1>80</formula1>
      <formula2>1220</formula2>
    </dataValidation>
    <dataValidation type="decimal" allowBlank="1" showErrorMessage="1" errorTitle="Неверно указано Количество" error="минимальное количество для заказа = 80" sqref="M4529">
      <formula1>80</formula1>
      <formula2>4540</formula2>
    </dataValidation>
    <dataValidation type="decimal" allowBlank="1" showErrorMessage="1" errorTitle="Неверно указано Количество" error="минимальное количество для заказа = 80" sqref="M4530">
      <formula1>80</formula1>
      <formula2>7229</formula2>
    </dataValidation>
    <dataValidation type="decimal" allowBlank="1" showErrorMessage="1" errorTitle="Неверно указано Количество" error="минимальное количество для заказа = 48" sqref="M4536">
      <formula1>48</formula1>
      <formula2>2478</formula2>
    </dataValidation>
    <dataValidation type="decimal" operator="equal" allowBlank="1" showErrorMessage="1" errorTitle="Не нужно менять минимальное количество для заказа:" error="минимальное количество для заказа = 400" sqref="K4543:K4544 K4549:K4554 K4560 K4566:K4568">
      <formula1>400</formula1>
    </dataValidation>
    <dataValidation type="decimal" allowBlank="1" showErrorMessage="1" errorTitle="Неверно указано Количество" error="минимальное количество для заказа = 400" sqref="M4543">
      <formula1>400</formula1>
      <formula2>432398</formula2>
    </dataValidation>
    <dataValidation type="decimal" allowBlank="1" showErrorMessage="1" errorTitle="Неверно указано Количество" error="минимальное количество для заказа = 400" sqref="M4544">
      <formula1>400</formula1>
      <formula2>36270</formula2>
    </dataValidation>
    <dataValidation type="decimal" allowBlank="1" showErrorMessage="1" errorTitle="Неверно указано Количество" error="минимальное количество для заказа = 300" sqref="M4545">
      <formula1>300</formula1>
      <formula2>162736</formula2>
    </dataValidation>
    <dataValidation type="decimal" allowBlank="1" showErrorMessage="1" errorTitle="Неверно указано Количество" error="минимальное количество для заказа = 300" sqref="M4546">
      <formula1>300</formula1>
      <formula2>357767</formula2>
    </dataValidation>
    <dataValidation type="decimal" operator="greaterThanOrEqual" allowBlank="1" showErrorMessage="1" errorTitle="Нельзя заказать меньше чем :" error="минимальное количество для заказа = 400" sqref="M4550">
      <formula1>400</formula1>
    </dataValidation>
    <dataValidation type="decimal" allowBlank="1" showErrorMessage="1" errorTitle="Неверно указано Количество" error="минимальное количество для заказа = 400" sqref="M4551">
      <formula1>400</formula1>
      <formula2>1200</formula2>
    </dataValidation>
    <dataValidation type="decimal" allowBlank="1" showErrorMessage="1" errorTitle="Неверно указано Количество" error="минимальное количество для заказа = 400" sqref="M4554">
      <formula1>400</formula1>
      <formula2>185648</formula2>
    </dataValidation>
    <dataValidation type="decimal" operator="greaterThanOrEqual" allowBlank="1" showErrorMessage="1" errorTitle="Нельзя заказать меньше чем :" error="минимальное количество для заказа = 300" sqref="M4555">
      <formula1>300</formula1>
    </dataValidation>
    <dataValidation type="decimal" allowBlank="1" showErrorMessage="1" errorTitle="Неверно указано Количество" error="минимальное количество для заказа = 240" sqref="M4558">
      <formula1>240</formula1>
      <formula2>357722</formula2>
    </dataValidation>
    <dataValidation type="decimal" allowBlank="1" showErrorMessage="1" errorTitle="Неверно указано Количество" error="минимальное количество для заказа = 400" sqref="M4560">
      <formula1>400</formula1>
      <formula2>1380</formula2>
    </dataValidation>
    <dataValidation type="decimal" allowBlank="1" showErrorMessage="1" errorTitle="Неверно указано Количество" error="минимальное количество для заказа = 100" sqref="M4562">
      <formula1>100</formula1>
      <formula2>1300</formula2>
    </dataValidation>
    <dataValidation type="decimal" allowBlank="1" showErrorMessage="1" errorTitle="Неверно указано Количество" error="минимальное количество для заказа = 200" sqref="M4564">
      <formula1>200</formula1>
      <formula2>80480</formula2>
    </dataValidation>
    <dataValidation type="decimal" allowBlank="1" showErrorMessage="1" errorTitle="Неверно указано Количество" error="минимальное количество для заказа = 400" sqref="M4567">
      <formula1>400</formula1>
      <formula2>221877</formula2>
    </dataValidation>
    <dataValidation type="decimal" allowBlank="1" showErrorMessage="1" errorTitle="Неверно указано Количество" error="минимальное количество для заказа = 400" sqref="M4568">
      <formula1>400</formula1>
      <formula2>72612</formula2>
    </dataValidation>
    <dataValidation type="decimal" allowBlank="1" showErrorMessage="1" errorTitle="Неверно указано Количество" error="минимальное количество для заказа = 1" sqref="M4582">
      <formula1>1</formula1>
      <formula2>608</formula2>
    </dataValidation>
    <dataValidation type="decimal" allowBlank="1" showErrorMessage="1" errorTitle="Неверно указано Количество" error="минимальное количество для заказа = 1" sqref="M4583">
      <formula1>1</formula1>
      <formula2>255</formula2>
    </dataValidation>
    <dataValidation type="decimal" allowBlank="1" showErrorMessage="1" errorTitle="Неверно указано Количество" error="минимальное количество для заказа = 1" sqref="M4588">
      <formula1>1</formula1>
      <formula2>710</formula2>
    </dataValidation>
    <dataValidation type="decimal" allowBlank="1" showErrorMessage="1" errorTitle="Неверно указано Количество" error="минимальное количество для заказа = 1" sqref="M4590">
      <formula1>1</formula1>
      <formula2>231</formula2>
    </dataValidation>
    <dataValidation type="decimal" allowBlank="1" showErrorMessage="1" errorTitle="Неверно указано Количество" error="минимальное количество для заказа = 1" sqref="M4591">
      <formula1>1</formula1>
      <formula2>536</formula2>
    </dataValidation>
    <dataValidation type="decimal" allowBlank="1" showErrorMessage="1" errorTitle="Неверно указано Количество" error="минимальное количество для заказа = 1" sqref="M4592">
      <formula1>1</formula1>
      <formula2>404</formula2>
    </dataValidation>
    <dataValidation type="decimal" allowBlank="1" showErrorMessage="1" errorTitle="Неверно указано Количество" error="минимальное количество для заказа = 1" sqref="M4593">
      <formula1>1</formula1>
      <formula2>745</formula2>
    </dataValidation>
  </dataValidations>
  <pageMargins left="0.39" right="0.39" top="0.39" bottom="0.39" header="0" footer="0"/>
  <pageSetup paperSize="0" fitToWidth="0" fitToHeight="0" pageOrder="overThenDown" orientation="portrait" horizontalDpi="0" verticalDpi="0" copies="0"/>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2026-07-20T00:13:14Z</cp:lastPrinted>
  <dcterms:created xsi:type="dcterms:W3CDTF">2026-07-20T00:13:14Z</dcterms:created>
  <dcterms:modified xsi:type="dcterms:W3CDTF">2026-07-29T08:03:36Z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1049-10.2.0.5845</vt:lpwstr>
  </property>
</Properties>
</file>